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caja-requerimiento-automatizaci-n\docs\"/>
    </mc:Choice>
  </mc:AlternateContent>
  <xr:revisionPtr revIDLastSave="0" documentId="13_ncr:1_{03078C0E-C4BE-42BF-AC94-D04313716B06}" xr6:coauthVersionLast="47" xr6:coauthVersionMax="47" xr10:uidLastSave="{00000000-0000-0000-0000-000000000000}"/>
  <bookViews>
    <workbookView xWindow="-108" yWindow="-108" windowWidth="23256" windowHeight="13896" tabRatio="839" xr2:uid="{00000000-000D-0000-FFFF-FFFF00000000}"/>
  </bookViews>
  <sheets>
    <sheet name="Rating SS" sheetId="4" r:id="rId1"/>
    <sheet name="INFO" sheetId="27" state="hidden" r:id="rId2"/>
    <sheet name="Guia de instrucciones" sheetId="22" r:id="rId3"/>
    <sheet name="PCI" sheetId="25" r:id="rId4"/>
    <sheet name="PDP" sheetId="26" r:id="rId5"/>
    <sheet name="Parámetros" sheetId="19" state="hidden" r:id="rId6"/>
    <sheet name="Análisis" sheetId="20" state="hidden" r:id="rId7"/>
    <sheet name="criterios rating" sheetId="11" state="hidden" r:id="rId8"/>
    <sheet name="Productos" sheetId="13" state="hidden" r:id="rId9"/>
    <sheet name="Procesos Soporte" sheetId="14" state="hidden" r:id="rId10"/>
    <sheet name="Canales" sheetId="7" state="hidden" r:id="rId11"/>
    <sheet name="Proveedores PCN" sheetId="18" state="hidden" r:id="rId12"/>
    <sheet name="Bien Servicio compras" sheetId="8" state="hidden" r:id="rId13"/>
    <sheet name="Oficinas Agencias" sheetId="15" state="hidden" r:id="rId14"/>
    <sheet name="Productos RO-Detallado" sheetId="12" state="hidden" r:id="rId15"/>
  </sheets>
  <externalReferences>
    <externalReference r:id="rId16"/>
  </externalReferences>
  <definedNames>
    <definedName name="_xlnm._FilterDatabase" localSheetId="12" hidden="1">'Bien Servicio compras'!$A$1:$G$205</definedName>
    <definedName name="_xlnm._FilterDatabase" localSheetId="2" hidden="1">'Guia de instrucciones'!$AE$60:$AF$82</definedName>
    <definedName name="_xlnm._FilterDatabase" localSheetId="8" hidden="1">Productos!$A$1:$L$39</definedName>
    <definedName name="_xlnm._FilterDatabase" localSheetId="14" hidden="1">'Productos RO-Detallado'!$A$1:$P$88</definedName>
    <definedName name="Criterios_rating">Tabla8[#All]</definedName>
    <definedName name="Proc_soporte">Tab_Proc_soporte[#All]</definedName>
    <definedName name="Productos">Tab_Productos[#All]</definedName>
  </definedNames>
  <calcPr calcId="191029"/>
  <pivotCaches>
    <pivotCache cacheId="10" r:id="rId17"/>
    <pivotCache cacheId="15" r:id="rId18"/>
    <pivotCache cacheId="19" r:id="rId19"/>
    <pivotCache cacheId="23" r:id="rId20"/>
    <pivotCache cacheId="27" r:id="rId21"/>
    <pivotCache cacheId="32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I47" i="4"/>
  <c r="H18" i="4" l="1"/>
  <c r="H17" i="4"/>
  <c r="F24" i="26" l="1"/>
  <c r="F22" i="26"/>
  <c r="F20" i="26"/>
  <c r="F18" i="26"/>
  <c r="F16" i="26"/>
  <c r="F14" i="26"/>
  <c r="F12" i="26"/>
  <c r="F10" i="26"/>
  <c r="F8" i="26"/>
  <c r="F6" i="26"/>
  <c r="F4" i="26"/>
  <c r="F10" i="25"/>
  <c r="F8" i="25"/>
  <c r="F6" i="25"/>
  <c r="F4" i="25"/>
  <c r="H38" i="13" l="1"/>
  <c r="D6" i="4" l="1"/>
  <c r="R2" i="13" l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H2" i="13" l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9" i="13"/>
  <c r="D40" i="13" l="1"/>
  <c r="J10" i="14"/>
  <c r="J9" i="14"/>
  <c r="J8" i="14"/>
  <c r="J7" i="14"/>
  <c r="J6" i="14"/>
  <c r="J5" i="14"/>
  <c r="J4" i="14"/>
  <c r="J3" i="14"/>
  <c r="J2" i="14"/>
  <c r="H2" i="14"/>
  <c r="H3" i="14"/>
  <c r="H4" i="14"/>
  <c r="H5" i="14"/>
  <c r="H6" i="14"/>
  <c r="H7" i="14"/>
  <c r="H8" i="14"/>
  <c r="H9" i="14"/>
  <c r="H10" i="14"/>
  <c r="Q11" i="14"/>
  <c r="N11" i="14"/>
  <c r="M11" i="14"/>
  <c r="N40" i="13"/>
  <c r="M40" i="13"/>
  <c r="G11" i="14"/>
  <c r="L5" i="14" s="1"/>
  <c r="F11" i="14"/>
  <c r="K4" i="14" s="1"/>
  <c r="D11" i="14"/>
  <c r="B11" i="14"/>
  <c r="F40" i="13"/>
  <c r="Q40" i="13"/>
  <c r="G40" i="13"/>
  <c r="E40" i="13"/>
  <c r="B40" i="13"/>
  <c r="I5" i="14" l="1"/>
  <c r="I2" i="14"/>
  <c r="L4" i="13"/>
  <c r="L12" i="13"/>
  <c r="L20" i="13"/>
  <c r="L28" i="13"/>
  <c r="L36" i="13"/>
  <c r="L5" i="13"/>
  <c r="L13" i="13"/>
  <c r="L21" i="13"/>
  <c r="L29" i="13"/>
  <c r="L37" i="13"/>
  <c r="L6" i="13"/>
  <c r="L14" i="13"/>
  <c r="L22" i="13"/>
  <c r="L30" i="13"/>
  <c r="L38" i="13"/>
  <c r="L7" i="13"/>
  <c r="L15" i="13"/>
  <c r="L23" i="13"/>
  <c r="L31" i="13"/>
  <c r="L39" i="13"/>
  <c r="L8" i="13"/>
  <c r="L16" i="13"/>
  <c r="L24" i="13"/>
  <c r="L32" i="13"/>
  <c r="L9" i="13"/>
  <c r="L17" i="13"/>
  <c r="L25" i="13"/>
  <c r="L33" i="13"/>
  <c r="L2" i="13"/>
  <c r="L10" i="13"/>
  <c r="L18" i="13"/>
  <c r="L26" i="13"/>
  <c r="L34" i="13"/>
  <c r="L3" i="13"/>
  <c r="L11" i="13"/>
  <c r="L19" i="13"/>
  <c r="L27" i="13"/>
  <c r="L35" i="13"/>
  <c r="I10" i="14"/>
  <c r="J6" i="13"/>
  <c r="J14" i="13"/>
  <c r="J22" i="13"/>
  <c r="J30" i="13"/>
  <c r="J38" i="13"/>
  <c r="J7" i="13"/>
  <c r="J15" i="13"/>
  <c r="J23" i="13"/>
  <c r="J31" i="13"/>
  <c r="J39" i="13"/>
  <c r="J8" i="13"/>
  <c r="J16" i="13"/>
  <c r="J24" i="13"/>
  <c r="J32" i="13"/>
  <c r="J9" i="13"/>
  <c r="J17" i="13"/>
  <c r="J25" i="13"/>
  <c r="J33" i="13"/>
  <c r="J2" i="13"/>
  <c r="J10" i="13"/>
  <c r="J18" i="13"/>
  <c r="J26" i="13"/>
  <c r="J34" i="13"/>
  <c r="J3" i="13"/>
  <c r="J11" i="13"/>
  <c r="J19" i="13"/>
  <c r="J27" i="13"/>
  <c r="J35" i="13"/>
  <c r="J4" i="13"/>
  <c r="J12" i="13"/>
  <c r="J20" i="13"/>
  <c r="J28" i="13"/>
  <c r="J36" i="13"/>
  <c r="J5" i="13"/>
  <c r="J13" i="13"/>
  <c r="J21" i="13"/>
  <c r="J29" i="13"/>
  <c r="J37" i="13"/>
  <c r="K2" i="13"/>
  <c r="K10" i="13"/>
  <c r="K18" i="13"/>
  <c r="K26" i="13"/>
  <c r="K34" i="13"/>
  <c r="K3" i="13"/>
  <c r="K11" i="13"/>
  <c r="K19" i="13"/>
  <c r="K27" i="13"/>
  <c r="K35" i="13"/>
  <c r="K4" i="13"/>
  <c r="K12" i="13"/>
  <c r="K20" i="13"/>
  <c r="K28" i="13"/>
  <c r="K36" i="13"/>
  <c r="K5" i="13"/>
  <c r="K13" i="13"/>
  <c r="K21" i="13"/>
  <c r="K29" i="13"/>
  <c r="K37" i="13"/>
  <c r="K6" i="13"/>
  <c r="K14" i="13"/>
  <c r="K22" i="13"/>
  <c r="K30" i="13"/>
  <c r="K38" i="13"/>
  <c r="K7" i="13"/>
  <c r="K15" i="13"/>
  <c r="K23" i="13"/>
  <c r="K31" i="13"/>
  <c r="K39" i="13"/>
  <c r="K8" i="13"/>
  <c r="K16" i="13"/>
  <c r="K24" i="13"/>
  <c r="K32" i="13"/>
  <c r="K9" i="13"/>
  <c r="K17" i="13"/>
  <c r="K25" i="13"/>
  <c r="K33" i="13"/>
  <c r="I9" i="14"/>
  <c r="I8" i="13"/>
  <c r="I16" i="13"/>
  <c r="I24" i="13"/>
  <c r="I32" i="13"/>
  <c r="I9" i="13"/>
  <c r="I17" i="13"/>
  <c r="I25" i="13"/>
  <c r="I33" i="13"/>
  <c r="I2" i="13"/>
  <c r="I10" i="13"/>
  <c r="I18" i="13"/>
  <c r="I26" i="13"/>
  <c r="I34" i="13"/>
  <c r="I3" i="13"/>
  <c r="I11" i="13"/>
  <c r="I19" i="13"/>
  <c r="I27" i="13"/>
  <c r="I35" i="13"/>
  <c r="I4" i="13"/>
  <c r="I12" i="13"/>
  <c r="I20" i="13"/>
  <c r="I28" i="13"/>
  <c r="I36" i="13"/>
  <c r="I5" i="13"/>
  <c r="I13" i="13"/>
  <c r="I21" i="13"/>
  <c r="I29" i="13"/>
  <c r="I37" i="13"/>
  <c r="I6" i="13"/>
  <c r="I14" i="13"/>
  <c r="I22" i="13"/>
  <c r="I30" i="13"/>
  <c r="I38" i="13"/>
  <c r="I7" i="13"/>
  <c r="I15" i="13"/>
  <c r="I23" i="13"/>
  <c r="I31" i="13"/>
  <c r="I39" i="13"/>
  <c r="L3" i="14"/>
  <c r="K7" i="14"/>
  <c r="I8" i="14"/>
  <c r="L7" i="14"/>
  <c r="K8" i="14"/>
  <c r="K2" i="14"/>
  <c r="L2" i="14"/>
  <c r="K5" i="14"/>
  <c r="K6" i="14"/>
  <c r="L6" i="14"/>
  <c r="I4" i="14"/>
  <c r="L8" i="14"/>
  <c r="K9" i="14"/>
  <c r="L10" i="14"/>
  <c r="I3" i="14"/>
  <c r="L9" i="14"/>
  <c r="K10" i="14"/>
  <c r="I6" i="14"/>
  <c r="L4" i="14"/>
  <c r="K3" i="14"/>
  <c r="I7" i="14"/>
  <c r="C57" i="4"/>
  <c r="I22" i="4"/>
  <c r="H22" i="4"/>
  <c r="G22" i="4"/>
  <c r="C66" i="4"/>
  <c r="D22" i="4" l="1"/>
  <c r="E22" i="4"/>
  <c r="L40" i="13"/>
  <c r="K40" i="13"/>
  <c r="I40" i="13"/>
  <c r="J40" i="13"/>
  <c r="L11" i="14"/>
  <c r="I11" i="14"/>
  <c r="F42" i="4" l="1"/>
  <c r="G42" i="4" s="1"/>
  <c r="F36" i="4"/>
  <c r="F37" i="4"/>
  <c r="G37" i="4" s="1"/>
  <c r="F40" i="4"/>
  <c r="F35" i="4"/>
  <c r="F39" i="4"/>
  <c r="G39" i="4" s="1"/>
  <c r="F34" i="4"/>
  <c r="F38" i="4"/>
  <c r="F33" i="4"/>
  <c r="F41" i="4"/>
  <c r="D69" i="4"/>
  <c r="G10" i="4"/>
  <c r="G34" i="4" l="1"/>
  <c r="I34" i="4" s="1"/>
  <c r="G35" i="4"/>
  <c r="I35" i="4" s="1"/>
  <c r="G33" i="4"/>
  <c r="I33" i="4" s="1"/>
  <c r="G38" i="4"/>
  <c r="I38" i="4" s="1"/>
  <c r="G36" i="4"/>
  <c r="I36" i="4" s="1"/>
  <c r="I42" i="4"/>
  <c r="G40" i="4"/>
  <c r="I40" i="4" s="1"/>
  <c r="G41" i="4"/>
  <c r="I41" i="4" s="1"/>
  <c r="I39" i="4"/>
  <c r="I37" i="4"/>
  <c r="F44" i="4" l="1"/>
  <c r="G44" i="4"/>
  <c r="H44" i="4"/>
  <c r="R40" i="13"/>
  <c r="E44" i="4" l="1"/>
  <c r="I44" i="4" s="1"/>
  <c r="C45" i="4" s="1"/>
  <c r="D6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Garcia Calderon</author>
    <author>Sebastián GP</author>
  </authors>
  <commentList>
    <comment ref="Q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Rafael Garcia Calderon:</t>
        </r>
        <r>
          <rPr>
            <sz val="9"/>
            <color indexed="81"/>
            <rFont val="Tahoma"/>
            <family val="2"/>
          </rPr>
          <t xml:space="preserve">
uso directo de tarjetas aplicable a pasivos, ventanillas y semejantes</t>
        </r>
      </text>
    </comment>
    <comment ref="C2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3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4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5" authorId="1" shapeId="0" xr:uid="{00000000-0006-0000-0800-000005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6" authorId="1" shapeId="0" xr:uid="{00000000-0006-0000-0800-000006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7" authorId="1" shapeId="0" xr:uid="{00000000-0006-0000-0800-000007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8" authorId="1" shapeId="0" xr:uid="{00000000-0006-0000-0800-000008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9" authorId="1" shapeId="0" xr:uid="{00000000-0006-0000-0800-000009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10" authorId="1" shapeId="0" xr:uid="{00000000-0006-0000-0800-00000A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11" authorId="1" shapeId="0" xr:uid="{00000000-0006-0000-0800-00000B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12" authorId="1" shapeId="0" xr:uid="{00000000-0006-0000-0800-00000C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13" authorId="1" shapeId="0" xr:uid="{00000000-0006-0000-0800-00000D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14" authorId="1" shapeId="0" xr:uid="{00000000-0006-0000-0800-00000E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15" authorId="1" shapeId="0" xr:uid="{00000000-0006-0000-0800-00000F000000}">
      <text>
        <r>
          <rPr>
            <b/>
            <sz val="9"/>
            <color indexed="81"/>
            <rFont val="Tahoma"/>
            <family val="2"/>
          </rPr>
          <t xml:space="preserve">PF3
</t>
        </r>
      </text>
    </comment>
    <comment ref="C18" authorId="1" shapeId="0" xr:uid="{00000000-0006-0000-0800-000010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19" authorId="1" shapeId="0" xr:uid="{00000000-0006-0000-0800-000011000000}">
      <text>
        <r>
          <rPr>
            <b/>
            <sz val="9"/>
            <color indexed="81"/>
            <rFont val="Tahoma"/>
            <family val="2"/>
          </rPr>
          <t xml:space="preserve">PF3 + PC1
</t>
        </r>
      </text>
    </comment>
    <comment ref="C23" authorId="1" shapeId="0" xr:uid="{00000000-0006-0000-0800-000012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24" authorId="1" shapeId="0" xr:uid="{00000000-0006-0000-0800-000013000000}">
      <text>
        <r>
          <rPr>
            <b/>
            <sz val="9"/>
            <color indexed="81"/>
            <rFont val="Tahoma"/>
            <family val="2"/>
          </rPr>
          <t xml:space="preserve">PF3 
</t>
        </r>
      </text>
    </comment>
    <comment ref="C25" authorId="1" shapeId="0" xr:uid="{00000000-0006-0000-0800-000014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26" authorId="1" shapeId="0" xr:uid="{00000000-0006-0000-0800-000015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27" authorId="1" shapeId="0" xr:uid="{00000000-0006-0000-0800-000016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28" authorId="1" shapeId="0" xr:uid="{00000000-0006-0000-0800-000017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31" authorId="1" shapeId="0" xr:uid="{00000000-0006-0000-0800-000018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33" authorId="1" shapeId="0" xr:uid="{00000000-0006-0000-0800-000019000000}">
      <text>
        <r>
          <rPr>
            <b/>
            <sz val="9"/>
            <color indexed="81"/>
            <rFont val="Tahoma"/>
            <family val="2"/>
          </rPr>
          <t xml:space="preserve">PF3 + PC1 + PP2
</t>
        </r>
      </text>
    </comment>
    <comment ref="C35" authorId="1" shapeId="0" xr:uid="{00000000-0006-0000-0800-00001A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36" authorId="1" shapeId="0" xr:uid="{00000000-0006-0000-0800-00001B000000}">
      <text>
        <r>
          <rPr>
            <b/>
            <sz val="9"/>
            <color indexed="81"/>
            <rFont val="Tahoma"/>
            <family val="2"/>
          </rPr>
          <t xml:space="preserve">PF2+PF 3+ PC1 + PC2
+PP3
</t>
        </r>
      </text>
    </comment>
    <comment ref="C37" authorId="1" shapeId="0" xr:uid="{00000000-0006-0000-0800-00001C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  <comment ref="C39" authorId="1" shapeId="0" xr:uid="{00000000-0006-0000-0800-00001D000000}">
      <text>
        <r>
          <rPr>
            <b/>
            <sz val="9"/>
            <color indexed="81"/>
            <rFont val="Tahoma"/>
            <family val="2"/>
          </rPr>
          <t xml:space="preserve">PF3 + PC1 + PC2+ PP3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Sebastián GP</author>
  </authors>
  <commentList>
    <comment ref="C2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Transversal</t>
        </r>
      </text>
    </comment>
    <comment ref="C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 xml:space="preserve">PF4+PP4 + PA 3
</t>
        </r>
      </text>
    </comment>
    <comment ref="C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 xml:space="preserve">PF4+PP4 + PA 3
</t>
        </r>
      </text>
    </comment>
    <comment ref="C5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 xml:space="preserve">PF4 + PP2 + PP4 + PA3
</t>
        </r>
      </text>
    </comment>
    <comment ref="C6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 xml:space="preserve">PF4+PP4 + PA 3
</t>
        </r>
      </text>
    </comment>
    <comment ref="C7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 xml:space="preserve">PF4+PP4 + PA 3
</t>
        </r>
      </text>
    </comment>
    <comment ref="C8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Transversal</t>
        </r>
      </text>
    </comment>
    <comment ref="C9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 xml:space="preserve">PF4 + PC 2 + PP4 + PA 3
</t>
        </r>
      </text>
    </comment>
    <comment ref="C10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 xml:space="preserve">PF2 PC1+ PC2+ PP4 + PA 3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Eugenia Alfaro Bejarano</author>
  </authors>
  <commentList>
    <comment ref="A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Maria Eugenia Alfaro Bejarano:</t>
        </r>
        <r>
          <rPr>
            <sz val="9"/>
            <color indexed="81"/>
            <rFont val="Tahoma"/>
            <family val="2"/>
          </rPr>
          <t xml:space="preserve">
Data que se solicita a CN
DATA ACTUALIZADA A OCT 2023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Eugenia Alfaro Bejarano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Maria Eugenia Alfaro Bejarano:</t>
        </r>
        <r>
          <rPr>
            <sz val="9"/>
            <color indexed="81"/>
            <rFont val="Tahoma"/>
            <family val="2"/>
          </rPr>
          <t xml:space="preserve">
Data que la debe actualizar:
- ADQUISICIONES
- CN
DATA ACTUALIZADA A OCT 2023</t>
        </r>
      </text>
    </comment>
    <comment ref="F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Maria Eugenia Alfaro Bejarano:</t>
        </r>
        <r>
          <rPr>
            <sz val="9"/>
            <color indexed="81"/>
            <rFont val="Tahoma"/>
            <family val="2"/>
          </rPr>
          <t xml:space="preserve">
Quien da esta data y a que esta relacionada?</t>
        </r>
      </text>
    </comment>
    <comment ref="G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Maria Eugenia Alfaro Bejarano:</t>
        </r>
        <r>
          <rPr>
            <sz val="9"/>
            <color indexed="81"/>
            <rFont val="Tahoma"/>
            <family val="2"/>
          </rPr>
          <t xml:space="preserve">
Debe hacer match con el listado de exonerados?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Neo2</author>
    <author>Rafael Garcia Calderon</author>
  </authors>
  <commentList>
    <comment ref="E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Neo2:</t>
        </r>
        <r>
          <rPr>
            <sz val="9"/>
            <color indexed="81"/>
            <rFont val="Tahoma"/>
            <family val="2"/>
          </rPr>
          <t xml:space="preserve">
Reemplazar por código</t>
        </r>
      </text>
    </comment>
    <comment ref="G1" authorId="1" shapeId="0" xr:uid="{00000000-0006-0000-0D00-000002000000}">
      <text>
        <r>
          <rPr>
            <b/>
            <sz val="9"/>
            <color indexed="81"/>
            <rFont val="Tahoma"/>
            <family val="2"/>
          </rPr>
          <t>Rafael Garcia Calderon:</t>
        </r>
        <r>
          <rPr>
            <sz val="9"/>
            <color indexed="81"/>
            <rFont val="Tahoma"/>
            <family val="2"/>
          </rPr>
          <t xml:space="preserve">
solo si aplica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Eugenia Alfaro Bejarano</author>
  </authors>
  <commentList>
    <comment ref="P1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Maria Eugenia Alfaro Bejarano:</t>
        </r>
        <r>
          <rPr>
            <sz val="9"/>
            <color indexed="81"/>
            <rFont val="Tahoma"/>
            <family val="2"/>
          </rPr>
          <t xml:space="preserve">
Actualizar con Información CN a nivel PRODUCTO AQP (EN ESTE EXCEL) y a nivel productos (nivel 2 producto - AQP) para CN
</t>
        </r>
      </text>
    </comment>
  </commentList>
</comments>
</file>

<file path=xl/sharedStrings.xml><?xml version="1.0" encoding="utf-8"?>
<sst xmlns="http://schemas.openxmlformats.org/spreadsheetml/2006/main" count="4603" uniqueCount="1436">
  <si>
    <t>Gerente de Línea responsable</t>
  </si>
  <si>
    <t>__________________________</t>
  </si>
  <si>
    <t>______________________________________</t>
  </si>
  <si>
    <t>Canal</t>
  </si>
  <si>
    <t>Formato de Ratiting para Identificación de Bienes y Servicios Significativos</t>
  </si>
  <si>
    <t>Fecha de requerimiento</t>
  </si>
  <si>
    <t>Gerente de Línea (solicitante)</t>
  </si>
  <si>
    <t>Administrador del rubro</t>
  </si>
  <si>
    <t>Fecha de comunicación a Riesgos</t>
  </si>
  <si>
    <t>Criterio</t>
  </si>
  <si>
    <t>Clientes</t>
  </si>
  <si>
    <t>Colaboradores</t>
  </si>
  <si>
    <t>Productos y Servicios</t>
  </si>
  <si>
    <t>Agencias</t>
  </si>
  <si>
    <t>Digitales</t>
  </si>
  <si>
    <t>ATMS y Agentes</t>
  </si>
  <si>
    <t>Cartera</t>
  </si>
  <si>
    <t>Ingresos</t>
  </si>
  <si>
    <t>Pérdidas Riesgo Operacional</t>
  </si>
  <si>
    <t>Criterio (Dic 2020)</t>
  </si>
  <si>
    <t>Objetivos Estrátegicos</t>
  </si>
  <si>
    <t>Relación \ Criterio</t>
  </si>
  <si>
    <t>Todos</t>
  </si>
  <si>
    <t>Continuidad de Negocio</t>
  </si>
  <si>
    <t>Monto (cantidad)</t>
  </si>
  <si>
    <t>Porcentaje Caja</t>
  </si>
  <si>
    <t>Información sensible</t>
  </si>
  <si>
    <t>Opción 1</t>
  </si>
  <si>
    <t>Opción 2</t>
  </si>
  <si>
    <t>Opción 3</t>
  </si>
  <si>
    <t>Opción 4</t>
  </si>
  <si>
    <t>Opción 5</t>
  </si>
  <si>
    <t>Rating</t>
  </si>
  <si>
    <t>Canales de Atención</t>
  </si>
  <si>
    <t>3.  Resultados de Aplicación de Criterios del Rating para identificar bienes y/o servicios provistos por terceros significativos:</t>
  </si>
  <si>
    <t>Locales y Oficinas Prioritarias</t>
  </si>
  <si>
    <t>Nivel de significacia del Bien / Servicio</t>
  </si>
  <si>
    <t>Rating Ingresos</t>
  </si>
  <si>
    <t>Rating Solvencia</t>
  </si>
  <si>
    <t>Rating Continuidad Operativa</t>
  </si>
  <si>
    <t xml:space="preserve">Factor de Riesgo </t>
  </si>
  <si>
    <t>Solvencia</t>
  </si>
  <si>
    <t>Reputación</t>
  </si>
  <si>
    <t>Continuidad Operativa</t>
  </si>
  <si>
    <t>Impacto afecta las capacidades de generación de ingresos</t>
  </si>
  <si>
    <t>Impacto sobre activos y pasivos de la institucón asociados a solvencia</t>
  </si>
  <si>
    <t>Reducción de los ingresos o pérdidas por efectos adversos</t>
  </si>
  <si>
    <t>Impacto por el número de personas impactadas se asocia reputación</t>
  </si>
  <si>
    <t>Cantidad de productos, servicios y procesos relacionados</t>
  </si>
  <si>
    <t>Impacto medido por cantidad de productos, procesos y personas</t>
  </si>
  <si>
    <t>Aspecto evaluado</t>
  </si>
  <si>
    <t>Importe de contratación B/S</t>
  </si>
  <si>
    <t>Moneda (Soles o dólares)</t>
  </si>
  <si>
    <t>Fecha de validación del rating</t>
  </si>
  <si>
    <t xml:space="preserve">Hasta el 30% de productos y/o procesos vinculados </t>
  </si>
  <si>
    <t xml:space="preserve">Hasta el 60% de productos y/o procesos vinculados </t>
  </si>
  <si>
    <t xml:space="preserve">Hasta el 80% de productos y/o procesos vinculados </t>
  </si>
  <si>
    <t>Mayor al 80% de productos y procesos vinculados</t>
  </si>
  <si>
    <t xml:space="preserve">Acumulan hasta el 70% de ingresos de la Caja </t>
  </si>
  <si>
    <t xml:space="preserve">Acumulan hasta el 30% de ingresos de la Caja </t>
  </si>
  <si>
    <t xml:space="preserve">Mayor al 70% de ingresos de la Caja </t>
  </si>
  <si>
    <t xml:space="preserve">Acumulan hasta el 30% de clientes de la Caja </t>
  </si>
  <si>
    <t xml:space="preserve">Acumulan hasta el 50% de ingresos de la Caja </t>
  </si>
  <si>
    <t xml:space="preserve">Acumulan hasta el 50% de clientes de la Caja </t>
  </si>
  <si>
    <t xml:space="preserve">Acumulan hasta el 70% de clientes de la Caja </t>
  </si>
  <si>
    <t xml:space="preserve">Mayor al 70% de clientes de la Caja </t>
  </si>
  <si>
    <t>Significativo</t>
  </si>
  <si>
    <t xml:space="preserve">Sumatoria de los rating mayor o igual a </t>
  </si>
  <si>
    <t>Componente</t>
  </si>
  <si>
    <t>Descripción</t>
  </si>
  <si>
    <t xml:space="preserve">Acumulan hasta el 30% de colaboradores de la Caja </t>
  </si>
  <si>
    <t xml:space="preserve">Acumulan hasta el 50% de colaboradores de la Caja </t>
  </si>
  <si>
    <t xml:space="preserve">Acumulan hasta el 70% de colaboradores de la Caja </t>
  </si>
  <si>
    <t xml:space="preserve">Mayor al 70% de colaboradores de la Caja </t>
  </si>
  <si>
    <t>Hasta el 30% de pérdidas cerradas por riesgo operacional</t>
  </si>
  <si>
    <t>Hasta el 60% de pérdidas cerradas por riesgo operacional</t>
  </si>
  <si>
    <t>Hasta el 80% de pérdidas cerradas por riesgo operacional</t>
  </si>
  <si>
    <t>Mayor al 80% e pérdidas cerradas por riesgo operacional</t>
  </si>
  <si>
    <t xml:space="preserve">Evaluación </t>
  </si>
  <si>
    <t>Nivel 1 - SBS</t>
  </si>
  <si>
    <t>Nivel 2 - SBS</t>
  </si>
  <si>
    <t>Nivel 3 - SBS</t>
  </si>
  <si>
    <t>Nivel 1 - Tipo de Producto</t>
  </si>
  <si>
    <t>Nivel 2</t>
  </si>
  <si>
    <t>Producto AQP</t>
  </si>
  <si>
    <t>Nivel 3 - Sub Producto AQP</t>
  </si>
  <si>
    <t>Dueño del Riesgo</t>
  </si>
  <si>
    <t>Coordinador de Riesgo</t>
  </si>
  <si>
    <t>Tipo de Cartera</t>
  </si>
  <si>
    <t>Banca Minorista</t>
  </si>
  <si>
    <t>Consumo</t>
  </si>
  <si>
    <t>Convenio</t>
  </si>
  <si>
    <t>1.1.1</t>
  </si>
  <si>
    <t>Convenio con Descuento por Planilla</t>
  </si>
  <si>
    <t>Jefe de Segmento Personas</t>
  </si>
  <si>
    <t>Activo</t>
  </si>
  <si>
    <t>Personales</t>
  </si>
  <si>
    <t>1.2.1</t>
  </si>
  <si>
    <t>Microconsumo</t>
  </si>
  <si>
    <t>1.2.2</t>
  </si>
  <si>
    <t>Quintuplica tu sueldo</t>
  </si>
  <si>
    <t>1.2.3</t>
  </si>
  <si>
    <t>Personal Directo</t>
  </si>
  <si>
    <t>1.2.4</t>
  </si>
  <si>
    <t>Personal Directo para Trabajadores</t>
  </si>
  <si>
    <t>1.2.5</t>
  </si>
  <si>
    <t>Administrativo</t>
  </si>
  <si>
    <t>Línea de Crédito - Consumo</t>
  </si>
  <si>
    <t>1.3.1</t>
  </si>
  <si>
    <t>Línea de Crédito con DPF/CTS</t>
  </si>
  <si>
    <t>1.3.2</t>
  </si>
  <si>
    <t>Vehicular</t>
  </si>
  <si>
    <t>1.4.1</t>
  </si>
  <si>
    <t>1.4.2</t>
  </si>
  <si>
    <t>Vehicular para Trabajadores</t>
  </si>
  <si>
    <t>Prendario</t>
  </si>
  <si>
    <t>1.5.1</t>
  </si>
  <si>
    <t>Créditos BM</t>
  </si>
  <si>
    <t>Activo Fijo Maquinaria y Equipo</t>
  </si>
  <si>
    <t>2.1.1</t>
  </si>
  <si>
    <t>Jefe de Segmento MYPE</t>
  </si>
  <si>
    <t>2.1.2</t>
  </si>
  <si>
    <t>Ecomicro</t>
  </si>
  <si>
    <t>Activo Fijo Local Comercial</t>
  </si>
  <si>
    <t>2.2.1</t>
  </si>
  <si>
    <t>Capital de Trabajo</t>
  </si>
  <si>
    <t>2.3.1</t>
  </si>
  <si>
    <t>2.3.2</t>
  </si>
  <si>
    <t>Credi Puntualito</t>
  </si>
  <si>
    <t>2.3.3</t>
  </si>
  <si>
    <t>Credi Oficios</t>
  </si>
  <si>
    <t>2.3.4</t>
  </si>
  <si>
    <t>Superate Mujer</t>
  </si>
  <si>
    <t>Línea de Crédito BM</t>
  </si>
  <si>
    <t>2.4.1</t>
  </si>
  <si>
    <t>Línea de Crédito</t>
  </si>
  <si>
    <t>2.4.2</t>
  </si>
  <si>
    <t>Línea de Crédito para Cliente</t>
  </si>
  <si>
    <t>2.4.3</t>
  </si>
  <si>
    <t>Línea de Crédito Semilla</t>
  </si>
  <si>
    <t>Agropecuario</t>
  </si>
  <si>
    <t>2.5.1</t>
  </si>
  <si>
    <t>Jefe de Producto Agricola</t>
  </si>
  <si>
    <t>Convenio Pymes</t>
  </si>
  <si>
    <t>2.6.1</t>
  </si>
  <si>
    <t xml:space="preserve">Jefe de Segmento Empresas </t>
  </si>
  <si>
    <t>Carta Fianza</t>
  </si>
  <si>
    <t>2.7.1</t>
  </si>
  <si>
    <t>Vivienda</t>
  </si>
  <si>
    <t>2.8.1</t>
  </si>
  <si>
    <t>Caja Construye</t>
  </si>
  <si>
    <t>2.8.2</t>
  </si>
  <si>
    <t>Agua Mas</t>
  </si>
  <si>
    <t>Hipotecario</t>
  </si>
  <si>
    <t>3.1.1</t>
  </si>
  <si>
    <t>Hipotecario Caja para Clientes</t>
  </si>
  <si>
    <t>Jefe de producto Hipotecario</t>
  </si>
  <si>
    <t>3.1.2</t>
  </si>
  <si>
    <t>Hipotecario Caja para Trabajadores</t>
  </si>
  <si>
    <t>3.1.3</t>
  </si>
  <si>
    <t>Mivivienda</t>
  </si>
  <si>
    <t>3.1.4</t>
  </si>
  <si>
    <t>Techo Propio</t>
  </si>
  <si>
    <t>Ahorros BM</t>
  </si>
  <si>
    <t>Ahorros PN</t>
  </si>
  <si>
    <t>4.1.1</t>
  </si>
  <si>
    <t>Ahorro Rentable</t>
  </si>
  <si>
    <t>Gerencia Central de Finanzas y Control de Gestión</t>
  </si>
  <si>
    <t>Jefe de Productos Pasivos</t>
  </si>
  <si>
    <t>Pasivo</t>
  </si>
  <si>
    <t>4.1.3</t>
  </si>
  <si>
    <t>Cuenta Sueldo</t>
  </si>
  <si>
    <t>4.1.4</t>
  </si>
  <si>
    <t>Ahorro Junior</t>
  </si>
  <si>
    <t>4.1.5</t>
  </si>
  <si>
    <t>Ahorro Flexible</t>
  </si>
  <si>
    <t>4.1.7</t>
  </si>
  <si>
    <t>Caja Digital</t>
  </si>
  <si>
    <t>Plazo Fijo PN</t>
  </si>
  <si>
    <t>4.2.1</t>
  </si>
  <si>
    <t>Depósito a Plazo Fijo - Edad de Oro</t>
  </si>
  <si>
    <t>4.2.2</t>
  </si>
  <si>
    <t>Depósitos a Plazo Fijo</t>
  </si>
  <si>
    <t>CTS</t>
  </si>
  <si>
    <t>4.3.1</t>
  </si>
  <si>
    <t>Banca Comercial</t>
  </si>
  <si>
    <t>Créditos BC</t>
  </si>
  <si>
    <t>IFIs-BC</t>
  </si>
  <si>
    <t>5.1.1</t>
  </si>
  <si>
    <t>Instituciones Financieras</t>
  </si>
  <si>
    <t>Gerencia de Finanzas</t>
  </si>
  <si>
    <t>Sub Gerencia de Tesorería y Mesa de Dinero</t>
  </si>
  <si>
    <t>Activo Fijo Maquinaria y Equipo-BC</t>
  </si>
  <si>
    <t>5.2.1</t>
  </si>
  <si>
    <t>Capital de Trabajo-BC</t>
  </si>
  <si>
    <t>5.3.1</t>
  </si>
  <si>
    <t>Línea de crédito-BC</t>
  </si>
  <si>
    <t>5.4.1</t>
  </si>
  <si>
    <t>Línea de Crédito-BC</t>
  </si>
  <si>
    <t>5.4.2</t>
  </si>
  <si>
    <t>Linea de Crédito Preferencial-BC</t>
  </si>
  <si>
    <t>Agropecuario-BC</t>
  </si>
  <si>
    <t>5.5.1</t>
  </si>
  <si>
    <t>Carta Fianza-BC</t>
  </si>
  <si>
    <t>5.6.1</t>
  </si>
  <si>
    <t>Ahorros BC</t>
  </si>
  <si>
    <t>Ahorros PJ</t>
  </si>
  <si>
    <t>6.1.1</t>
  </si>
  <si>
    <t>6.1.2</t>
  </si>
  <si>
    <t>Plazo Fijo PJ</t>
  </si>
  <si>
    <t>6.2.1</t>
  </si>
  <si>
    <t>Negociación y Ventas</t>
  </si>
  <si>
    <t>Tesorería</t>
  </si>
  <si>
    <t>Derivados</t>
  </si>
  <si>
    <t>7.1.1</t>
  </si>
  <si>
    <t>Derivados para cobertura - Forward</t>
  </si>
  <si>
    <t>Finanzas</t>
  </si>
  <si>
    <t>Compra Venta de Moneda</t>
  </si>
  <si>
    <t>7.2.1</t>
  </si>
  <si>
    <t>Renta Fija - Emisiones del Estado</t>
  </si>
  <si>
    <t>7.3.1</t>
  </si>
  <si>
    <t>CD BCR</t>
  </si>
  <si>
    <t>7.3.2</t>
  </si>
  <si>
    <t>Bonos del tesoro</t>
  </si>
  <si>
    <t>Repos</t>
  </si>
  <si>
    <t>7.4.1</t>
  </si>
  <si>
    <t>Repos BCR</t>
  </si>
  <si>
    <t>Posiciones Propias</t>
  </si>
  <si>
    <t>Renta Fija - Privados y BCRP</t>
  </si>
  <si>
    <t>8.1.1</t>
  </si>
  <si>
    <t>DPF Captaciones</t>
  </si>
  <si>
    <t>8.1.2</t>
  </si>
  <si>
    <t>DPF Colocaciones</t>
  </si>
  <si>
    <t>Renta Variable</t>
  </si>
  <si>
    <t>8.2.1</t>
  </si>
  <si>
    <t>Fondos Mutuos</t>
  </si>
  <si>
    <t>Fondo Interbancario</t>
  </si>
  <si>
    <t>8.3.1</t>
  </si>
  <si>
    <t>Fondo Interbancario - Colocación</t>
  </si>
  <si>
    <t>8.3.2</t>
  </si>
  <si>
    <t>Fondo Interbancario - Captación</t>
  </si>
  <si>
    <t>Adeudados</t>
  </si>
  <si>
    <t>8.4.1</t>
  </si>
  <si>
    <t>Jefe de Gestión Financiera</t>
  </si>
  <si>
    <t>8.4.2</t>
  </si>
  <si>
    <t>Adeudados Subordinados</t>
  </si>
  <si>
    <t>Instrumentos adquiridos por SAB</t>
  </si>
  <si>
    <t>8.7.1</t>
  </si>
  <si>
    <t>Letras</t>
  </si>
  <si>
    <t>8.7.2</t>
  </si>
  <si>
    <t>Bonos</t>
  </si>
  <si>
    <t>8.7.3</t>
  </si>
  <si>
    <t>CD Institucionales - Papeles comerciales</t>
  </si>
  <si>
    <t>8.7.4</t>
  </si>
  <si>
    <t>Operaciones de Reporte</t>
  </si>
  <si>
    <t>Instrumentos de deuda</t>
  </si>
  <si>
    <t>8.8.1</t>
  </si>
  <si>
    <t>Bonos Corporativos</t>
  </si>
  <si>
    <t>8.8.2</t>
  </si>
  <si>
    <t>Bonos Subordinados</t>
  </si>
  <si>
    <t>8.8.3</t>
  </si>
  <si>
    <t>Certificados de Depósito</t>
  </si>
  <si>
    <t>Liquidación y Pagos</t>
  </si>
  <si>
    <t>Clientes Externos</t>
  </si>
  <si>
    <t>Recaudación</t>
  </si>
  <si>
    <t>9.1.1</t>
  </si>
  <si>
    <t>Gerencia de Canales Alternativos</t>
  </si>
  <si>
    <t>Jefatura de Negocios en Canales Alternativos</t>
  </si>
  <si>
    <t>Servicios</t>
  </si>
  <si>
    <t>Otros Servicios</t>
  </si>
  <si>
    <t>Seguros</t>
  </si>
  <si>
    <t>Seguro Vida</t>
  </si>
  <si>
    <t>10.1.1</t>
  </si>
  <si>
    <t>Vida Caja</t>
  </si>
  <si>
    <t>Jefatura de Producto Seguros</t>
  </si>
  <si>
    <t>10.1.2</t>
  </si>
  <si>
    <t>Seguro vida Mi Familia</t>
  </si>
  <si>
    <t>10.1.3</t>
  </si>
  <si>
    <t>Desgravamen</t>
  </si>
  <si>
    <t>10.2.1</t>
  </si>
  <si>
    <t>SOAT</t>
  </si>
  <si>
    <t>10.2.2</t>
  </si>
  <si>
    <t>Protección de Tarjetas</t>
  </si>
  <si>
    <t>10.2.3</t>
  </si>
  <si>
    <t>10.2.4</t>
  </si>
  <si>
    <t>Retiro Seguro</t>
  </si>
  <si>
    <t>Procesos de Soporte</t>
  </si>
  <si>
    <t>Gestión Humana</t>
  </si>
  <si>
    <t>11.1.1</t>
  </si>
  <si>
    <t>Gerencia de Personas y Desarrollo Organizacional</t>
  </si>
  <si>
    <t>Jefe de Administración de Personal</t>
  </si>
  <si>
    <t>Proceso soporte</t>
  </si>
  <si>
    <t>Gestión Administrativa</t>
  </si>
  <si>
    <t>11.2.1</t>
  </si>
  <si>
    <t>Gerencia de Administración</t>
  </si>
  <si>
    <t>Jefe de Adquisiciones/Jefe de Servicios Internos</t>
  </si>
  <si>
    <t>Gestión de Canales Tradicionales</t>
  </si>
  <si>
    <t>11.3.1</t>
  </si>
  <si>
    <t>Gerencia de Operaciones</t>
  </si>
  <si>
    <t xml:space="preserve">Jefe de Operaciones y Red de agencias/Jefe de Procesos Centrales y Servicios
</t>
  </si>
  <si>
    <t>Gestión Contable y Tributaria</t>
  </si>
  <si>
    <t>11.4.1</t>
  </si>
  <si>
    <t>Gerencia de Contabilidad y Tributaria</t>
  </si>
  <si>
    <t>Jefe de Contabilidad
Jefe de Tributaria</t>
  </si>
  <si>
    <t>Gestión Legal</t>
  </si>
  <si>
    <t>11.5.1</t>
  </si>
  <si>
    <t>Gerencia Legal</t>
  </si>
  <si>
    <t>Sub Gerencia Legal</t>
  </si>
  <si>
    <t>Gestión de Canales Alternativos</t>
  </si>
  <si>
    <t>11.6.1</t>
  </si>
  <si>
    <t>Canales</t>
  </si>
  <si>
    <t>Seguros No vida</t>
  </si>
  <si>
    <t>Línea de crédito Consumo</t>
  </si>
  <si>
    <t>Renta Fija - Emisiónes del Estado</t>
  </si>
  <si>
    <t>Vivienda - Caja Construye</t>
  </si>
  <si>
    <t>Pérdida RO</t>
  </si>
  <si>
    <t>N° clientes</t>
  </si>
  <si>
    <t>Cartera / Saldo</t>
  </si>
  <si>
    <t>Producto</t>
  </si>
  <si>
    <t>Línea de Negocio</t>
  </si>
  <si>
    <t>Nivel 2 - Producto AQP</t>
  </si>
  <si>
    <t>N° productos RO</t>
  </si>
  <si>
    <t>Gestión Contable y Tributario</t>
  </si>
  <si>
    <t>Gasto Real</t>
  </si>
  <si>
    <t>N° Objetivos Estrategicos</t>
  </si>
  <si>
    <t>(Información a Diciembre 2020)</t>
  </si>
  <si>
    <t>Parte del Plan</t>
  </si>
  <si>
    <t>RTO PCN</t>
  </si>
  <si>
    <t>Procesos RTO mínimo</t>
  </si>
  <si>
    <t>% procesos PCN</t>
  </si>
  <si>
    <t>Afecto a LPDP</t>
  </si>
  <si>
    <t>PCI - directo</t>
  </si>
  <si>
    <t>Tipo Canal</t>
  </si>
  <si>
    <t>N° personas (colaboradores)</t>
  </si>
  <si>
    <t>Plan Continuidad</t>
  </si>
  <si>
    <t>Impacto sobre pasivos de la institucón asociados a solvencia</t>
  </si>
  <si>
    <t>Impacto sobre activos de la institucón asociados a solvencia</t>
  </si>
  <si>
    <t>Comentario</t>
  </si>
  <si>
    <t>Relación con Personas</t>
  </si>
  <si>
    <t>Negocio Financiero</t>
  </si>
  <si>
    <t>Analista Riesgos responsable</t>
  </si>
  <si>
    <t xml:space="preserve">Acumulan hasta 50% de clientes + colaboradores con datos sensibles (vinculados a productos y procesos por LPDP o PCI) </t>
  </si>
  <si>
    <t xml:space="preserve">Acumulan hasta 20% de clientes + colaboradores con datos sensibles (vinculados a productos y procesos por LPDP o PCI) </t>
  </si>
  <si>
    <t>Cartera Pasivos</t>
  </si>
  <si>
    <t>Cartera Activos</t>
  </si>
  <si>
    <t>Licencias</t>
  </si>
  <si>
    <t>Procesamiento de Datos</t>
  </si>
  <si>
    <t>Nivel de utilización de nube</t>
  </si>
  <si>
    <t>Lugar de Servicio (plaza)</t>
  </si>
  <si>
    <t>Nivel de Especialización 
(puede realizar la Caja)</t>
  </si>
  <si>
    <t>Seguridad y ciberseguridad</t>
  </si>
  <si>
    <t>Procesos Soporte</t>
  </si>
  <si>
    <t xml:space="preserve">Acumulan hasta 70% de clientes + colaboradores con datos sensibles (vinculados a productos y procesos por LPDP o PCI) </t>
  </si>
  <si>
    <t xml:space="preserve">Acumulan más de 70% de clientes + colaboradores con datos sensibles (productos y procesos por LPD o PCI) </t>
  </si>
  <si>
    <t>Proveedor</t>
  </si>
  <si>
    <t>No</t>
  </si>
  <si>
    <t>Si</t>
  </si>
  <si>
    <t>Cajeros Automaticos (ATM's)</t>
  </si>
  <si>
    <t>Gestión de TI</t>
  </si>
  <si>
    <t>Soporte Operativo</t>
  </si>
  <si>
    <t>Soporte Comercial</t>
  </si>
  <si>
    <t>Tradicional - presencial</t>
  </si>
  <si>
    <t>Digital</t>
  </si>
  <si>
    <t xml:space="preserve">Cajero Corresponsal Caja </t>
  </si>
  <si>
    <t>Cajero Corresponsal Terceros</t>
  </si>
  <si>
    <t>No aplica</t>
  </si>
  <si>
    <t>BENAVENTE VILLANUEVA, LESLIE NATALI</t>
  </si>
  <si>
    <t>EDIFICACIONES</t>
  </si>
  <si>
    <t>EQUIPOS DE COMUNICACION</t>
  </si>
  <si>
    <t>EQUIPOS ELECTRICOS</t>
  </si>
  <si>
    <t>EQUIPOS INFORMATICOS</t>
  </si>
  <si>
    <t>INMUEBLES</t>
  </si>
  <si>
    <t>INSTALACIONES</t>
  </si>
  <si>
    <t>SIU MANRIQUE, MARIBEL CECILIA</t>
  </si>
  <si>
    <t>MUEBLES Y ENSERES</t>
  </si>
  <si>
    <t>CONDO MAMANI, SANDRA ARACELY</t>
  </si>
  <si>
    <t>MERMA ARTEAGA, SOLANSH NOHELY</t>
  </si>
  <si>
    <t>PUBLICIDAD</t>
  </si>
  <si>
    <t>SEGURIDAD DEFENSA CIVIL</t>
  </si>
  <si>
    <t>SEGURIDAD ELECTRONICA</t>
  </si>
  <si>
    <t>SEGURIDAD FISICA</t>
  </si>
  <si>
    <t>UNIDADES DE TRANSPORTE</t>
  </si>
  <si>
    <t>ACCESORIO UNIDAD DE TRANSPORTE</t>
  </si>
  <si>
    <t>SUMINISTROS</t>
  </si>
  <si>
    <t>SOFTWARE</t>
  </si>
  <si>
    <t>IMPRESOS</t>
  </si>
  <si>
    <t>UNIFORMES</t>
  </si>
  <si>
    <t>ATENCIONES AL PERSONAL</t>
  </si>
  <si>
    <t>ATENCIONES A CLIENTES</t>
  </si>
  <si>
    <t>GASTOS DE REPRESENTACION</t>
  </si>
  <si>
    <t>REPUESTOS</t>
  </si>
  <si>
    <t>SERVICIOS DE TERCEROS</t>
  </si>
  <si>
    <t>SUMINISTROS ESPECIALES</t>
  </si>
  <si>
    <t>RTO</t>
  </si>
  <si>
    <t>COD</t>
  </si>
  <si>
    <t>Servicio</t>
  </si>
  <si>
    <t>Telefónica</t>
  </si>
  <si>
    <t>Globokas</t>
  </si>
  <si>
    <t>Enlace a la Cámara de Compensación Electrónica</t>
  </si>
  <si>
    <t>Servicio de Bancared</t>
  </si>
  <si>
    <t>Hermes</t>
  </si>
  <si>
    <t>Prosegur</t>
  </si>
  <si>
    <t>G4S</t>
  </si>
  <si>
    <t>Unibanca</t>
  </si>
  <si>
    <t>DATATEC</t>
  </si>
  <si>
    <t>BCRP</t>
  </si>
  <si>
    <t>BIA Vigente</t>
  </si>
  <si>
    <t xml:space="preserve">Oficinas - Agencias </t>
  </si>
  <si>
    <t>Cuidad</t>
  </si>
  <si>
    <t>RUC</t>
  </si>
  <si>
    <t>Subcontratación</t>
  </si>
  <si>
    <t>Significativo - previamente</t>
  </si>
  <si>
    <t>COD_FAMILIA</t>
  </si>
  <si>
    <t>FAMILIA</t>
  </si>
  <si>
    <t>COD_SUBFAM</t>
  </si>
  <si>
    <t>SUBFAMILIA</t>
  </si>
  <si>
    <t>COMPRADOR</t>
  </si>
  <si>
    <t>CANALES ALTERNATIVOS</t>
  </si>
  <si>
    <t>PCN</t>
  </si>
  <si>
    <t>Servicios TI</t>
  </si>
  <si>
    <t>KASNET</t>
  </si>
  <si>
    <t>GLOBALNET</t>
  </si>
  <si>
    <t>VISA</t>
  </si>
  <si>
    <t>UNICARD</t>
  </si>
  <si>
    <t>C.ELECTRONICO</t>
  </si>
  <si>
    <t>SCOTIABANK</t>
  </si>
  <si>
    <t>INTERBANK</t>
  </si>
  <si>
    <t>BCO.NACION</t>
  </si>
  <si>
    <t>BANBIF</t>
  </si>
  <si>
    <t>BCP</t>
  </si>
  <si>
    <t>POS</t>
  </si>
  <si>
    <t>POS NACIONAL</t>
  </si>
  <si>
    <t>POS EXTRANJERO</t>
  </si>
  <si>
    <t>Agente</t>
  </si>
  <si>
    <t>Cajeros Automaticos (ATM's) - Terceros</t>
  </si>
  <si>
    <t>Corresponsalia</t>
  </si>
  <si>
    <t>App Caja Arequipa movil</t>
  </si>
  <si>
    <t>?</t>
  </si>
  <si>
    <t>Local Caja</t>
  </si>
  <si>
    <t>Servicios TI 504</t>
  </si>
  <si>
    <t>Homebanking - Internet</t>
  </si>
  <si>
    <t>RUC - Proveedor</t>
  </si>
  <si>
    <t>Respuesta S/N</t>
  </si>
  <si>
    <t>Contrato ó adenda</t>
  </si>
  <si>
    <t>Procesos de soporte relacionados a productos</t>
  </si>
  <si>
    <t>Productos RTO mínimo</t>
  </si>
  <si>
    <t>Familia Producto/ Servicio</t>
  </si>
  <si>
    <t>Moneda</t>
  </si>
  <si>
    <t>Soles</t>
  </si>
  <si>
    <t>Dólares</t>
  </si>
  <si>
    <t>Rating Reputación</t>
  </si>
  <si>
    <t>Comprador</t>
  </si>
  <si>
    <t>N2</t>
  </si>
  <si>
    <t>N1</t>
  </si>
  <si>
    <t>N3</t>
  </si>
  <si>
    <t>N1P</t>
  </si>
  <si>
    <t>N3SP</t>
  </si>
  <si>
    <t>Coordinador de riesgo</t>
  </si>
  <si>
    <t>N° Objetivos Estrategicos (%)</t>
  </si>
  <si>
    <t>Cartera / Saldo (%)</t>
  </si>
  <si>
    <t>Ingresos (%)</t>
  </si>
  <si>
    <t>N° clientes (%)</t>
  </si>
  <si>
    <t>Pérdida RO (%)</t>
  </si>
  <si>
    <t>Gasto Real (%)</t>
  </si>
  <si>
    <t>N° productos RO (%)</t>
  </si>
  <si>
    <t>N° personas (colaboradores) (%)</t>
  </si>
  <si>
    <t>Productos</t>
  </si>
  <si>
    <t>Total</t>
  </si>
  <si>
    <t>Matriz</t>
  </si>
  <si>
    <t>Tabla</t>
  </si>
  <si>
    <t>Tab_Productos</t>
  </si>
  <si>
    <t>Tab_Agencias</t>
  </si>
  <si>
    <t>Tab_Canales</t>
  </si>
  <si>
    <t>Tab_Proc_soporte</t>
  </si>
  <si>
    <t>Tipo Cartera</t>
  </si>
  <si>
    <t>6.  Resultados de Aplicación de Criterios del Rating para identificar "Subcontratación o Servicios Complementarios del Sector Financiero":</t>
  </si>
  <si>
    <t>Cantidad de productos y servicios relacionados con procesos de soporte</t>
  </si>
  <si>
    <t>Rubro de Bien / Servicio
(Familia - Subfamilia)</t>
  </si>
  <si>
    <t>Contar</t>
  </si>
  <si>
    <t>Bien o Servicio, no vinculado con este criterio</t>
  </si>
  <si>
    <t>Las licencias de software son de carácter general y para estaciones de trabajo especificas, no vinculadas a las actividades del negocio financiero, procesamiento del CORE o canales, ni seguridad.</t>
  </si>
  <si>
    <t>Herramientas, tecnología y servicios de carácter general, para proveedor seguridad y ciberseguridad. Incluye la configuración e instalación de antivirus en una estación -  de trabajo particular (única no para un grupo )</t>
  </si>
  <si>
    <t>Bien o Servicio, no utiliza técnología de la nube</t>
  </si>
  <si>
    <t>Utilización de la nube por los proveedores de bienes y servicios para guardar información administrativa de los servicios, proyectos o bienes que brindan, pero no vinculadas a las actividades de la Caja. Por ejemplo cronogramas de proyecto en aplicaciones para cronogramas, ideas, y seguimiento de las mesas agiles.</t>
  </si>
  <si>
    <t>Bien o Servicio, utiliza la tecnología de la nube para reguardar información agrega o limitada del negocio; sin embargo, no procesa los saldos, operaciones ni detalle de la misma. Sino que la tecnología de nube se usa como medio de compartir o almacenar data que existe dentro de la Caja.</t>
  </si>
  <si>
    <t>Bien o Servicio, supone que se utilizará tecnología de nube para almacenar, procesar y actualizar información de los clientes, operaciones, canales o estados financieros de la Caja, mediante dicha tecnología para funciones del CORE o complementos del negocio y sus canales. Por ejemplo: tener el procesmaiento de operaciones, seguridad o transaccionalidad de almenos un producto financiero en tecnología de nube.</t>
  </si>
  <si>
    <t>Servicios de análisis de datos donde se brinda información general de la empresa y que no incluye directamente datos de clientes ni operaciones de la empresa</t>
  </si>
  <si>
    <t>Adquisición, desarrollo de Sistemas y Mantenimiento</t>
  </si>
  <si>
    <t>Infraestructura, Arquitectura e instalación de equipamiento</t>
  </si>
  <si>
    <t>Actividades generales para cualquier sector, que no guardan especilización para empresas financieras en particular. Ejemplo : Limpieza y aseo, seguridad general, mensajeria general, compra de utiles de escritorio, etc..</t>
  </si>
  <si>
    <t>Actividades de soporte al negocio financiero no relacionadas directamente con los productos y servicios. Por ejemplo: Servicios generales, mantenimiento de equipos, vehiculos, equipos y bienes de carácter general.</t>
  </si>
  <si>
    <t>Actividades que no forman parte de las actividades directas de empresas financieras, pero sólo proveedores especializados podrían realizar. Por ejemplo: Transporte de valores, Información de mesas de dinera, CCE, venta de tarjetas debito, POS, etc.</t>
  </si>
  <si>
    <t>Bien o Servicio de carácter general, no requieren conocimiento, experriencia y especialización. Funciones generales o servicios generales, no relacionados con actividades del negocio. Por ejemplo energía, luz, agua, gasfiteria y otros oficios.</t>
  </si>
  <si>
    <t>Bien o servicio, con un grado de especialización utilizables por multiples sectores, y no unicamentes en el sector financiero. Servicios de profesionales, por firmas especializadas en auditoria, consultoria, mejora de negocio y asesoramiento. No involucradas en actividades cotidianas de la empresa.</t>
  </si>
  <si>
    <t>Bien o Servicios, provisto por tecero altamente especializado y que complementa al sector financiero; sin embargo, los permisos licencias y conocimientos no son propios de empresas financieras. Por ejemplo: CCE, seguridad de agencias, LBTR, Portavalores, red de POS, centro de control de seguridad, etc..</t>
  </si>
  <si>
    <t>Tipo de Proceso</t>
  </si>
  <si>
    <t>Bien o servicio, se relaciona o participa de procesos de soporte generales de la empresa, sin relación directa con el soporte de los productos y servicios del negocio.</t>
  </si>
  <si>
    <t>Bien o Servicio especializado, soporta los procesos de negocio / procesos de soporte directo del negocio, para lograr realizar las actividades que permiten brindar adecuadamente los productos y servicios. Por ejemplo: otras redes, corresponsales, POS, etc.</t>
  </si>
  <si>
    <t>Servicios de honorarios profesionales o contratos de locación, para actividades operativas especificas o funciones temporales en la Caja; cumpliendo los procesos y controles internos, usando la tecnología, recursos y herramientas de la Caja Arequipa</t>
  </si>
  <si>
    <t xml:space="preserve"> Auditoria / Consultoría y Aseguramiento</t>
  </si>
  <si>
    <t>Bienes y servicios, no guardan relación con la función de auditoria interna o semejantes. Todo servicio diferente a auditoria, consultoría o semejantes.</t>
  </si>
  <si>
    <t>Bienes y servicios, es una función de aseguramiento / consultoria especializada, diferente a realizar auditorias internas y que no se vincula a las actividades cotidianas de la Caja. Si bien podría tener alto grado de conocimiento / especialización no se relaciona con las actividades diarias de la Caja. Por ejempo: Ethical Hacker, QSA, Consultoria, Asessoria, Consultoria para aseguramiento, asesores financiero.</t>
  </si>
  <si>
    <t>Servicios de Auditoría Externa de los estados financieros, Auditoria de Prevención de Lavado de Activos y otas Auditorias de cumplimiento regulatorio. También considerar el caso de contratar de manera especifica por unica vez evaluaciones eespecializadas para auditoria interna por una empresa esecializada.</t>
  </si>
  <si>
    <t xml:space="preserve">Servicio de Auditoria relacionada a realizar total o parcialmente de manera permanente las funciones estipuladas en los reglamentos de la SBS como actividades de Auditoria Interna. Incluye la funciones y evaluaciones responsabilidad de Auditoria Interna, contempladas en las normas de Gobierno Corporativo y Gestión Integral de Riesgos. </t>
  </si>
  <si>
    <t>7. Autorización y Firmas:</t>
  </si>
  <si>
    <t>Rating Total (máximo)</t>
  </si>
  <si>
    <t>Acumulan hasta el 30% de la cartera de importes de  productos activos y pasivos</t>
  </si>
  <si>
    <t>Acumulan hasta el 50% de la cartera de importes de  productos activos y pasivos</t>
  </si>
  <si>
    <t>Acumulan hasta el 70% de la cartera de importes de  productos activos y pasivos</t>
  </si>
  <si>
    <t>Mayor al 70% de productos y procesos vinculados</t>
  </si>
  <si>
    <t>Acumulan hasta el 10% de los productos y procesos de toda la Caja con RTO igual o menos "4 horas" explicando menos el 30% de los ingresos</t>
  </si>
  <si>
    <t>Acumulan hasta el 10% de los productos y procesos de toda la Caja con RTO igual o menos "4 horas" explicando entre 30.01% y 50.0% de los ingresos</t>
  </si>
  <si>
    <t>Acumulan hasta el 10% de los productos y procesos de toda la Caja con RTO igual o menos "4 horas" explicando entre 50.01% y 60.01% de los ingresos</t>
  </si>
  <si>
    <t>Acumulan hasta el 10% de los productos y procesos de toda la Caja con RTO igual o menos "4 horas" explicando más del 60% de los ingresos</t>
  </si>
  <si>
    <t>más</t>
  </si>
  <si>
    <t>1</t>
  </si>
  <si>
    <t>2</t>
  </si>
  <si>
    <t>3</t>
  </si>
  <si>
    <t>4</t>
  </si>
  <si>
    <t>Criterio Significativo (Dic 2020)</t>
  </si>
  <si>
    <t>Criterios TI</t>
  </si>
  <si>
    <t>Ingresar información</t>
  </si>
  <si>
    <t>No es bien/servicio de TI según los criterios del artículo 22</t>
  </si>
  <si>
    <t>Servicios significativos de procesamiento de datos utilizando nube(cumplir articulo 23 y 24)</t>
  </si>
  <si>
    <t>Servicios no significativos de procesamiento de datos</t>
  </si>
  <si>
    <t>3 Nube</t>
  </si>
  <si>
    <t>3 Datos</t>
  </si>
  <si>
    <t>4 Datos</t>
  </si>
  <si>
    <t>4 Nube</t>
  </si>
  <si>
    <t>Resultado</t>
  </si>
  <si>
    <t>Criterios Subcontratación</t>
  </si>
  <si>
    <t>Detalle TI</t>
  </si>
  <si>
    <t>Detalle Subcontratación</t>
  </si>
  <si>
    <t>No es subcontratación</t>
  </si>
  <si>
    <t>A USUARIA</t>
  </si>
  <si>
    <t>TIPO DE CONTRATO</t>
  </si>
  <si>
    <t>GIRO PRINICPAL DEL PROVEEDOR</t>
  </si>
  <si>
    <t>PROVEEDOR</t>
  </si>
  <si>
    <t>DESCRIPCION DEL CONTRATO</t>
  </si>
  <si>
    <t>IMPORTE DE CONTRATACION</t>
  </si>
  <si>
    <t>FECHA DE SUSCRIPCION</t>
  </si>
  <si>
    <t>FECHA DE INICIO</t>
  </si>
  <si>
    <t>FECHA DE TERMINO DE RELACION CONTRACTUAL</t>
  </si>
  <si>
    <t>FECHA DE LA ULTIMA RENOVACION</t>
  </si>
  <si>
    <t>OBS</t>
  </si>
  <si>
    <t>REGION O ZONA GEOGRÁFICA DONDE SE DESARROLLARÁ EL SERVICIO</t>
  </si>
  <si>
    <t>ACUERDOS DE NIVEL DE SERVICIO</t>
  </si>
  <si>
    <t>NRO CONTRATO</t>
  </si>
  <si>
    <t>PROCESOS CENTRALES</t>
  </si>
  <si>
    <t>SERVICIO</t>
  </si>
  <si>
    <t>TRANSPORTE DE VALORES</t>
  </si>
  <si>
    <t>HERMES TRANSPORTES BLINDADOS</t>
  </si>
  <si>
    <t>SERVICIO DE TRANSPORTE DE VALORES</t>
  </si>
  <si>
    <t>$5,694,545.29</t>
  </si>
  <si>
    <t>NACIONAL</t>
  </si>
  <si>
    <t>SI DE ACUERDO A LAS ESPECIFICACIONES TECNICAS Y CONDICIONES PARTICULARES DEL SERVICIO QUE DIO LUGAR AL CONTRATO 119-2021</t>
  </si>
  <si>
    <t>119-2021-CMAC/ALEG</t>
  </si>
  <si>
    <t>Maribel Siu</t>
  </si>
  <si>
    <t>Match</t>
  </si>
  <si>
    <t>No aplica por ser datos de un contrato</t>
  </si>
  <si>
    <t>Si aplica</t>
  </si>
  <si>
    <t>Datos adicionales</t>
  </si>
  <si>
    <t>Ejemplo</t>
  </si>
  <si>
    <t>Campos de AQP</t>
  </si>
  <si>
    <t>Cumplir requisitos de artículos 22 y 23 Uso de servicios en nube</t>
  </si>
  <si>
    <t>Procesamiento de data analitica para fines comerciales, que no incluye información completa de los clientes, tales como: evaluaciones de modelos scoring, BI para prospección comercial, diseño de modelos de inteligencia, data analitics con información agregada y que no afecta las operaciones, saldos y contabilidad de la empresa.</t>
  </si>
  <si>
    <t>Servicios significativos de procesamiento de datos, cumplir art. 24 (verificar contar con autorización SBS en caso de centro de procesamiento fuera del Perú)</t>
  </si>
  <si>
    <t>3 Nube y 4 Datos</t>
  </si>
  <si>
    <t>Unir mensajes</t>
  </si>
  <si>
    <t>3 Nube y 3 Datos</t>
  </si>
  <si>
    <t>4 Nube y 3 Datos</t>
  </si>
  <si>
    <t>4 Nube y 4 Datos</t>
  </si>
  <si>
    <t>Al menos un 3 y no hay condiciones de arriba</t>
  </si>
  <si>
    <t>Se coloca mensaje 3</t>
  </si>
  <si>
    <t>Si todo es debajo de 2</t>
  </si>
  <si>
    <t>Se coloca mensaje 2</t>
  </si>
  <si>
    <t>Servicios provistos por terceros en: gestión de tecnología de la información, a gestión de seguridad de la información o a procesamiento de datos (cumplir art. 22)</t>
  </si>
  <si>
    <t>5.  Aplicación de criterios de evaluación de Servicios de Terceros Vinculados a tecnología por reglamento 504-2021:</t>
  </si>
  <si>
    <t>4 auditoría</t>
  </si>
  <si>
    <t>Resultado:</t>
  </si>
  <si>
    <t>ATM's y Agentes</t>
  </si>
  <si>
    <t>No considerar</t>
  </si>
  <si>
    <t>Impacta solo en 2</t>
  </si>
  <si>
    <t>Impacta solo en 4</t>
  </si>
  <si>
    <t>Tipo Canal Rating</t>
  </si>
  <si>
    <t>Agencias Rating</t>
  </si>
  <si>
    <t>Digital Rating</t>
  </si>
  <si>
    <t>ATM's y agentes Rating</t>
  </si>
  <si>
    <t>RED AQP</t>
  </si>
  <si>
    <t>CAJA AQP</t>
  </si>
  <si>
    <t>Campos Rating</t>
  </si>
  <si>
    <t>Incoherente, revisar calificación de Nivel de utilización de nube y Procesamiento de Datos</t>
  </si>
  <si>
    <t>INSTRUCCIONES PARA EL USO DEL RATING DE BIENES Y SERVICIOS</t>
  </si>
  <si>
    <t xml:space="preserve"> + DATOS DE SOLICITUD</t>
  </si>
  <si>
    <t>Para el llenado de esta primera sección debemos ingresar la información respectiva del requerimiento</t>
  </si>
  <si>
    <r>
      <rPr>
        <b/>
        <sz val="11"/>
        <color theme="1"/>
        <rFont val="Calibri"/>
        <family val="2"/>
        <scheme val="minor"/>
      </rPr>
      <t>1.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Gerente de Línea (solicitante):</t>
    </r>
    <r>
      <rPr>
        <sz val="11"/>
        <color theme="1"/>
        <rFont val="Calibri"/>
        <family val="2"/>
        <scheme val="minor"/>
      </rPr>
      <t xml:space="preserve"> Nombre del Gerente - área</t>
    </r>
  </si>
  <si>
    <r>
      <rPr>
        <b/>
        <sz val="11"/>
        <color theme="1"/>
        <rFont val="Calibri"/>
        <family val="2"/>
        <scheme val="minor"/>
      </rPr>
      <t>3.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Rubro de Bien / Servicio (Familia - Subfamilia):</t>
    </r>
    <r>
      <rPr>
        <sz val="11"/>
        <color theme="1"/>
        <rFont val="Calibri"/>
        <family val="2"/>
        <scheme val="minor"/>
      </rPr>
      <t xml:space="preserve"> Familia - Subfamilia de bien/servicio (ingresar según desplegable)</t>
    </r>
  </si>
  <si>
    <r>
      <rPr>
        <b/>
        <sz val="11"/>
        <color theme="1"/>
        <rFont val="Calibri"/>
        <family val="2"/>
        <scheme val="minor"/>
      </rPr>
      <t>4.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Administrador del rubro:</t>
    </r>
    <r>
      <rPr>
        <sz val="11"/>
        <color theme="1"/>
        <rFont val="Calibri"/>
        <family val="2"/>
        <scheme val="minor"/>
      </rPr>
      <t xml:space="preserve"> Nombre del administrador de rubro</t>
    </r>
  </si>
  <si>
    <r>
      <rPr>
        <b/>
        <sz val="11"/>
        <color theme="1"/>
        <rFont val="Calibri"/>
        <family val="2"/>
        <scheme val="minor"/>
      </rPr>
      <t>5.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Analista Riesgos responsable:</t>
    </r>
    <r>
      <rPr>
        <sz val="11"/>
        <color theme="1"/>
        <rFont val="Calibri"/>
        <family val="2"/>
        <scheme val="minor"/>
      </rPr>
      <t xml:space="preserve"> Nombre de responsable de análisis de riesgo (sólo si aplica)</t>
    </r>
  </si>
  <si>
    <r>
      <rPr>
        <b/>
        <sz val="11"/>
        <color theme="1"/>
        <rFont val="Calibri"/>
        <family val="2"/>
        <scheme val="minor"/>
      </rPr>
      <t>7.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Lugar de Servicio (plaza):</t>
    </r>
    <r>
      <rPr>
        <sz val="11"/>
        <color theme="1"/>
        <rFont val="Calibri"/>
        <family val="2"/>
        <scheme val="minor"/>
      </rPr>
      <t xml:space="preserve"> Localización en la cual se ejecutara el Bien/Servicio</t>
    </r>
  </si>
  <si>
    <r>
      <rPr>
        <b/>
        <sz val="11"/>
        <color theme="1"/>
        <rFont val="Calibri"/>
        <family val="2"/>
        <scheme val="minor"/>
      </rPr>
      <t>8.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Moneda (Soles o dólares):</t>
    </r>
    <r>
      <rPr>
        <sz val="11"/>
        <color theme="1"/>
        <rFont val="Calibri"/>
        <family val="2"/>
        <scheme val="minor"/>
      </rPr>
      <t xml:space="preserve"> Tipo de moneda del importe de contratación</t>
    </r>
  </si>
  <si>
    <r>
      <rPr>
        <b/>
        <sz val="11"/>
        <color theme="1"/>
        <rFont val="Calibri"/>
        <family val="2"/>
        <scheme val="minor"/>
      </rPr>
      <t>9.</t>
    </r>
    <r>
      <rPr>
        <b/>
        <sz val="7"/>
        <color theme="1"/>
        <rFont val="Times New Roman"/>
        <family val="1"/>
      </rPr>
      <t xml:space="preserve">     </t>
    </r>
    <r>
      <rPr>
        <b/>
        <sz val="11"/>
        <color theme="1"/>
        <rFont val="Calibri"/>
        <family val="2"/>
        <scheme val="minor"/>
      </rPr>
      <t>Importe de contratación B/S:</t>
    </r>
    <r>
      <rPr>
        <sz val="11"/>
        <color theme="1"/>
        <rFont val="Calibri"/>
        <family val="2"/>
        <scheme val="minor"/>
      </rPr>
      <t xml:space="preserve"> Monto del valor del bien/servicio</t>
    </r>
  </si>
  <si>
    <r>
      <rPr>
        <b/>
        <sz val="11"/>
        <color theme="1"/>
        <rFont val="Calibri"/>
        <family val="2"/>
        <scheme val="minor"/>
      </rPr>
      <t>10.</t>
    </r>
    <r>
      <rPr>
        <b/>
        <sz val="7"/>
        <color theme="1"/>
        <rFont val="Times New Roman"/>
        <family val="1"/>
      </rPr>
      <t xml:space="preserve">   </t>
    </r>
    <r>
      <rPr>
        <b/>
        <sz val="11"/>
        <color theme="1"/>
        <rFont val="Calibri"/>
        <family val="2"/>
        <scheme val="minor"/>
      </rPr>
      <t>Contrato ó adenda:</t>
    </r>
    <r>
      <rPr>
        <sz val="11"/>
        <color theme="1"/>
        <rFont val="Calibri"/>
        <family val="2"/>
        <scheme val="minor"/>
      </rPr>
      <t xml:space="preserve"> Tipo de contratación del bien/servicio</t>
    </r>
  </si>
  <si>
    <r>
      <rPr>
        <b/>
        <sz val="11"/>
        <color theme="1"/>
        <rFont val="Calibri"/>
        <family val="2"/>
        <scheme val="minor"/>
      </rPr>
      <t>11.</t>
    </r>
    <r>
      <rPr>
        <b/>
        <sz val="7"/>
        <color theme="1"/>
        <rFont val="Times New Roman"/>
        <family val="1"/>
      </rPr>
      <t xml:space="preserve">   </t>
    </r>
    <r>
      <rPr>
        <b/>
        <sz val="11"/>
        <color theme="1"/>
        <rFont val="Calibri"/>
        <family val="2"/>
        <scheme val="minor"/>
      </rPr>
      <t>Fecha de requerimiento:</t>
    </r>
    <r>
      <rPr>
        <sz val="11"/>
        <color theme="1"/>
        <rFont val="Calibri"/>
        <family val="2"/>
        <scheme val="minor"/>
      </rPr>
      <t xml:space="preserve"> Fecha en la cual se realiza el requerimiento</t>
    </r>
  </si>
  <si>
    <r>
      <rPr>
        <b/>
        <sz val="11"/>
        <color theme="1"/>
        <rFont val="Calibri"/>
        <family val="2"/>
        <scheme val="minor"/>
      </rPr>
      <t>12.</t>
    </r>
    <r>
      <rPr>
        <b/>
        <sz val="7"/>
        <color theme="1"/>
        <rFont val="Times New Roman"/>
        <family val="1"/>
      </rPr>
      <t xml:space="preserve">   </t>
    </r>
    <r>
      <rPr>
        <b/>
        <sz val="11"/>
        <color theme="1"/>
        <rFont val="Calibri"/>
        <family val="2"/>
        <scheme val="minor"/>
      </rPr>
      <t>Fecha de validación del rating:</t>
    </r>
    <r>
      <rPr>
        <sz val="11"/>
        <color theme="1"/>
        <rFont val="Calibri"/>
        <family val="2"/>
        <scheme val="minor"/>
      </rPr>
      <t xml:space="preserve"> Fecha en la cual se realiza la validación del rating</t>
    </r>
  </si>
  <si>
    <r>
      <rPr>
        <b/>
        <sz val="11"/>
        <color theme="1"/>
        <rFont val="Calibri"/>
        <family val="2"/>
        <scheme val="minor"/>
      </rPr>
      <t>13.</t>
    </r>
    <r>
      <rPr>
        <b/>
        <sz val="7"/>
        <color theme="1"/>
        <rFont val="Times New Roman"/>
        <family val="1"/>
      </rPr>
      <t xml:space="preserve">   </t>
    </r>
    <r>
      <rPr>
        <b/>
        <sz val="11"/>
        <color theme="1"/>
        <rFont val="Calibri"/>
        <family val="2"/>
        <scheme val="minor"/>
      </rPr>
      <t>Fecha de comunicación a riesgos:</t>
    </r>
    <r>
      <rPr>
        <sz val="11"/>
        <color theme="1"/>
        <rFont val="Calibri"/>
        <family val="2"/>
        <scheme val="minor"/>
      </rPr>
      <t xml:space="preserve"> Fecha en la cual se comparte los riesgos detectados</t>
    </r>
  </si>
  <si>
    <t>1. DESCRIPCIÓN DEL BIEN/SERVICIO A ADQUIRIRSE PROVISTO POR TERCEROS</t>
  </si>
  <si>
    <t>Para el llenado de esta sección debemos ingresar la información basada en las siguientes preguntas sobre el bien/servicio. ¿Procesos y áreas inmersas en la Adquisición? ¿Alcance de la adquisición y vinculación con el negocio?</t>
  </si>
  <si>
    <t>2. PRODUCTOS Y SERVICIOS, PROCESOS, CANALES, AGENCIAS (LOCALES) Y UNIDADES RELACIONADAS EN LA CONTRATACIÓN</t>
  </si>
  <si>
    <t>Para el llenado de esta sección debemos identificar los activos de la organización que se relacionarían con el bien/servicio a contratar.
En cada criterio, se puede ingresar las opciones: ninguno, todos o hasta las 5 opciones más importantes</t>
  </si>
  <si>
    <r>
      <t>1.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 xml:space="preserve">Productos y Servicios: </t>
    </r>
    <r>
      <rPr>
        <sz val="11"/>
        <color theme="1"/>
        <rFont val="Calibri"/>
        <family val="2"/>
        <scheme val="minor"/>
      </rPr>
      <t>Lista desplegable de productos y servicios de la organización.</t>
    </r>
  </si>
  <si>
    <r>
      <t>2.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 xml:space="preserve">Procesos Soporte: </t>
    </r>
    <r>
      <rPr>
        <sz val="11"/>
        <color theme="1"/>
        <rFont val="Calibri"/>
        <family val="2"/>
        <scheme val="minor"/>
      </rPr>
      <t>Lista desplegable de procesos de soporte de la organización.</t>
    </r>
  </si>
  <si>
    <r>
      <t>3.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 xml:space="preserve">Locales y Oficinas Prioritarias: </t>
    </r>
    <r>
      <rPr>
        <sz val="11"/>
        <color theme="1"/>
        <rFont val="Calibri"/>
        <family val="2"/>
        <scheme val="minor"/>
      </rPr>
      <t>Lista desplegable de locales y oficinas prioritarias.</t>
    </r>
  </si>
  <si>
    <r>
      <t>4.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>Canales de Atención:</t>
    </r>
    <r>
      <rPr>
        <sz val="11"/>
        <color theme="1"/>
        <rFont val="Calibri"/>
        <family val="2"/>
        <scheme val="minor"/>
      </rPr>
      <t xml:space="preserve"> Se divide en 3 canales de atención de la entidad (Agencia, ATM's y Agentes y Digitales).</t>
    </r>
  </si>
  <si>
    <t xml:space="preserve">3.  RESULTADOS DE APLICACIÓN DE CRITERIOS DEL RATING PARA IDENTIFICAR BIENES Y/O SERVICIOS PROVISTOS POR TERCEROS SIGNIFICATIVOS: </t>
  </si>
  <si>
    <t>De acuerdo a los activos registrados en la sección anterior, se calculará el impacto en cada criterio de riesgo generado por la contratación del Bien/Servicio en métricas de monto y %. Se obtendrá una calificación de rating por cada criterio de riesgo.</t>
  </si>
  <si>
    <r>
      <t xml:space="preserve">Como resultado final, se visualizará el valor del rating por cada factor de riesgo y un rating resultante </t>
    </r>
    <r>
      <rPr>
        <b/>
        <sz val="11"/>
        <color theme="1"/>
        <rFont val="Calibri"/>
        <family val="2"/>
        <scheme val="minor"/>
      </rPr>
      <t>"Rating Total (suma)".</t>
    </r>
  </si>
  <si>
    <t>4.  BIEN / SERVICIOS SE VINCULAN A COMPRAS DE TECNOLOGÍA: GESTIÓN DE TECNOLOGÍA DE LA INFORMACIÓN, GESTIÓN DE SEGURIDAD DE LA INFORMACIÓN O A PROCESAMIENTO DE DATOS</t>
  </si>
  <si>
    <r>
      <t xml:space="preserve">De acuerdo a la </t>
    </r>
    <r>
      <rPr>
        <b/>
        <sz val="11"/>
        <color theme="1"/>
        <rFont val="Calibri"/>
        <family val="2"/>
        <scheme val="minor"/>
      </rPr>
      <t>"SUBFAMILIA"</t>
    </r>
    <r>
      <rPr>
        <sz val="11"/>
        <color theme="1"/>
        <rFont val="Calibri"/>
        <family val="2"/>
        <scheme val="minor"/>
      </rPr>
      <t xml:space="preserve"> del bien/servicio a contratar, se determina la vinculación a compras de tecnología. Este resultado es determinado en automático.</t>
    </r>
  </si>
  <si>
    <r>
      <t xml:space="preserve">Si el valor de esta pregunta es </t>
    </r>
    <r>
      <rPr>
        <b/>
        <sz val="11"/>
        <color theme="1"/>
        <rFont val="Calibri"/>
        <family val="2"/>
        <scheme val="minor"/>
      </rPr>
      <t>SI</t>
    </r>
    <r>
      <rPr>
        <sz val="11"/>
        <color theme="1"/>
        <rFont val="Calibri"/>
        <family val="2"/>
        <scheme val="minor"/>
      </rPr>
      <t xml:space="preserve">, el responsable de llenar el presente documento debe ingresar la información correspondiente al rating de Tecnología. Caso contrario, omitir el </t>
    </r>
    <r>
      <rPr>
        <b/>
        <sz val="11"/>
        <color theme="1"/>
        <rFont val="Calibri"/>
        <family val="2"/>
        <scheme val="minor"/>
      </rPr>
      <t>punto 5.</t>
    </r>
  </si>
  <si>
    <t>5. APLICACIÓN DE CRITERIS DE EVALUACIÓN DE SERVICIO DE TERCEROS VINCULADOS A TECNOLOGÍA POR REGLAMENTO 504-2021</t>
  </si>
  <si>
    <r>
      <t xml:space="preserve">Para el llenado de la presente sección, se debe considerar los conceptos con el cual se opta por cada una de las opciones del rating en cada criterio, y determinar si se trata de </t>
    </r>
    <r>
      <rPr>
        <b/>
        <sz val="11"/>
        <color theme="1"/>
        <rFont val="Calibri"/>
        <family val="2"/>
        <scheme val="minor"/>
      </rPr>
      <t>un bien/servicio de TI</t>
    </r>
    <r>
      <rPr>
        <sz val="11"/>
        <color theme="1"/>
        <rFont val="Calibri"/>
        <family val="2"/>
        <scheme val="minor"/>
      </rPr>
      <t xml:space="preserve"> o </t>
    </r>
    <r>
      <rPr>
        <b/>
        <sz val="11"/>
        <color theme="1"/>
        <rFont val="Calibri"/>
        <family val="2"/>
        <scheme val="minor"/>
      </rPr>
      <t>un bien/servicio significativo de TI</t>
    </r>
    <r>
      <rPr>
        <sz val="11"/>
        <color theme="1"/>
        <rFont val="Calibri"/>
        <family val="2"/>
        <scheme val="minor"/>
      </rPr>
      <t xml:space="preserve">. Para poder sustentar cada calificación, ingresar información relevante en la columna de </t>
    </r>
    <r>
      <rPr>
        <b/>
        <sz val="11"/>
        <color theme="1"/>
        <rFont val="Calibri"/>
        <family val="2"/>
        <scheme val="minor"/>
      </rPr>
      <t>Comentario</t>
    </r>
    <r>
      <rPr>
        <sz val="11"/>
        <color theme="1"/>
        <rFont val="Calibri"/>
        <family val="2"/>
        <scheme val="minor"/>
      </rPr>
      <t>.</t>
    </r>
  </si>
  <si>
    <r>
      <t xml:space="preserve">Como resultado de la evaluación realizada en la parte superior, se obtendrá el resultado del rating de </t>
    </r>
    <r>
      <rPr>
        <b/>
        <sz val="11"/>
        <color theme="1"/>
        <rFont val="Calibri"/>
        <family val="2"/>
        <scheme val="minor"/>
      </rPr>
      <t>tecnología,</t>
    </r>
    <r>
      <rPr>
        <sz val="11"/>
        <color theme="1"/>
        <rFont val="Calibri"/>
        <family val="2"/>
        <scheme val="minor"/>
      </rPr>
      <t xml:space="preserve"> según las siguientes reglas:</t>
    </r>
  </si>
  <si>
    <t>Escenario</t>
  </si>
  <si>
    <t>De no corresponder a un bien/servicio de TI</t>
  </si>
  <si>
    <t>De ser un bien/servicio de TI</t>
  </si>
  <si>
    <t>De ser un bien/servicio de TI en nube</t>
  </si>
  <si>
    <t>De ser un bien/servicio de TI significativo en nube y de procesamiento de datos</t>
  </si>
  <si>
    <t>De ser un bien/servicio de TI de procesamiento de datos</t>
  </si>
  <si>
    <t>De ser un bien/servicio de TI signficativo de procesamiento de datos</t>
  </si>
  <si>
    <t>De ser un bien/servicio de TI signficativo en nube y no de procesamiento de datos</t>
  </si>
  <si>
    <t>6.  RESULTADOS DE APLICACIÓN DE CRITERIOS DEL RATING PARA IDENTIFICAR "SUBCONTRATACIÓN O SERVICIOS COMPLEMENTARIOS DEL SECTOR FINANCIERO":</t>
  </si>
  <si>
    <r>
      <t xml:space="preserve">Para el llenado de la presente sección, se debe considerar los conceptos con el cual se opta por cada una de las opciones del rating en cada criterio, y asi determinar si se trata de una </t>
    </r>
    <r>
      <rPr>
        <b/>
        <sz val="11"/>
        <color theme="1"/>
        <rFont val="Calibri"/>
        <family val="2"/>
        <scheme val="minor"/>
      </rPr>
      <t>subcontratación</t>
    </r>
    <r>
      <rPr>
        <sz val="11"/>
        <color theme="1"/>
        <rFont val="Calibri"/>
        <family val="2"/>
        <scheme val="minor"/>
      </rPr>
      <t xml:space="preserve"> o </t>
    </r>
    <r>
      <rPr>
        <b/>
        <sz val="11"/>
        <color theme="1"/>
        <rFont val="Calibri"/>
        <family val="2"/>
        <scheme val="minor"/>
      </rPr>
      <t>subcontratación significativa</t>
    </r>
    <r>
      <rPr>
        <sz val="11"/>
        <color theme="1"/>
        <rFont val="Calibri"/>
        <family val="2"/>
        <scheme val="minor"/>
      </rPr>
      <t>. Para poder sustentar cada calificación, ingresar información relevante en la columna de Comentario.</t>
    </r>
  </si>
  <si>
    <r>
      <t xml:space="preserve">Como resultado de la evaluación realizada en la parte superior, se obtendrá el resultado del rating de </t>
    </r>
    <r>
      <rPr>
        <b/>
        <sz val="11"/>
        <color theme="1"/>
        <rFont val="Calibri"/>
        <family val="2"/>
        <scheme val="minor"/>
      </rPr>
      <t>subcontratación</t>
    </r>
    <r>
      <rPr>
        <sz val="11"/>
        <color theme="1"/>
        <rFont val="Calibri"/>
        <family val="2"/>
        <scheme val="minor"/>
      </rPr>
      <t xml:space="preserve"> según las siguientes reglas:</t>
    </r>
  </si>
  <si>
    <t>Calificación de cada criterio de rating menor o igual a 2</t>
  </si>
  <si>
    <t>Calificación de al menos un criterio del rating igual a 3</t>
  </si>
  <si>
    <t>Calificación de al menos un criterio del rating igual a 4</t>
  </si>
  <si>
    <r>
      <t>Calificación del criterio "</t>
    </r>
    <r>
      <rPr>
        <b/>
        <sz val="11"/>
        <color theme="1"/>
        <rFont val="Calibri"/>
        <family val="2"/>
        <scheme val="minor"/>
      </rPr>
      <t>Auditoria/Consultoría y Aseguramiento</t>
    </r>
    <r>
      <rPr>
        <sz val="11"/>
        <color theme="1"/>
        <rFont val="Calibri"/>
        <family val="2"/>
        <scheme val="minor"/>
      </rPr>
      <t>" igual a 4</t>
    </r>
  </si>
  <si>
    <t>7. AUTORIZACIÓN Y FIRMAS:</t>
  </si>
  <si>
    <t>Criterios Significativo</t>
  </si>
  <si>
    <t>Detalle Significativo</t>
  </si>
  <si>
    <t>No es un producto/servicio significativo</t>
  </si>
  <si>
    <t>Se considera posible bien o servicio significativo y requiere evaluación del área de riesgos</t>
  </si>
  <si>
    <t>No es un producto o servicio significativo</t>
  </si>
  <si>
    <t>TIPO_AGENCIA</t>
  </si>
  <si>
    <t>COD_AGENCIA</t>
  </si>
  <si>
    <t>NOMBRE_AGENCIA/OFICINA</t>
  </si>
  <si>
    <t>DIRECCION</t>
  </si>
  <si>
    <t>DPTO</t>
  </si>
  <si>
    <t>PROVINCIA</t>
  </si>
  <si>
    <t>DISTRITO</t>
  </si>
  <si>
    <t>UBIGEO</t>
  </si>
  <si>
    <t>¿Prioritaria/Critica?</t>
  </si>
  <si>
    <t>100101</t>
  </si>
  <si>
    <t>030101</t>
  </si>
  <si>
    <t>250301</t>
  </si>
  <si>
    <t xml:space="preserve">LIMA                </t>
  </si>
  <si>
    <t xml:space="preserve">LIMA                          </t>
  </si>
  <si>
    <t>150117</t>
  </si>
  <si>
    <t>040103</t>
  </si>
  <si>
    <t>040104</t>
  </si>
  <si>
    <t>040110</t>
  </si>
  <si>
    <t>040102</t>
  </si>
  <si>
    <t>030201</t>
  </si>
  <si>
    <t>080301</t>
  </si>
  <si>
    <t>150103</t>
  </si>
  <si>
    <t>040303</t>
  </si>
  <si>
    <t>040129</t>
  </si>
  <si>
    <t>210801</t>
  </si>
  <si>
    <t>210201</t>
  </si>
  <si>
    <t>211101</t>
  </si>
  <si>
    <t>060101</t>
  </si>
  <si>
    <t>250101</t>
  </si>
  <si>
    <t>040201</t>
  </si>
  <si>
    <t>150507</t>
  </si>
  <si>
    <t>150106</t>
  </si>
  <si>
    <t>190113</t>
  </si>
  <si>
    <t>130101</t>
  </si>
  <si>
    <t>010101</t>
  </si>
  <si>
    <t>040307</t>
  </si>
  <si>
    <t>120301</t>
  </si>
  <si>
    <t>140101</t>
  </si>
  <si>
    <t>120107</t>
  </si>
  <si>
    <t>021801</t>
  </si>
  <si>
    <t>110201</t>
  </si>
  <si>
    <t>040501</t>
  </si>
  <si>
    <t>150108</t>
  </si>
  <si>
    <t>150118</t>
  </si>
  <si>
    <t>120901</t>
  </si>
  <si>
    <t>040128</t>
  </si>
  <si>
    <t>230104</t>
  </si>
  <si>
    <t>120114</t>
  </si>
  <si>
    <t>040702</t>
  </si>
  <si>
    <t>150110</t>
  </si>
  <si>
    <t>040413</t>
  </si>
  <si>
    <t>230101</t>
  </si>
  <si>
    <t>040801</t>
  </si>
  <si>
    <t>210402</t>
  </si>
  <si>
    <t>080106</t>
  </si>
  <si>
    <t>130102</t>
  </si>
  <si>
    <t>210101</t>
  </si>
  <si>
    <t>080801</t>
  </si>
  <si>
    <t>110108</t>
  </si>
  <si>
    <t>050101</t>
  </si>
  <si>
    <t>210601</t>
  </si>
  <si>
    <t>090101</t>
  </si>
  <si>
    <t>020101</t>
  </si>
  <si>
    <t>040107</t>
  </si>
  <si>
    <t>110101</t>
  </si>
  <si>
    <t>210501</t>
  </si>
  <si>
    <t>180301</t>
  </si>
  <si>
    <t>150112</t>
  </si>
  <si>
    <t>160101</t>
  </si>
  <si>
    <t>040112</t>
  </si>
  <si>
    <t>120401</t>
  </si>
  <si>
    <t>150716</t>
  </si>
  <si>
    <t>040108</t>
  </si>
  <si>
    <t>040101</t>
  </si>
  <si>
    <t>120801</t>
  </si>
  <si>
    <t>150101</t>
  </si>
  <si>
    <t>150119</t>
  </si>
  <si>
    <t>210301</t>
  </si>
  <si>
    <t>150120</t>
  </si>
  <si>
    <t>150123</t>
  </si>
  <si>
    <t>170101</t>
  </si>
  <si>
    <t>170102</t>
  </si>
  <si>
    <t>040701</t>
  </si>
  <si>
    <t>150132</t>
  </si>
  <si>
    <t>180101</t>
  </si>
  <si>
    <t>140105</t>
  </si>
  <si>
    <t>220101</t>
  </si>
  <si>
    <t>110301</t>
  </si>
  <si>
    <t>180201</t>
  </si>
  <si>
    <t>040520</t>
  </si>
  <si>
    <t>200601</t>
  </si>
  <si>
    <t>190301</t>
  </si>
  <si>
    <t>110401</t>
  </si>
  <si>
    <t>110106</t>
  </si>
  <si>
    <t>120303</t>
  </si>
  <si>
    <t>110501</t>
  </si>
  <si>
    <t>200101</t>
  </si>
  <si>
    <t>080101</t>
  </si>
  <si>
    <t>080901</t>
  </si>
  <si>
    <t>120101</t>
  </si>
  <si>
    <t>080104</t>
  </si>
  <si>
    <t>050110</t>
  </si>
  <si>
    <t>080105</t>
  </si>
  <si>
    <t>211201</t>
  </si>
  <si>
    <t>150137</t>
  </si>
  <si>
    <t>230110</t>
  </si>
  <si>
    <t>110111</t>
  </si>
  <si>
    <t>080601</t>
  </si>
  <si>
    <t>150133</t>
  </si>
  <si>
    <t>150135</t>
  </si>
  <si>
    <t>040122</t>
  </si>
  <si>
    <t>150141</t>
  </si>
  <si>
    <t>220901</t>
  </si>
  <si>
    <t>120701</t>
  </si>
  <si>
    <t>100601</t>
  </si>
  <si>
    <t>221001</t>
  </si>
  <si>
    <t>240101</t>
  </si>
  <si>
    <t>040126</t>
  </si>
  <si>
    <t>081301</t>
  </si>
  <si>
    <t>070106</t>
  </si>
  <si>
    <t>150142</t>
  </si>
  <si>
    <t>150143</t>
  </si>
  <si>
    <t>080108</t>
  </si>
  <si>
    <t>211301</t>
  </si>
  <si>
    <t>150125</t>
  </si>
  <si>
    <t>Edificio Fibra</t>
  </si>
  <si>
    <t xml:space="preserve">Calle las orquídeas 585 </t>
  </si>
  <si>
    <t>SAN ISIDRO</t>
  </si>
  <si>
    <t>13</t>
  </si>
  <si>
    <t>47</t>
  </si>
  <si>
    <t>En esta última sección ingresamos la firma de cada uno de los responsables de la autorización de la contratación del bien/servicio según el procedimiento y política establecida.
Se puede observar la calificación del rating de las tres evaluaciones previas de manera consolidada, según el resultado obtenido</t>
  </si>
  <si>
    <t>Contrato/Adenda/Orden de compra</t>
  </si>
  <si>
    <t>Fecha de validación del rating (Riesgos)</t>
  </si>
  <si>
    <t>Jefatura Responsable</t>
  </si>
  <si>
    <t>Jefatura de Adquisiciones</t>
  </si>
  <si>
    <t>Licenciamiento de software para herramientas y utilitarios de estaciones de trabajo, no especializada en el sector financiero. Sin embargo, si puede relacionarse a funciones gestión de tecnología o seguridad. Incluye las licencias de software para todas o la mayoría de estaciones de trabajo</t>
  </si>
  <si>
    <t>Compra y/o desarrollo de soluciones por proveedores especializados, para módulos o software; que por su nivel de especialización y funciones, no debería realizarse dentro de la Caja. Sistemas Operativos, modificaciones de sistemas CORE, switch transaccional</t>
  </si>
  <si>
    <t>Compra o desarrollo personalización para funciones del sector financiero, pruebas de los sistemas relacionados a la comercialización de productos y servicios financieros. CORE, Canales, desarrollo e innovación digital, autenticación y semejantes. Incluyen la gestión contable, sistemas de control administrativo central e inventarios.</t>
  </si>
  <si>
    <r>
      <t xml:space="preserve">En caso servicio u  proveedor forme parte del PCN vigentes o el rating total es mayor es </t>
    </r>
    <r>
      <rPr>
        <b/>
        <sz val="10"/>
        <color theme="1"/>
        <rFont val="Calibri"/>
        <family val="2"/>
        <scheme val="minor"/>
      </rPr>
      <t>"B/S S</t>
    </r>
    <r>
      <rPr>
        <b/>
        <sz val="10"/>
        <rFont val="Calibri"/>
        <family val="2"/>
        <scheme val="minor"/>
      </rPr>
      <t>ignificativo"</t>
    </r>
    <r>
      <rPr>
        <b/>
        <sz val="10"/>
        <color theme="1"/>
        <rFont val="Calibri"/>
        <family val="2"/>
        <scheme val="minor"/>
      </rPr>
      <t xml:space="preserve"> </t>
    </r>
  </si>
  <si>
    <t xml:space="preserve">Actividades propias e inherentes del negocio financiero y/o cuya función de soporte permiten realizar las actividadades del negocio como: créditos, canales de atención, ahorro, cobranza de los créditos, entre otras. Outsourcing de actividades y procesos comerciales, operaciones, tecnologicas, y de funciones de la empresa consideradas como parte interna, con empresas que asuman ese rol por la Caja. </t>
  </si>
  <si>
    <t>Bien o servicio, es puntual y no vinculado a los procesos de la organización. Reparaciones, gasfiteria, servicio de Catering, alquiler de locales para reuniones</t>
  </si>
  <si>
    <t>Bien o Servicio, que forma parte integral de procesos y actividades propias del negocio financiero de la Caja, constituyendo un outsourcing de las actividades con una empresa; que asume total o parcialmente actividades de la Caja.</t>
  </si>
  <si>
    <t>Servicios de contratación de personal, como reemplazo temporal, intermediación laboral o services de las actividades; donde el proveedores garantiza personal competente, que será liderado por un área de la Caja. Cumpliendo los procesos y controles internos, usando la tecnología, recursos y herramientas de la Caja Arequipa. En esta categoria se podria considerar servicios de límpieza</t>
  </si>
  <si>
    <t>Bien o Servicio, considera personal altamente especializado, que forma parte de la planilla del proveedor, y realiza los procesos con recursos del proveedor (laptop, equipamiento),  guarde o permanezca fisica (logicamente) dentro del perimetro de la Caja. Las personas del servicio, constituyen una función o proceso que complementa de manera especializas las actividades de la Caja y el negocio financiero, por ejemplo: broker de seguros, seguridad y custodia, etc..</t>
  </si>
  <si>
    <t>Compra de software previamente elaborado para soporte general, no asociado a las funciones del negocio, para un numero limitado de usuarios y equipos. Por ejemplo diseño gráfico</t>
  </si>
  <si>
    <t>Bienes o servicios relacionados a tecnología para proteger los activos de la Caja. Tales como todas las licencias de antivirus, seguridad en los servidores, LPD, firewall, etc.</t>
  </si>
  <si>
    <t>Bienes o servicios comprados únicos y no para fines de gestión de administración de la tecnología, seguridad o procesamiento. Por ejemplo una o un grupo limitado de tablets, laptops, celulares.</t>
  </si>
  <si>
    <t>Bienes o Servicios permiten la mejora, actualización o incremento de la capacidades tecnologicas de la Caja o parte de sus canales de atención. Incluye equipamiento de la red de datos y/o comunicaciones para brindar los servicios (incluyendo tecnología que soporta los canales de atención)</t>
  </si>
  <si>
    <t>Posible servicio especializado para Sector Financiero</t>
  </si>
  <si>
    <t>Posible Subcontratación para Sector Financiero</t>
  </si>
  <si>
    <t>Posible Subcontratación significativa y requiere permiso SBS</t>
  </si>
  <si>
    <t>Para el llenado del rating, es obligatorio llenar los campos marcados en celeste</t>
  </si>
  <si>
    <r>
      <rPr>
        <b/>
        <sz val="11"/>
        <color theme="1"/>
        <rFont val="Calibri"/>
        <family val="2"/>
        <scheme val="minor"/>
      </rPr>
      <t>2.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 xml:space="preserve">Comprador: </t>
    </r>
    <r>
      <rPr>
        <sz val="11"/>
        <color theme="1"/>
        <rFont val="Calibri"/>
        <family val="2"/>
        <scheme val="minor"/>
      </rPr>
      <t>Nombre del responsable de compra (se llena por default completando la familia)</t>
    </r>
  </si>
  <si>
    <r>
      <rPr>
        <b/>
        <sz val="11"/>
        <color theme="1"/>
        <rFont val="Calibri"/>
        <family val="2"/>
        <scheme val="minor"/>
      </rPr>
      <t>6.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1"/>
        <color theme="1"/>
        <rFont val="Calibri"/>
        <family val="2"/>
        <scheme val="minor"/>
      </rPr>
      <t xml:space="preserve">RUC - Proveedor: </t>
    </r>
    <r>
      <rPr>
        <sz val="11"/>
        <color theme="1"/>
        <rFont val="Calibri"/>
        <family val="2"/>
        <scheme val="minor"/>
      </rPr>
      <t>Número RUC - Nombre de empresa proveedora</t>
    </r>
  </si>
  <si>
    <t>Posible Especializado para Sector Financiero</t>
  </si>
  <si>
    <t>12</t>
  </si>
  <si>
    <t>Para el llenado de esta sección se debe tner en consideración las siguientes posibles combinaciones:</t>
  </si>
  <si>
    <t>Aspecto vinculado
Ejemplo: Productos y servicios</t>
  </si>
  <si>
    <t>Respuesa final</t>
  </si>
  <si>
    <t>Posibles Combinaciones:</t>
  </si>
  <si>
    <t>NO</t>
  </si>
  <si>
    <r>
      <t xml:space="preserve">Cuando el servicio no afecta a </t>
    </r>
    <r>
      <rPr>
        <b/>
        <sz val="11"/>
        <color theme="1"/>
        <rFont val="Calibri"/>
        <family val="2"/>
        <scheme val="minor"/>
      </rPr>
      <t>NINGUNO</t>
    </r>
    <r>
      <rPr>
        <sz val="11"/>
        <color theme="1"/>
        <rFont val="Calibri"/>
        <family val="2"/>
        <scheme val="minor"/>
      </rPr>
      <t xml:space="preserve"> y tampoco afecta a </t>
    </r>
    <r>
      <rPr>
        <b/>
        <sz val="11"/>
        <color theme="1"/>
        <rFont val="Calibri"/>
        <family val="2"/>
        <scheme val="minor"/>
      </rPr>
      <t xml:space="preserve">TODOS </t>
    </r>
    <r>
      <rPr>
        <sz val="11"/>
        <color theme="1"/>
        <rFont val="Calibri"/>
        <family val="2"/>
        <scheme val="minor"/>
      </rPr>
      <t>los aspectos evaluados.
En este caso se debe de elegir a las opciones que le afecta (utilizar lista desplegable "Opción 1", "Opción 2" ...)</t>
    </r>
  </si>
  <si>
    <t>SI</t>
  </si>
  <si>
    <t>Esta combinación es INCORRECTA, por lo que en ningun caso debería colocarse.</t>
  </si>
  <si>
    <r>
      <t xml:space="preserve">Cuando el servicio afecta significativamente a </t>
    </r>
    <r>
      <rPr>
        <b/>
        <sz val="11"/>
        <color theme="1"/>
        <rFont val="Calibri"/>
        <family val="2"/>
        <scheme val="minor"/>
      </rPr>
      <t>TODAS</t>
    </r>
    <r>
      <rPr>
        <sz val="11"/>
        <color theme="1"/>
        <rFont val="Calibri"/>
        <family val="2"/>
        <scheme val="minor"/>
      </rPr>
      <t xml:space="preserve"> las opciones del aspecto evaluado.</t>
    </r>
  </si>
  <si>
    <r>
      <t xml:space="preserve">Cuando el servicio no afecta a </t>
    </r>
    <r>
      <rPr>
        <b/>
        <sz val="11"/>
        <color theme="1"/>
        <rFont val="Calibri"/>
        <family val="2"/>
        <scheme val="minor"/>
      </rPr>
      <t>NINGUNA</t>
    </r>
    <r>
      <rPr>
        <sz val="11"/>
        <color theme="1"/>
        <rFont val="Calibri"/>
        <family val="2"/>
        <scheme val="minor"/>
      </rPr>
      <t xml:space="preserve"> de las opciones del aspecto evaluado.</t>
    </r>
  </si>
  <si>
    <t xml:space="preserve">GERENCIAS DE LINEA </t>
  </si>
  <si>
    <t>Maria Eugenia Alfaro Bejarano</t>
  </si>
  <si>
    <t>Gerencia de Innovation Lab</t>
  </si>
  <si>
    <t xml:space="preserve">Gerencia de Administración </t>
  </si>
  <si>
    <t>Gerencia de TI</t>
  </si>
  <si>
    <t>Gerencia de Procesos y Calidad de Servicios Operacionales</t>
  </si>
  <si>
    <t>Gerencia de Marketing, Experiencia Cliente y Sostenibilidad</t>
  </si>
  <si>
    <t>Gerencia de Inteligencia de Negocios</t>
  </si>
  <si>
    <t>Gerencia de Créditos</t>
  </si>
  <si>
    <t>Gerencia de Estrategia de Negocios y Segmentos</t>
  </si>
  <si>
    <t>Sub Gerencia de Cobranza</t>
  </si>
  <si>
    <t>Gerencia de Productos Pasivos</t>
  </si>
  <si>
    <t>Gerencia de Control de Gestión y Planificación Estratégica</t>
  </si>
  <si>
    <t>Gerencia de Auditoría Interna</t>
  </si>
  <si>
    <t>Gerencia de Riesgo Corporativo</t>
  </si>
  <si>
    <t>Gerencia de Compliance y Prevención</t>
  </si>
  <si>
    <t>Oficialía de Cumplimiento</t>
  </si>
  <si>
    <t>Oficialía de Cumplimiento Normativo</t>
  </si>
  <si>
    <t>CONTRERAS MENDOZA, AMANDA PIERINA</t>
  </si>
  <si>
    <t>CHAMANA RONDAN, KATHERINE</t>
  </si>
  <si>
    <t>CRUZ HUANCA, VANESSA ALEXANDRA</t>
  </si>
  <si>
    <t>1.2.6</t>
  </si>
  <si>
    <t>Préstamo Cuenta Sueldo</t>
  </si>
  <si>
    <t>2.3.5</t>
  </si>
  <si>
    <t>Bienvenido</t>
  </si>
  <si>
    <t>4.2.3</t>
  </si>
  <si>
    <t>Depósito Plazo fijo Creciente</t>
  </si>
  <si>
    <t>Inmobiliario</t>
  </si>
  <si>
    <t>5.7.1</t>
  </si>
  <si>
    <t>Seguros Optativos</t>
  </si>
  <si>
    <t>10.1.4</t>
  </si>
  <si>
    <t>Oncocaja</t>
  </si>
  <si>
    <t>Seguros Vinculados</t>
  </si>
  <si>
    <t>11.7.1</t>
  </si>
  <si>
    <t>Jefe de Infraestructura y Tecnología / Jefe de Ciberseguridad y Continuidad Operacional</t>
  </si>
  <si>
    <t>AYAVIRI</t>
  </si>
  <si>
    <t>Jr. 25 de Diciembre Nº 601 Esq. Jirón Cusco - Plaza de Armas</t>
  </si>
  <si>
    <t>AZANGARO</t>
  </si>
  <si>
    <t>Jr. Puno Nº 289 - Plaza de Armas</t>
  </si>
  <si>
    <t>BOLOGNESI</t>
  </si>
  <si>
    <t>Jr. Noriega N° 321 - 325</t>
  </si>
  <si>
    <t>DESAGUADERO</t>
  </si>
  <si>
    <t>Av. Panamericana N° 149</t>
  </si>
  <si>
    <t>EL SOL</t>
  </si>
  <si>
    <t>Av. El Sol N° 270</t>
  </si>
  <si>
    <t>HUANCANE</t>
  </si>
  <si>
    <t>Jr. Lima Nº 648 - 650</t>
  </si>
  <si>
    <t>ILAVE</t>
  </si>
  <si>
    <t xml:space="preserve">Jr. Atahualpa Nº 625 </t>
  </si>
  <si>
    <t>JULIACA</t>
  </si>
  <si>
    <t xml:space="preserve">Jr. 2 de Mayo Nº 203 Esq San Roman </t>
  </si>
  <si>
    <t>LAS MERCEDES</t>
  </si>
  <si>
    <t>Av. Normal Nº 463 Esq. Jr. San Juan de Dios Nº 309</t>
  </si>
  <si>
    <t>LAYKAKOTA</t>
  </si>
  <si>
    <t>Av. El Sol Nº 1369 -1371</t>
  </si>
  <si>
    <t>MACUSANI</t>
  </si>
  <si>
    <t>Jr. 28 de Julio N° 300 Esq. Jr. Arequipa N° 101 - Plaza de Armas</t>
  </si>
  <si>
    <t>ÓVALO VILCAPAZA</t>
  </si>
  <si>
    <t>Av. Circunvalación  N°101 / Esquina con Jirón Cahuide 1197 -1199</t>
  </si>
  <si>
    <t>PUNO</t>
  </si>
  <si>
    <t>Jr. Arequipa N° 385 Esq. Jr. Libertad N° 246</t>
  </si>
  <si>
    <t>SAN JOSE</t>
  </si>
  <si>
    <t>Jr. Raul Porras Barrenechea Nº 1213 Esq. Jr. Ayaviri</t>
  </si>
  <si>
    <t>SANDIA</t>
  </si>
  <si>
    <t>Jr. 28 de Julio con Jr. Puno</t>
  </si>
  <si>
    <t>TUPAC</t>
  </si>
  <si>
    <t>Jr. Túpac Amaru Nº 895 - 897</t>
  </si>
  <si>
    <t>YUNGUYO</t>
  </si>
  <si>
    <t> Jr. San Martín 424</t>
  </si>
  <si>
    <t>ALTO CAYMA</t>
  </si>
  <si>
    <t>Av. Ramón Castilla N°1204 PPJJ Francisco Bolognesi Mz. N Lt. 3 Zn. B</t>
  </si>
  <si>
    <t>ALTO LIBERTAD</t>
  </si>
  <si>
    <t>Av. Perú Nº 406 cruce con Av. Los Incas PP.JJ. Alto Libertad Mz. 16 Lte. 2-C  Zna. A</t>
  </si>
  <si>
    <t>ALTO MISTI</t>
  </si>
  <si>
    <t>Av. Tarapacá 1901</t>
  </si>
  <si>
    <t>ALTO SELVA ALEGRE</t>
  </si>
  <si>
    <t xml:space="preserve">Av. Las Torres Cuadra 9 Coop. Los Eucaliptos Mz. A Lte.11 - Pampas de Polanco </t>
  </si>
  <si>
    <t>CAYMA</t>
  </si>
  <si>
    <t>Av. Ejército Nº 1002</t>
  </si>
  <si>
    <t>CERRO COLORADO</t>
  </si>
  <si>
    <t>Av. Aviación N°606 B</t>
  </si>
  <si>
    <t>CIUDAD MUNICIPAL</t>
  </si>
  <si>
    <t>Asoc. Pro Vivienda Villa Aviación Mz G. Lt 11 Yura</t>
  </si>
  <si>
    <t>LA MERCED</t>
  </si>
  <si>
    <t>Calle La Merced Nº 100 - 106</t>
  </si>
  <si>
    <t>MERCADERES</t>
  </si>
  <si>
    <t>Calle Mercaderes Nº 241 Esq. Rivero Nº 101 - 103</t>
  </si>
  <si>
    <t>MIRAFLORES</t>
  </si>
  <si>
    <t>Av. Mariscal Castilla Nº 602 - 604 - 606</t>
  </si>
  <si>
    <t>RIO SECO</t>
  </si>
  <si>
    <t>Av. Aviación Km 9 Sub Lote 07 Vía Yura – Rio Seco</t>
  </si>
  <si>
    <t>SAN CAMILO</t>
  </si>
  <si>
    <t>Calle San Camilo Nº 118</t>
  </si>
  <si>
    <t>SIGLO XX</t>
  </si>
  <si>
    <t>Av. Siglo XX Nº 112</t>
  </si>
  <si>
    <t>TENIENTE FERRE</t>
  </si>
  <si>
    <t>Calle Teniente Ferré Nº 210</t>
  </si>
  <si>
    <t>UMACOLLO</t>
  </si>
  <si>
    <t>Urb. Valencia Mz. C Lt.15 Umacollo Yanahuara - Arequipa</t>
  </si>
  <si>
    <t>YURA</t>
  </si>
  <si>
    <t>Asentamiento Poblacional Cuidad de Dios Mz S Lt 1C Zona 3 Sector A - Yura</t>
  </si>
  <si>
    <t>ATICO</t>
  </si>
  <si>
    <t xml:space="preserve">Calle Francisco Ramirez S/N lote 1 Mza 116 </t>
  </si>
  <si>
    <t>AVELINO CACERES</t>
  </si>
  <si>
    <t>Av. Vidaurrazaga s/n Fundo El Rosario Sub Lt. 3</t>
  </si>
  <si>
    <t>CAMANA</t>
  </si>
  <si>
    <t>Jr. Nicolás de Piérola Nº 112-114</t>
  </si>
  <si>
    <t>CHALA</t>
  </si>
  <si>
    <t xml:space="preserve">Urb. Manuel Prado Mz. 51 Lt. 9 </t>
  </si>
  <si>
    <t>CHIVAY</t>
  </si>
  <si>
    <t>Calle Miguel Grau Q-19 Plaza de Armas</t>
  </si>
  <si>
    <t>COTAHUASI</t>
  </si>
  <si>
    <t>Calle Arequipa N° 113</t>
  </si>
  <si>
    <t>HUNTER</t>
  </si>
  <si>
    <t>Urb. La Colina I Mz. A Lte. 22</t>
  </si>
  <si>
    <t>ISRAEL</t>
  </si>
  <si>
    <t>Pueblo Joven Ciudad Israel Mz. A Lote 3 Zona A - Frente a Mercado Inmaculada Concepción</t>
  </si>
  <si>
    <t>JESUS</t>
  </si>
  <si>
    <t xml:space="preserve">Av. Jesus N° 602 Esq. con Av. Argentina N° 100 - Urb 15 de Enero </t>
  </si>
  <si>
    <t>LA JOYA</t>
  </si>
  <si>
    <t>AA. HH. El Triunfo Mz. F Lt. 1 Sector 1 Zn. A - Carretera Panamericana Sur</t>
  </si>
  <si>
    <t>LA PAMPILLA</t>
  </si>
  <si>
    <t>Av. Daniel Alcides Carrión Nº 271 - 273 - J.L.B. y Rivero</t>
  </si>
  <si>
    <t>LOS INCAS</t>
  </si>
  <si>
    <t>Av. Andres Avelino Cáceres N° 320</t>
  </si>
  <si>
    <t>MALL AVENTURA PLAZA</t>
  </si>
  <si>
    <t xml:space="preserve">Av. Porongoche s/n Oficina LF-6 </t>
  </si>
  <si>
    <t>PAUCARPATA</t>
  </si>
  <si>
    <t>Av. Jesús Nº 2510 Urb. Ampliacion Paucarpata Mz. P Lt. 12</t>
  </si>
  <si>
    <t>SOCABAYA</t>
  </si>
  <si>
    <t>Av. Socabaya N° 325 Urb. San Martin de Socabaya Zn. A</t>
  </si>
  <si>
    <t>CERRO DE PASCO</t>
  </si>
  <si>
    <t>Av. Los Próceres intersección con Agustín Gamarra N° 100 Urb. San Juan</t>
  </si>
  <si>
    <t>CHANCHAMAYO</t>
  </si>
  <si>
    <t xml:space="preserve">Jirón Tarma Nº 209 211 y 215 </t>
  </si>
  <si>
    <t>CHILCA</t>
  </si>
  <si>
    <t>Av. Real N° 695 - Chilca</t>
  </si>
  <si>
    <t>CHUPACA</t>
  </si>
  <si>
    <t>Jr. Andrea Arauco N° 157, en el Centro Poblado Chupaca, Sector B, Mz 4, lote 18</t>
  </si>
  <si>
    <t>CIUDAD UNIVERSITARIA</t>
  </si>
  <si>
    <t xml:space="preserve">AA. HH. La Victoria Lote Nº 06 Manzana 36 Sector C </t>
  </si>
  <si>
    <t>EL TAMBO</t>
  </si>
  <si>
    <t>Av. Mariscal Castilla N° 1201 Esq. Jirón Bolognesi Nº 106</t>
  </si>
  <si>
    <t>HUAMANGA</t>
  </si>
  <si>
    <t>Jr.Lima Nº 133</t>
  </si>
  <si>
    <t>HUANCAVELICA</t>
  </si>
  <si>
    <t>Jr. Virrey Toledo N° 358</t>
  </si>
  <si>
    <t>JAUJA</t>
  </si>
  <si>
    <t>Centro Poblado Jauja, Sector 4, Mz. D, Lote 8</t>
  </si>
  <si>
    <t>LA OROYA</t>
  </si>
  <si>
    <t>Av. Almirante Grau Nº 101 Sector Santa Anita A-4 - Marcavalle</t>
  </si>
  <si>
    <t>OXAPAMPA</t>
  </si>
  <si>
    <t>Jirón Mariscal Castilla 129 - Oxapampa</t>
  </si>
  <si>
    <t>PICHANAKI</t>
  </si>
  <si>
    <t>Av. Marginal Nº 531 - 537</t>
  </si>
  <si>
    <t>REAL</t>
  </si>
  <si>
    <t>Calle. Real Nº 1112 - 1120 - Cercado</t>
  </si>
  <si>
    <t>SAN JUAN BAUTISTA</t>
  </si>
  <si>
    <t>Av. Ramón Castilla N° 530, Asentamiento Humano San Juan Bautista Sector I, manzana A, Lote 23A</t>
  </si>
  <si>
    <t>TARMA</t>
  </si>
  <si>
    <t>Jr. Lima N° 656 - 666</t>
  </si>
  <si>
    <t>CANETE</t>
  </si>
  <si>
    <t>Jr. 28 de Julio 433</t>
  </si>
  <si>
    <t>CHINCHA</t>
  </si>
  <si>
    <t>Av. Oscar Benavides N° 200 - Chincha Alta</t>
  </si>
  <si>
    <t>CHORRILLOS</t>
  </si>
  <si>
    <t>Av. Guardia Civil N°388-390-392 Urb. La Campiña - C.C. Viamix Local N° 108</t>
  </si>
  <si>
    <t>GUADALUPE</t>
  </si>
  <si>
    <t>Centro Poblado Guadalupe Mz. G Lote 15</t>
  </si>
  <si>
    <t>ICA</t>
  </si>
  <si>
    <t>Calle Libertad N° 103 - Plaza de Armas</t>
  </si>
  <si>
    <t>ICA 2</t>
  </si>
  <si>
    <t xml:space="preserve">Esquina Av. Grau N° 300 con Av. La Mar </t>
  </si>
  <si>
    <t>ICA SAN MARTIN</t>
  </si>
  <si>
    <t>Av. San Martin Nº 1368 - Urb San Isidro</t>
  </si>
  <si>
    <t>ICA SANTIAGO</t>
  </si>
  <si>
    <t>CC. PP. Santiago Mz. G Lt. 14 Sector II - Panamericana Sur - Km 317</t>
  </si>
  <si>
    <t>JOSE GALVEZ</t>
  </si>
  <si>
    <t>PUEBLO JOVEN VILLA POETA JOSE GÁLVEZ-PARCELA ´B´, MZ 22, LOTE 6 (ACTUALMENTE ESQUINA JR. JOSÉ GALVEZ N° 895 CON AV. LIMA N° 713)</t>
  </si>
  <si>
    <t>LURIN</t>
  </si>
  <si>
    <t>Urb. Las Virreynas Mz. B Lt. 5 - Antigua Panamericana Sur</t>
  </si>
  <si>
    <t>MALA</t>
  </si>
  <si>
    <t>ANTIGUA PANAMERICANA SUR 346</t>
  </si>
  <si>
    <t>MERCADO PACHACAMAC</t>
  </si>
  <si>
    <t>Agrupamiento Pachacamac Mz. A
Lt.. 24 Et 2 Sector IV</t>
  </si>
  <si>
    <t>NASCA</t>
  </si>
  <si>
    <t>Calle Fermín del Castillo N° 263</t>
  </si>
  <si>
    <t>OVALO OASIS</t>
  </si>
  <si>
    <t>Av. 200 millas Mz-N, lote 11, dist. De Villa El Salvador</t>
  </si>
  <si>
    <t>PALPA</t>
  </si>
  <si>
    <t>Calle Portal de Botoneros Nº 134</t>
  </si>
  <si>
    <t>PARCONA</t>
  </si>
  <si>
    <t>Calle Ramón Castilla N° 182-A Mz R. Lt. 25</t>
  </si>
  <si>
    <t>PISCO</t>
  </si>
  <si>
    <t>Calle Progreso Nº 201 Esq Bolognesi N° 100 - 104</t>
  </si>
  <si>
    <t>PLAZA TUPAC AMARU</t>
  </si>
  <si>
    <t>AV. 24 DE OCTUBRE MZ. D-04 LT. 18  AA.HH. TUPAC AMARU DE VILLA</t>
  </si>
  <si>
    <t>VILLA EL SALVADOR</t>
  </si>
  <si>
    <t>Av. Revolución Mz. A Lt. 14 Sector 3 Grupo 3 Esq. Av. César Vallejo Sector 3</t>
  </si>
  <si>
    <t>VILLA MARIA DE TRIUNFO</t>
  </si>
  <si>
    <t>Asentamiento Humano Villa Maria del Triunfo Av. Nicolás de Pierola N° 596 (Mz. E1 Lt. 10A) Sector Villa Maria del Triunfo</t>
  </si>
  <si>
    <t>ABANCAY</t>
  </si>
  <si>
    <t>Avenida Arenas Nº 161</t>
  </si>
  <si>
    <t>ANDAHUAYLAS</t>
  </si>
  <si>
    <t>Jr. Ramon Castilla Nº 427</t>
  </si>
  <si>
    <t>ANTA</t>
  </si>
  <si>
    <t>Jr. Jaquijahuana Nº 416 - Izcuchaca</t>
  </si>
  <si>
    <t>EL MOLINO</t>
  </si>
  <si>
    <t>P.J. Manco Cápac Mz. G Lote 10 - Santiago</t>
  </si>
  <si>
    <t>ESPINAR</t>
  </si>
  <si>
    <t>Av. San Martin 325</t>
  </si>
  <si>
    <t>MARACANA</t>
  </si>
  <si>
    <t>Av. Andres Avelino Caceres Nº 811</t>
  </si>
  <si>
    <t>MAZUKO</t>
  </si>
  <si>
    <t>Av. Inambari Mz. LL Lt. 16 II Et. Centro Poblado de Mazuko - Tambopata</t>
  </si>
  <si>
    <t>PUERTO MALDONADO</t>
  </si>
  <si>
    <t>Av. Ernesto Rivero N° 771</t>
  </si>
  <si>
    <t>QORIKANCHA</t>
  </si>
  <si>
    <t>Av. El Sol N° 627 B</t>
  </si>
  <si>
    <t>QUILLABAMBA</t>
  </si>
  <si>
    <t>Av. San Martin Nº 403 Esq. Edgar De La Torre Nº 200 - 206</t>
  </si>
  <si>
    <t>SAN JERONIMO</t>
  </si>
  <si>
    <t>Av.Llocllapata  Urb. Los Retamales Mz. G Lt. 10 - Prolongación calle Perú</t>
  </si>
  <si>
    <t>SAN PEDRO</t>
  </si>
  <si>
    <t>Calle tres cruces de oro N° 325 - 327</t>
  </si>
  <si>
    <t>SAN SEBASTIÁN</t>
  </si>
  <si>
    <t>Prolongacion Av. La Cultura Nº 2838 - 2844 Esq. de Acceso Urb. Tupac Amaru</t>
  </si>
  <si>
    <t>SAN SEBASTIAN II</t>
  </si>
  <si>
    <t>Prolongacion Av. La Cultura R-202A</t>
  </si>
  <si>
    <t>SICUANI</t>
  </si>
  <si>
    <t>Av. Arequipa Nº 103 Esq. Av. Centenario Nº 143</t>
  </si>
  <si>
    <t>TAMBOPATA</t>
  </si>
  <si>
    <t xml:space="preserve">Av. Fitzcarrald Mz. 10H, Lote 7, fracción B, AAHH La Selva </t>
  </si>
  <si>
    <t>TICA TICA</t>
  </si>
  <si>
    <t>Cooperativa de Vivienda Miraflores Mz F Lote 3, Sector Tica Tica</t>
  </si>
  <si>
    <t>URUBAMBA</t>
  </si>
  <si>
    <t>Jr. Grau N° 521 - Plaza de Armas</t>
  </si>
  <si>
    <t>WANCHAQ</t>
  </si>
  <si>
    <t>Av. Ramon Zavaleta Nº 106-B</t>
  </si>
  <si>
    <t>A MENDIOLA</t>
  </si>
  <si>
    <t>Av. Alfredo Mendiola Nº 3663 - 3665 Panamericana Norte - Los Olivos</t>
  </si>
  <si>
    <t>ANTUNEZ DE MAYOLO</t>
  </si>
  <si>
    <t>Av Antunez de Mayolo 1236 Los Olivos - Lima</t>
  </si>
  <si>
    <t>CARABAYLLO</t>
  </si>
  <si>
    <t>Av. Universitaria Nº 489 Urb. Tungasuca I Etapa</t>
  </si>
  <si>
    <t>CHACHAPOYAS</t>
  </si>
  <si>
    <t>Av. Libertad N°667</t>
  </si>
  <si>
    <t>COMAS</t>
  </si>
  <si>
    <t>Av. Tupac Amaru N° 2945 - 2949 Urb. Huaquillay - 1/2 cdra. Av. Belaunde</t>
  </si>
  <si>
    <t>HUANDOY</t>
  </si>
  <si>
    <t>Avenida Huandoy Mz. G-3, Lt. 11; Urbanización Parque del Naranjal II Etapa</t>
  </si>
  <si>
    <t>HUARAZ</t>
  </si>
  <si>
    <t>Jr. Julián de Morales Nº 530</t>
  </si>
  <si>
    <t>INDEPENDENCIA</t>
  </si>
  <si>
    <t>Urb. Popular Tahuantinsuyo Parcela A Lt. C Tda. 25 - Mercado Los Incas</t>
  </si>
  <si>
    <t>LOS OLIVOS</t>
  </si>
  <si>
    <t>Av. Alfredo Mendiola Nº 7893 - Urb. Pro</t>
  </si>
  <si>
    <t>MONTENEGRO</t>
  </si>
  <si>
    <t>Urb. Enrique Montenegro Mz. Z-1 Lt. 23 - San Juan de Lurigancho</t>
  </si>
  <si>
    <t>PACHACUTEC</t>
  </si>
  <si>
    <t>Nuevo Pachacútec Mz H Lote 16 Sector D , Grupo Residencial D3 (Actualmente Prol. Av. 225)</t>
  </si>
  <si>
    <t>SAN HILARION</t>
  </si>
  <si>
    <t>Av. Próceres de la Independencia Nº 1939 - San Juan de Lurigancho</t>
  </si>
  <si>
    <t>SAN JUAN LURIGANCHO</t>
  </si>
  <si>
    <t>Urb. Cto. Grande 2° Unidad, Av Cto. Grande y Alameda Machupicchu Mz C Lt 5</t>
  </si>
  <si>
    <t>SAN MARTIN DE PORRES</t>
  </si>
  <si>
    <t>Av. Perú Nº 3217 - 3221 - Urb. Perú Mz. 30 Lt. 3-3A Zn. 3</t>
  </si>
  <si>
    <t>VENTANILLA</t>
  </si>
  <si>
    <t>Urb. ex Zona Comercial e Industrial de Ventanilla Mz C2 lote 12</t>
  </si>
  <si>
    <t>ZAPALLAL</t>
  </si>
  <si>
    <t>Lote 4 de la Manzana I-1 de la parcelación Zapallal (Actualmente Av. Leoncio Prado N° 556)</t>
  </si>
  <si>
    <t>ZARATE</t>
  </si>
  <si>
    <t>AV. Gran Chimu N° 621 Zarate SJL</t>
  </si>
  <si>
    <t>ATE</t>
  </si>
  <si>
    <t>Av. Nicolás Ayllon Carretera Central km 6.5 Asociación El Porvenir Mz. D Lt. 7</t>
  </si>
  <si>
    <t>CHOSICA</t>
  </si>
  <si>
    <t>Av. 28 de Julio N° 239 Esq. Jirón Ica</t>
  </si>
  <si>
    <t>EL AGUSTINO</t>
  </si>
  <si>
    <t>AV. DE LA RIVA AGÜERO NO 1306 MZ. D LOTE 13 ZONA A URB. POPULAR EL AGUSTINO</t>
  </si>
  <si>
    <t>HUACHIPA</t>
  </si>
  <si>
    <t>Urb. El Paraíso del Puente de Huachipa Mz. A Lt. 15 - Ate</t>
  </si>
  <si>
    <t>HUAYCAN</t>
  </si>
  <si>
    <t>Av. 15 de Julio Lote 11 Zona A Huaycan</t>
  </si>
  <si>
    <t>JICAMARCA</t>
  </si>
  <si>
    <t>Av. Unión Jicamarca Mz.M Lt. 23 Sector Norte Anexo 08 - San Antonio</t>
  </si>
  <si>
    <t>LARCO</t>
  </si>
  <si>
    <t>Av. Larco 952</t>
  </si>
  <si>
    <t>LIMA</t>
  </si>
  <si>
    <t>Jirón Carabaya Calle Coca N° 451 - 459 Pasaje Santiago Acuña 103 - 14 - Cercado</t>
  </si>
  <si>
    <t>MAGDALENA</t>
  </si>
  <si>
    <t>Jr. Echenique N° 781, Fundo Orbea</t>
  </si>
  <si>
    <t>MANCHAY</t>
  </si>
  <si>
    <t>Carretera a Cieneguilla Mz. E - Lote 2 Asentamiento Humano Paul Poblet Lind de la Zona 2</t>
  </si>
  <si>
    <t>MIGUEL IGLESIAS</t>
  </si>
  <si>
    <t xml:space="preserve">Av. Miguel Iglesias  A - 1 Lote 12, esquina  con calle las Violetas , PPJJ Buens Aires - San Juan de Miraflores - Lima  </t>
  </si>
  <si>
    <t>RIMAC</t>
  </si>
  <si>
    <t xml:space="preserve">AV. SAMUEL ALCAZAR N° 941, 943 DISTRITO DE RIMAC - LIMA </t>
  </si>
  <si>
    <t>SAN JUAN DE MIRAFLORES</t>
  </si>
  <si>
    <t>Av. San Juan Nº 857</t>
  </si>
  <si>
    <t>SANTA ANITA</t>
  </si>
  <si>
    <t xml:space="preserve">Av. Los Ruiseñores N° 248 Mz. Q1 Lt. 17 </t>
  </si>
  <si>
    <t>SANTA CLARA</t>
  </si>
  <si>
    <t>CALLE PARQUE CIVICO 271 SANTA CLARA</t>
  </si>
  <si>
    <t>SURQUILLO</t>
  </si>
  <si>
    <t>República de Panamá 4519 – 4521 – esquina con Jr. Barbieri Surquillo</t>
  </si>
  <si>
    <t>BAMBAMARCA</t>
  </si>
  <si>
    <t xml:space="preserve">Jirón Coronel Arguedas N° 567 – Bambamarca- CAJAMARCA </t>
  </si>
  <si>
    <t>CAJAMARCA</t>
  </si>
  <si>
    <t>Jr. Del Batán N° 212 con Jr. Amazonas s/n - 02 de Mayo</t>
  </si>
  <si>
    <t>CESAR VALLEJO</t>
  </si>
  <si>
    <t xml:space="preserve">Av. César Vallejo N° 335 - 339 </t>
  </si>
  <si>
    <t>CHICLAYO</t>
  </si>
  <si>
    <t>Calle Alfredo Lapoint Nº 885</t>
  </si>
  <si>
    <t>CHIMBOTE</t>
  </si>
  <si>
    <t xml:space="preserve">Esq. Jr. Bolognesi N° 382-392 y Jr. Enrique Palacios 215 Mz. 15 </t>
  </si>
  <si>
    <t>CHOTA</t>
  </si>
  <si>
    <t>Jr. 30 de Agosto Nro. 426</t>
  </si>
  <si>
    <t>EL PORVENIR</t>
  </si>
  <si>
    <t xml:space="preserve"> Av. Sanchez Carrión N° 635</t>
  </si>
  <si>
    <t>JAEN</t>
  </si>
  <si>
    <t>Calle Simon Bolivar  1245 Jaen -Cajamarca</t>
  </si>
  <si>
    <t>LA HERMELINDA</t>
  </si>
  <si>
    <t>Av. América Norte 1289 - Urb. Las Quintanas - Trujillo</t>
  </si>
  <si>
    <t>LA UNION</t>
  </si>
  <si>
    <t xml:space="preserve">Av. Lima 725 distrito de la Union - Piura </t>
  </si>
  <si>
    <t>MERCADO MODELO</t>
  </si>
  <si>
    <t>Av. Balta 1635 - Chiclayo</t>
  </si>
  <si>
    <t>MOSHOQUEQUE</t>
  </si>
  <si>
    <t xml:space="preserve">AV. El Dorado 1225 – Frente al Mercado </t>
  </si>
  <si>
    <t>OVALO SULLANA</t>
  </si>
  <si>
    <t>Av. Jose de Lama N° 1784, Mz 119, Lote 9, Urbanización Santa Rosa</t>
  </si>
  <si>
    <t>PIURA</t>
  </si>
  <si>
    <t>Av. Sánchez Cerro N° 1313 - Piura</t>
  </si>
  <si>
    <t>PIURA CENTRO</t>
  </si>
  <si>
    <t>Calle Libertad 597 esquina con Calle Callao S/N</t>
  </si>
  <si>
    <t>SULLANA</t>
  </si>
  <si>
    <t xml:space="preserve">Calle San Martín 597 C. P. Barrio Norte Mz. 22 Lote-1A - Sullana </t>
  </si>
  <si>
    <t>TALARA</t>
  </si>
  <si>
    <t xml:space="preserve">Av. Mariscal Castilla D10, Centro Habitacional Talara- Piura </t>
  </si>
  <si>
    <t>TRUJILLO CENTRO</t>
  </si>
  <si>
    <t>Jirón Ayacucho N° 688</t>
  </si>
  <si>
    <t>TUMBES</t>
  </si>
  <si>
    <t xml:space="preserve">AV MARISCAL CASTILLA 303 – TUMBES </t>
  </si>
  <si>
    <t>2 DE MAYO</t>
  </si>
  <si>
    <t>Jr. Dos de Mayo N° 981 - 985</t>
  </si>
  <si>
    <t>AGUAYTIA</t>
  </si>
  <si>
    <t>Jr. Progreso Nº 234 - Padre Abad</t>
  </si>
  <si>
    <t>CALLERIA</t>
  </si>
  <si>
    <t>Av. Habilitación Urbana Municipal MZ E Lot 8</t>
  </si>
  <si>
    <t>HUANUCO</t>
  </si>
  <si>
    <t>Jr. Huallayco Nº 985</t>
  </si>
  <si>
    <t>IQUITOS</t>
  </si>
  <si>
    <t>Jr. Próspero N°776-778</t>
  </si>
  <si>
    <t>LAS PALMERAS</t>
  </si>
  <si>
    <t>JR. ALFONSO UGARTE N° 1319 - SAN MARTIN - TARAPOTO</t>
  </si>
  <si>
    <t>MOYOBAMBA</t>
  </si>
  <si>
    <t>Pueblo Tradicional Cercado de Moyobamba Mz. 5080, Lote 14 (Actualmente Jirón San Martin N° 481)</t>
  </si>
  <si>
    <t>PUCALLPA</t>
  </si>
  <si>
    <t>Jr. Tarapaca N° 398 Esq. Jr. Progreso Mz. 62-A  Lt. 5</t>
  </si>
  <si>
    <t>TARAPOTO</t>
  </si>
  <si>
    <t>Jr. San Pablo de la Cruz Nº 124</t>
  </si>
  <si>
    <t>TINGO MARIA</t>
  </si>
  <si>
    <t>Av. Antonio Raymondi Nº 514-520</t>
  </si>
  <si>
    <t>TOCACHE</t>
  </si>
  <si>
    <t>Jr. Tocache N° 427 Cdra.-04 Mz. A2 Lote 12</t>
  </si>
  <si>
    <t>YURIMAGUAS</t>
  </si>
  <si>
    <t xml:space="preserve">CAL ATANASIO JAUREGUI 318 - YURIMAGUAS-ALTO AMAZONAS- LORETO </t>
  </si>
  <si>
    <t>CIUDAD NUEVA</t>
  </si>
  <si>
    <t>Av. Internacional Mz 55 Sub Lote 1-B - AA.HH. Ciudad Nueva</t>
  </si>
  <si>
    <t>COCACHACRA</t>
  </si>
  <si>
    <t>Av. Libertad N°407</t>
  </si>
  <si>
    <t>CORIRE</t>
  </si>
  <si>
    <t>Plaza 28 de Julio Mz. F Lte. 4 - Uraca</t>
  </si>
  <si>
    <t>CORONEL MENDOZA</t>
  </si>
  <si>
    <t>Av. Coronel Mendoza Nº 1674</t>
  </si>
  <si>
    <t>ILO</t>
  </si>
  <si>
    <t>Jr. Zepita Nº 301-311 Esq. 2 de Mayo Nº 219</t>
  </si>
  <si>
    <t>MERCADO METROPOLITANO</t>
  </si>
  <si>
    <t>Parque Industrial Majes de Villa El Pedregal Mz. I Lte. 03 </t>
  </si>
  <si>
    <t>MOLLENDO</t>
  </si>
  <si>
    <t xml:space="preserve">Plaza Bolognesi 101 - 115 esquina con calle Comercio </t>
  </si>
  <si>
    <t>MOQUEGUA</t>
  </si>
  <si>
    <t>Jr. Ancash Nº 380</t>
  </si>
  <si>
    <t>OMATE</t>
  </si>
  <si>
    <t>Cl. Moquegua a 2 casas con 3 de abril</t>
  </si>
  <si>
    <t>OVALO BALTA</t>
  </si>
  <si>
    <t>Av. Balta Nº 148</t>
  </si>
  <si>
    <t>OVALO PEDREGAL</t>
  </si>
  <si>
    <t xml:space="preserve">Av. Eje Urbano Mz. O Sub-LT 66-A Zn. 1 - CC. PP. El Pedregal Norte </t>
  </si>
  <si>
    <t>PAMPA INALAMBRICA</t>
  </si>
  <si>
    <t xml:space="preserve">AA.HH. José Carlos Mariategui Mz. L Lt. 2-B - Ovalo de Nuevo Ilo </t>
  </si>
  <si>
    <t>PEDREGAL</t>
  </si>
  <si>
    <t>CC. PP. El Pedregal Mz. G Lt . 04</t>
  </si>
  <si>
    <t>PINTO</t>
  </si>
  <si>
    <t>Av. Pinto Nº 1475 Esq. Av. Industrial Nº 1495</t>
  </si>
  <si>
    <t>SAN ANTONIO</t>
  </si>
  <si>
    <t>Av. Santa Fortunata Sector A2B Lote 06 13ª Moquegua</t>
  </si>
  <si>
    <t>SAN MARTIN</t>
  </si>
  <si>
    <t>Av. San Martin Nº 872 - Cercado</t>
  </si>
  <si>
    <t>SANTA ROSA</t>
  </si>
  <si>
    <t>Asociación San Francisco Mz 14 Lote 16 - Cono Sur</t>
  </si>
  <si>
    <t>MELGAR</t>
  </si>
  <si>
    <t>SAN ROMAN</t>
  </si>
  <si>
    <t>CHUCUITO</t>
  </si>
  <si>
    <t>EL COLLAO</t>
  </si>
  <si>
    <t>CARABAYA</t>
  </si>
  <si>
    <t>AREQUIPA</t>
  </si>
  <si>
    <t>YANAHUARA</t>
  </si>
  <si>
    <t>CARAVELI</t>
  </si>
  <si>
    <t>JOSE LUIS BUSTAMANTE Y RIVERO</t>
  </si>
  <si>
    <t>CAYLLOMA</t>
  </si>
  <si>
    <t>JACOBO HUNTER</t>
  </si>
  <si>
    <t>PASCO</t>
  </si>
  <si>
    <t>YANACANCHA</t>
  </si>
  <si>
    <t>JUNIN</t>
  </si>
  <si>
    <t>HUANCAYO</t>
  </si>
  <si>
    <t>AYACUCHO</t>
  </si>
  <si>
    <t>YAULI</t>
  </si>
  <si>
    <t>PICHANAQUI</t>
  </si>
  <si>
    <t>San Juan Bautista</t>
  </si>
  <si>
    <t>CAÑETE</t>
  </si>
  <si>
    <t>IMPERIAL</t>
  </si>
  <si>
    <t>CHINCHA ALTA</t>
  </si>
  <si>
    <t>SALAS</t>
  </si>
  <si>
    <t>SANTIAGO</t>
  </si>
  <si>
    <t>Villa Maria de Triunfo</t>
  </si>
  <si>
    <t>NAZCA</t>
  </si>
  <si>
    <t>Villa Maria del Triunfo</t>
  </si>
  <si>
    <t>APURIMAC</t>
  </si>
  <si>
    <t>CUSCO</t>
  </si>
  <si>
    <t>MADRE DE DIOS</t>
  </si>
  <si>
    <t>INAMBARI</t>
  </si>
  <si>
    <t>LA CONVENCION</t>
  </si>
  <si>
    <t>SANTA ANA</t>
  </si>
  <si>
    <t>SAN SEBASTIAN</t>
  </si>
  <si>
    <t>CANCHIS</t>
  </si>
  <si>
    <t>AMAZONAS</t>
  </si>
  <si>
    <t>Los Olivos</t>
  </si>
  <si>
    <t>ANCASH</t>
  </si>
  <si>
    <t>SAN JUAN DE LURIGANCHO</t>
  </si>
  <si>
    <t>CALLAO</t>
  </si>
  <si>
    <t>Ventanilla</t>
  </si>
  <si>
    <t>Puente Piedra</t>
  </si>
  <si>
    <t>LURIGANCHO</t>
  </si>
  <si>
    <t>AGUSTINO</t>
  </si>
  <si>
    <t>HUAROCHIRI</t>
  </si>
  <si>
    <t>MAGDALENA DEL MAR</t>
  </si>
  <si>
    <t>PACHACAMAC</t>
  </si>
  <si>
    <t>HUALGAYOC</t>
  </si>
  <si>
    <t>LA LIBERTAD</t>
  </si>
  <si>
    <t>TRUJILLO</t>
  </si>
  <si>
    <t>LAMBAYEQUE</t>
  </si>
  <si>
    <t>SANTA</t>
  </si>
  <si>
    <t>JOSE LEONARDO ORTIZ</t>
  </si>
  <si>
    <t>PARIÑAS</t>
  </si>
  <si>
    <t>Trujillo</t>
  </si>
  <si>
    <t>UCAYALI</t>
  </si>
  <si>
    <t>PADRE ABAD</t>
  </si>
  <si>
    <t>CORONEL PORTILLO</t>
  </si>
  <si>
    <t>LORETO</t>
  </si>
  <si>
    <t>MAYNAS</t>
  </si>
  <si>
    <t>LEONCIO PRADO</t>
  </si>
  <si>
    <t>RUPA-RUPA</t>
  </si>
  <si>
    <t>ALTO AMAZONAS</t>
  </si>
  <si>
    <t>TACNA</t>
  </si>
  <si>
    <t>ISLAY</t>
  </si>
  <si>
    <t>CASTILLA</t>
  </si>
  <si>
    <t>URACA</t>
  </si>
  <si>
    <t>MAJES</t>
  </si>
  <si>
    <t>MARISCAL NIETO</t>
  </si>
  <si>
    <t>GRAL. SANCHEZ CERRO</t>
  </si>
  <si>
    <t>CORONEL GREGORIO ALBARRACIN</t>
  </si>
  <si>
    <t>150509</t>
  </si>
  <si>
    <t>150111</t>
  </si>
  <si>
    <t>150122</t>
  </si>
  <si>
    <t>150128</t>
  </si>
  <si>
    <t>060701</t>
  </si>
  <si>
    <t>060401</t>
  </si>
  <si>
    <t>060801</t>
  </si>
  <si>
    <t>200110</t>
  </si>
  <si>
    <t>200701</t>
  </si>
  <si>
    <t>160201</t>
  </si>
  <si>
    <t>180107</t>
  </si>
  <si>
    <t>Asociación de Bancos del Perú (ASBANC)</t>
  </si>
  <si>
    <t>LBTR</t>
  </si>
  <si>
    <t>Controles Empresariales SAC</t>
  </si>
  <si>
    <t>ENTERPRISE AGREEMENT MICROSOFT</t>
  </si>
  <si>
    <t>Facephi Biometría, S.A.</t>
  </si>
  <si>
    <t>Biometría digital - Facephi</t>
  </si>
  <si>
    <t>Servicio de cajero corresponsal de la red externa Kasnet</t>
  </si>
  <si>
    <t>GTD Perú</t>
  </si>
  <si>
    <t>Internet empresarial</t>
  </si>
  <si>
    <t>Masivian Peru S.A.C.</t>
  </si>
  <si>
    <t>MENSAJERIA A TRAVES DE PLATAFORMA INTEGRAL MULTICANAL</t>
  </si>
  <si>
    <t>Proceso de medios de pago (MC procesos)</t>
  </si>
  <si>
    <t>Servicio de procesamiento de transacciones y alquiler de POS para agentes corresponsales</t>
  </si>
  <si>
    <t>Servicios Bancarios Compartidos SA (Unibanca)</t>
  </si>
  <si>
    <t>Servicio de Compras y bloqueo de tarjetas (operaciones VISA)</t>
  </si>
  <si>
    <t>WIN Empresas</t>
  </si>
  <si>
    <t>1. Enlace de datos MPLS Telefónica, Enlace de Internet y publicación de servicios
2. Internet empresarial con win
3. SERVICIOS DE INTERNET EMPRESARIAL, TRANSMISIÓN DE DATOS Y FIBRA OSCURA
4. Línea de servicio alterno de comunicación en agencias</t>
  </si>
  <si>
    <t>Yellow Pepper del Peru SAC</t>
  </si>
  <si>
    <t>Implementación proyecto L2P</t>
  </si>
  <si>
    <t>Consejeros y corredores de seguros SA</t>
  </si>
  <si>
    <t>Bróker de seguros</t>
  </si>
  <si>
    <t>Comunicación de datos - Transmisión de datos corporativos</t>
  </si>
  <si>
    <t>BBVA (Asesores)</t>
  </si>
  <si>
    <t>Contacta y se recibe las emisiones para las colocaciones de los bonos</t>
  </si>
  <si>
    <t>Cámara de Compensación Electrónica (CCE)</t>
  </si>
  <si>
    <t>Plataforma financiera del mercado nacional DATATEC</t>
  </si>
  <si>
    <t>Proseguridad</t>
  </si>
  <si>
    <t>servicio de vigilancia privada Proseguridad</t>
  </si>
  <si>
    <t>Transporte de valores Hermes</t>
  </si>
  <si>
    <t>Transporte de valores Prosegur</t>
  </si>
  <si>
    <t>Vigilancia privada G4S</t>
  </si>
  <si>
    <t xml:space="preserve"> </t>
  </si>
  <si>
    <t>Niubiz</t>
  </si>
  <si>
    <t>Cavali</t>
  </si>
  <si>
    <t>Servicio de cajero corresponsal de la red externa/ Pago QR</t>
  </si>
  <si>
    <t>Registro de pagarés</t>
  </si>
  <si>
    <t>Dominios de PCI y Protección de Dato Personales</t>
  </si>
  <si>
    <t>2. ¿Son actividades relacionadas a PCI (tarjetas) o PDP (Protección de datos personales)?</t>
  </si>
  <si>
    <t>Opción 
(Sí /No)</t>
  </si>
  <si>
    <t>PCI</t>
  </si>
  <si>
    <t>SERVICIOS INTERNOS</t>
  </si>
  <si>
    <t>MARKETING</t>
  </si>
  <si>
    <t>ADMINISTRACION DE PERSONAL</t>
  </si>
  <si>
    <t>GESTION DEL TALENTO</t>
  </si>
  <si>
    <t>CANALES</t>
  </si>
  <si>
    <t>ALVAREZ CONCHA, ERCILIA DEL CARMEN</t>
  </si>
  <si>
    <t>OPERACIONES</t>
  </si>
  <si>
    <t>SERVICIOS EMPRESARIALES</t>
  </si>
  <si>
    <t>TI</t>
  </si>
  <si>
    <t>INFRAESTRUCTURA</t>
  </si>
  <si>
    <t>CONTROL PATRIMONIAL</t>
  </si>
  <si>
    <t>(en blanco)</t>
  </si>
  <si>
    <t>CONTROL DE GASTOS</t>
  </si>
  <si>
    <t>SEGURIDAD</t>
  </si>
  <si>
    <t>ADQUISICIONES</t>
  </si>
  <si>
    <t>PINAZO ARTEAGA, EDWARD ADEMIR</t>
  </si>
  <si>
    <t>BIENESTAR,CLIMA Y CULTURA</t>
  </si>
  <si>
    <t>MATERIAL POP FIDELIZACION - MARKETING</t>
  </si>
  <si>
    <t>MATERIAL POP MASIVO - MARKETING</t>
  </si>
  <si>
    <t>MATERIAL POP REGALOS POR CAMPAÑA - BIENESTAR,CLIMA Y CULTURA</t>
  </si>
  <si>
    <t>MATERIAL POP REGALOS POR CAMPAÑA - MARKETING</t>
  </si>
  <si>
    <t>MATERIAL POP REGALOS POR CAMPAÑA - TI</t>
  </si>
  <si>
    <t>GALLEGOS TEJADA, ANA LUCIA</t>
  </si>
  <si>
    <t>PANELES - SEGURIDAD</t>
  </si>
  <si>
    <t>SENSORES - SEGURIDAD</t>
  </si>
  <si>
    <t>SENSORES - TI</t>
  </si>
  <si>
    <t>TARJETAS - SEGURIDAD</t>
  </si>
  <si>
    <t>TECLADOS - SEGURIDAD</t>
  </si>
  <si>
    <t>ADQUSICIONES</t>
  </si>
  <si>
    <t>ASESORIA LEGAL</t>
  </si>
  <si>
    <t>CAAT - TI</t>
  </si>
  <si>
    <t>DESARROLLO HUMANO</t>
  </si>
  <si>
    <t>DESARROLLO Y CAPACITACIÓN</t>
  </si>
  <si>
    <t>FINANZAS</t>
  </si>
  <si>
    <t>GESTION PROCESAL</t>
  </si>
  <si>
    <t>MKT - MARKETING</t>
  </si>
  <si>
    <t>PLANEAMIENTO</t>
  </si>
  <si>
    <t>PLANEAMIENTO FINANCIERO</t>
  </si>
  <si>
    <t>PROMOCIÓN Y VENTAS</t>
  </si>
  <si>
    <t>RECLUTAMIENTO Y SELECCIÓN</t>
  </si>
  <si>
    <t>RECUPERACIONES</t>
  </si>
  <si>
    <t>SEG - SEGURIDAD</t>
  </si>
  <si>
    <t>SEGUROS</t>
  </si>
  <si>
    <t>SERVICE AND ANALYTICS DEVELOPMENT ACOE</t>
  </si>
  <si>
    <t>TESORERIA</t>
  </si>
  <si>
    <t>TI - SERVICIOS INTERNOS</t>
  </si>
  <si>
    <t>TI - TI</t>
  </si>
  <si>
    <t>INNOVACION LAB</t>
  </si>
  <si>
    <t>INTELIGENCIA DE NEGOCIOS</t>
  </si>
  <si>
    <t>NUÑEZ BECERRA, EILEEN JANNE</t>
  </si>
  <si>
    <t>CAPACITACION</t>
  </si>
  <si>
    <t>VARGAS MAMANI, REINA YSABEL</t>
  </si>
  <si>
    <t>ESPECIALES - SERVICIOS INTERNOS</t>
  </si>
  <si>
    <t>Responsable del llenado del rating</t>
  </si>
  <si>
    <t>Protección de Datos Personales</t>
  </si>
  <si>
    <t>2. Productos y Servicios, procesos, canales, agencias (locales) y unidades relacionadas en la contratación
Criterios que nos ayudan a evaluar la criticidad del bien o servicio a contratar:</t>
  </si>
  <si>
    <t>1. ¿El cambio esta relacionado con servicios, infraestructura, desarrollo interno o externo de monitoreo de eventos transaccionales de tarjeta. ?</t>
  </si>
  <si>
    <t>2. ¿El cambio esta relacionado con almacenamiento y trasmición de datos de tarjeta?</t>
  </si>
  <si>
    <t>3. ¿El cambio esta relacionado con soluciones de criptografía para proteger la información relevante de la organización?</t>
  </si>
  <si>
    <t>4. ¿El cambio esta relacionado con soluciones para autenticación reforzada para colabores, clientes o terceros?</t>
  </si>
  <si>
    <t>1. ¿El cambio esta relacionado con servicios, desarrollos de aplicaciones externos o internas o infraestructura que contengan datos personales y/o sensibles?</t>
  </si>
  <si>
    <t>2. ¿El cambio esta relacionado con testing o análisis de vulnerabilidades de aplicaciones o infraestructura que maneja datos personales y de tarjetas ?</t>
  </si>
  <si>
    <t>3. ¿Servicios con proveedores que tienen soluciones en nube o subcontratan?</t>
  </si>
  <si>
    <t>4. ¿El cambio esta relacionado con servicios, Proyectos y aplicaciones orientada al análisis de comportamiento de los titulares de los datos personales ubicados en territorio nacional?</t>
  </si>
  <si>
    <t>5. ¿El cambio esta relacionado con servicios, productos y aplicaciones que involucra elaboración de perfiles que busquen determinar conductas, preferencias y hábitos?</t>
  </si>
  <si>
    <t>6. ¿El cambio esta relacionado con proyectos, aplicaciones e infraestructura que involucre transferencia a terceros y recepción de datos personales y sensibles?</t>
  </si>
  <si>
    <t>7. ¿El cambio esta relacionado con servicios o proyectos que involucre transferencia nacional o internacional de datos?</t>
  </si>
  <si>
    <t>8. ¿El cambio esta relacionado con Servicios o proyectos que involucre datos de menores de edad?</t>
  </si>
  <si>
    <t>9. ¿El cambio esta relacionado con servicios digitales o actividades sociales, educativas o recreativas que involucre datos de menores de edad en internet?</t>
  </si>
  <si>
    <t>10. ¿El cambio esta relacionado con servicios de publicidad o prospección comercial que involucre datos personales o sensibles?</t>
  </si>
  <si>
    <t>11. ¿El cambio esta relacionado con servicios, aplicaciones, infraestructura que involucre tratamiento de datos por medios tecnológicos de terceros?</t>
  </si>
  <si>
    <r>
      <rPr>
        <b/>
        <sz val="12"/>
        <color theme="1"/>
        <rFont val="Calibri"/>
        <family val="2"/>
        <scheme val="minor"/>
      </rPr>
      <t>NINGUNO</t>
    </r>
    <r>
      <rPr>
        <sz val="12"/>
        <color theme="1"/>
        <rFont val="Calibri"/>
        <family val="2"/>
        <scheme val="minor"/>
      </rPr>
      <t xml:space="preserve"> de los siguientes aspectos?</t>
    </r>
  </si>
  <si>
    <r>
      <rPr>
        <b/>
        <sz val="12"/>
        <color theme="1"/>
        <rFont val="Calibri"/>
        <family val="2"/>
        <scheme val="minor"/>
      </rPr>
      <t>TODOS</t>
    </r>
    <r>
      <rPr>
        <sz val="12"/>
        <color theme="1"/>
        <rFont val="Calibri"/>
        <family val="2"/>
        <scheme val="minor"/>
      </rPr>
      <t xml:space="preserve"> los siguientes aspectos?</t>
    </r>
  </si>
  <si>
    <t>4.  Bien / Servicios vinculados a compras de tecnología: gestión de tecnología de la información, gestión de seguridad de la información o a procesamiento de datos</t>
  </si>
  <si>
    <t>¿Es una compra de bien / servicios  vinculada a tecnología, procesos que soporten dicha función, BI, Ciberseguridad y soporte al procesamiento de datos?</t>
  </si>
  <si>
    <t>Licenciamiento de los sistemas principales de la empresa, CORE, sistemas de negocio, sistemas de soporte central y/o software de los sistemas operativos o base de datos que soportan los sistemas que permiten brindar los productos y servicios. Incluye software base para servidores del centro de datos.</t>
  </si>
  <si>
    <t>Bienes o Servicios especializados para gestionar la seguridad de la información, tales como herramientas de escaneo de vulnerabilidades, arquitectura de seguridad y ethical hacking. Incluye servicios especializados de evaluación de PCI y EVR.</t>
  </si>
  <si>
    <t>Bien o Servicio, supone la instalación de equipamiento, servicios o mantenimiento de los servidores de los centros de procesamiento principal, alterno u servidores con información sencible como BI, Centro de Control, Prevención de Lavado / Fraudes.</t>
  </si>
  <si>
    <t>Bien o servicio se relaciona con el almacenamiento, procesamiento de las transacciones o información relacionada a los productos y servicios de la Caja (incluyendo contabilidad), incluye soporte  centro de datos principal o alterno. En caso el centro de datos, se encuentre fuera del Perú requiere autorización SBS.</t>
  </si>
  <si>
    <t>Bienes o Servicios, que forman parte de la cadena de valor (procesos de negocio y soporte directo) de los productos y servicios de la Caja Arequipa. Por ejemplo: Tecnología relacionada al procesamiento de datos, desarrollo o pruebas del CORE y canales, seguridad y gestión de actividades operativas de la empresa (agencias, operaciones, riesgos, comercial).</t>
  </si>
  <si>
    <t>Bien o Servicio, que considera personal altamente especializado en realizar actividades de negocio / soporte directamente vinculado con los productos y servicios brindados por la Caja; realiza los procesos con recursos del proveedor (laptop, equipamiento), guarde o permanencia fisica (logicamente) dentro del perimetro de la Caja. por ejemplo: desarrollo SW, testing, ventanillas de las agencias, etc.</t>
  </si>
  <si>
    <t xml:space="preserve">Comnetario </t>
  </si>
  <si>
    <t>Dominio</t>
  </si>
  <si>
    <t>URL</t>
  </si>
  <si>
    <t>¿El servicio que se va a contratar está involucrado con datos de tarjeta y/o del tarjeta habiente (PAN, CVV,Fecha de expiraciónn de la tarjeta, saldo de la tarjeta, etc)?</t>
  </si>
  <si>
    <t>¿En el servicio que se va a contratar, se harán uso de datos personales de clientes, colaboradores o usarios en general?</t>
  </si>
  <si>
    <t>El bien o servicio que estas contratando le afecta SIGNIFICATIVAMENTE a:</t>
  </si>
  <si>
    <t>Se debe colocar "SI" en el caso el bien o servicio a contratar esta relacionado a temas PCI.</t>
  </si>
  <si>
    <t>Se debe colocar "SI" en el caso el bien o servicio a contratar esta relacionado a temas de la Ley de Protección de datos personales.</t>
  </si>
  <si>
    <t xml:space="preserve">Bien </t>
  </si>
  <si>
    <t>¿Qué procesos o áreas se encuentran relacionadas a la contratación de tu bien o servicio?</t>
  </si>
  <si>
    <t>1. Descripción del Bien/Servicio a adquirirse provisto por terceros
Procesos y áreas inmersas en la Adquisición, Alcance de la adquisición y vinculación con el negocio</t>
  </si>
  <si>
    <t>¿De que trata el bien o servicio a adquirir? Descripción detallada</t>
  </si>
  <si>
    <t>¿Se está contratando un servicio, o se está adquiriendo un bien?</t>
  </si>
  <si>
    <t xml:space="preserve">El servicio que se está contratando, ¿contempla realizar una subcontratación para que se pueda realizar el servicio? </t>
  </si>
  <si>
    <t>Rating - Análisis de Bienes y/o Servicios provistos por terceros</t>
  </si>
  <si>
    <t>[Rating - Análisis de BYS 2024.xlsm]PCI!A1</t>
  </si>
  <si>
    <t>[Rating - Análisis de BYS 2024.xlsm]PDP!A1</t>
  </si>
  <si>
    <t>Pedro</t>
  </si>
  <si>
    <t>Contrato</t>
  </si>
  <si>
    <t>Caja</t>
  </si>
  <si>
    <t>descripcion del servicio</t>
  </si>
  <si>
    <t>proceso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</si>
</sst>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 * #,##0.00_ ;_ * \-#,##0.00_ ;_ * &quot;-&quot;??_ ;_ @_ "/>
    <numFmt numFmtId="166" formatCode="_-&quot;S/&quot;* #,##0_-;\-&quot;S/&quot;* #,##0_-;_-&quot;S/&quot;* &quot;-&quot;??_-;_-@_-"/>
    <numFmt numFmtId="167" formatCode="_-* #,##0_-;\-* #,##0_-;_-* &quot;-&quot;??_-;_-@_-"/>
    <numFmt numFmtId="168" formatCode="_-[$S/-280A]* #,##0_-;\-[$S/-280A]* #,##0_-;_-[$S/-280A]* &quot;-&quot;??_-;_-@_-"/>
    <numFmt numFmtId="169" formatCode="0.0%"/>
    <numFmt numFmtId="170" formatCode="_-&quot;S/&quot;\ * #,##0_-;\-&quot;S/&quot;\ * #,##0_-;_-&quot;S/&quot;\ * &quot;-&quot;??_-;_-@_-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2"/>
      <color theme="1"/>
      <name val="Arial Rounded MT Bold"/>
      <family val="2"/>
    </font>
    <font>
      <b/>
      <sz val="11"/>
      <color theme="0"/>
      <name val="Arial Rounded MT Bold"/>
      <family val="2"/>
    </font>
    <font>
      <b/>
      <sz val="11"/>
      <color theme="1"/>
      <name val="Arial Rounded MT Bold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Rounded MT Bold"/>
      <family val="2"/>
    </font>
    <font>
      <sz val="10"/>
      <color theme="1"/>
      <name val="Arial"/>
      <family val="2"/>
    </font>
    <font>
      <sz val="16"/>
      <color theme="1"/>
      <name val="Arial Rounded MT Bold"/>
      <family val="2"/>
    </font>
    <font>
      <b/>
      <sz val="10"/>
      <color theme="1"/>
      <name val="Arial"/>
      <family val="2"/>
    </font>
    <font>
      <b/>
      <sz val="9"/>
      <color theme="0"/>
      <name val="Arial Rounded MT Bold"/>
      <family val="2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Arial Rounded MT Bold"/>
      <family val="2"/>
    </font>
    <font>
      <b/>
      <sz val="11"/>
      <name val="Arial Rounded MT Bold"/>
      <family val="2"/>
    </font>
    <font>
      <b/>
      <sz val="10"/>
      <name val="Calibri"/>
      <family val="2"/>
      <scheme val="minor"/>
    </font>
    <font>
      <b/>
      <sz val="8"/>
      <color theme="0"/>
      <name val="Arial Rounded MT Bold"/>
      <family val="2"/>
    </font>
    <font>
      <b/>
      <sz val="8"/>
      <name val="Arial Rounded MT Bold"/>
      <family val="2"/>
    </font>
    <font>
      <sz val="8"/>
      <color theme="1"/>
      <name val="Arial Rounded MT Bold"/>
      <family val="2"/>
    </font>
    <font>
      <sz val="9"/>
      <color theme="1"/>
      <name val="Arial Rounded MT Bold"/>
      <family val="2"/>
    </font>
    <font>
      <sz val="9"/>
      <name val="Arial Rounded MT Bold"/>
      <family val="2"/>
    </font>
    <font>
      <b/>
      <sz val="12"/>
      <color theme="0"/>
      <name val="Calibri"/>
      <family val="2"/>
      <scheme val="minor"/>
    </font>
    <font>
      <b/>
      <sz val="9"/>
      <color theme="1"/>
      <name val="Segoe UI"/>
      <family val="2"/>
      <charset val="1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7"/>
      <color theme="1"/>
      <name val="Times New Roman"/>
      <family val="1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sz val="11"/>
      <color rgb="FFC00000"/>
      <name val="Calibri"/>
      <family val="2"/>
    </font>
    <font>
      <sz val="11"/>
      <color rgb="FFC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C00000"/>
      <name val="Calibri"/>
      <family val="2"/>
    </font>
    <font>
      <sz val="9"/>
      <name val="Calibri"/>
      <family val="2"/>
    </font>
    <font>
      <sz val="9"/>
      <color theme="1"/>
      <name val="Calibri"/>
      <family val="2"/>
      <scheme val="minor"/>
    </font>
    <font>
      <b/>
      <sz val="10"/>
      <color theme="0"/>
      <name val="Arial"/>
      <family val="2"/>
    </font>
    <font>
      <sz val="9"/>
      <color rgb="FFFF0000"/>
      <name val="Arial Rounded MT Bold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0000"/>
      <name val="Arial Rounded MT Bold"/>
      <family val="2"/>
    </font>
  </fonts>
  <fills count="2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27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theme="0" tint="-0.14999847407452621"/>
      </patternFill>
    </fill>
  </fills>
  <borders count="93">
    <border>
      <left/>
      <right/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theme="0" tint="-0.499984740745262"/>
      </left>
      <right style="dashed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dashed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dashed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dashed">
        <color theme="0" tint="-0.499984740745262"/>
      </left>
      <right/>
      <top/>
      <bottom/>
      <diagonal/>
    </border>
    <border>
      <left style="dashed">
        <color theme="0" tint="-0.499984740745262"/>
      </left>
      <right style="thick">
        <color theme="2" tint="-0.499984740745262"/>
      </right>
      <top/>
      <bottom/>
      <diagonal/>
    </border>
    <border>
      <left style="thick">
        <color theme="0" tint="-0.499984740745262"/>
      </left>
      <right style="dashed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ck">
        <color theme="2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ck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ck">
        <color theme="2" tint="-0.499984740745262"/>
      </right>
      <top style="dashed">
        <color theme="0" tint="-0.499984740745262"/>
      </top>
      <bottom/>
      <diagonal/>
    </border>
    <border>
      <left style="dashed">
        <color theme="0" tint="-0.499984740745262"/>
      </left>
      <right style="thick">
        <color theme="2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ck">
        <color theme="0" tint="-0.499984740745262"/>
      </bottom>
      <diagonal/>
    </border>
    <border>
      <left style="dashed">
        <color theme="0" tint="-0.499984740745262"/>
      </left>
      <right/>
      <top style="dashed">
        <color theme="0" tint="-0.499984740745262"/>
      </top>
      <bottom style="thick">
        <color theme="2" tint="-0.499984740745262"/>
      </bottom>
      <diagonal/>
    </border>
    <border>
      <left style="dashed">
        <color theme="0" tint="-0.499984740745262"/>
      </left>
      <right style="thick">
        <color theme="2" tint="-0.499984740745262"/>
      </right>
      <top style="dashed">
        <color theme="0" tint="-0.499984740745262"/>
      </top>
      <bottom style="thick">
        <color theme="2" tint="-0.499984740745262"/>
      </bottom>
      <diagonal/>
    </border>
    <border>
      <left style="dashed">
        <color theme="0" tint="-0.499984740745262"/>
      </left>
      <right style="thick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thick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/>
      <top/>
      <bottom style="dashed">
        <color theme="0" tint="-0.499984740745262"/>
      </bottom>
      <diagonal/>
    </border>
    <border>
      <left/>
      <right style="dashed">
        <color theme="0" tint="-0.499984740745262"/>
      </right>
      <top/>
      <bottom/>
      <diagonal/>
    </border>
    <border>
      <left style="medium">
        <color indexed="64"/>
      </left>
      <right style="dashed">
        <color theme="0" tint="-0.499984740745262"/>
      </right>
      <top/>
      <bottom style="medium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 style="medium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medium">
        <color indexed="64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 style="medium">
        <color theme="0" tint="-0.499984740745262"/>
      </bottom>
      <diagonal/>
    </border>
    <border>
      <left/>
      <right style="dashed">
        <color theme="0" tint="-0.499984740745262"/>
      </right>
      <top/>
      <bottom style="dashed">
        <color theme="0" tint="-0.499984740745262"/>
      </bottom>
      <diagonal/>
    </border>
    <border>
      <left style="medium">
        <color indexed="64"/>
      </left>
      <right/>
      <top/>
      <bottom style="dashed">
        <color theme="0" tint="-0.499984740745262"/>
      </bottom>
      <diagonal/>
    </border>
    <border>
      <left/>
      <right style="dashed">
        <color theme="0" tint="-0.499984740745262"/>
      </right>
      <top/>
      <bottom style="medium">
        <color theme="0" tint="-0.499984740745262"/>
      </bottom>
      <diagonal/>
    </border>
    <border>
      <left style="dashed">
        <color theme="0" tint="-0.499984740745262"/>
      </left>
      <right/>
      <top/>
      <bottom style="medium">
        <color theme="0" tint="-0.499984740745262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/>
      <diagonal/>
    </border>
    <border>
      <left style="dashed">
        <color theme="0" tint="-0.499984740745262"/>
      </left>
      <right/>
      <top style="dashed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5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4" fillId="0" borderId="0"/>
  </cellStyleXfs>
  <cellXfs count="41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24" xfId="0" applyFont="1" applyBorder="1" applyAlignment="1">
      <alignment vertical="center"/>
    </xf>
    <xf numFmtId="0" fontId="2" fillId="0" borderId="29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8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0" borderId="22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12" fillId="3" borderId="1" xfId="0" applyFont="1" applyFill="1" applyBorder="1" applyAlignment="1">
      <alignment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vertical="center" wrapText="1"/>
    </xf>
    <xf numFmtId="0" fontId="16" fillId="3" borderId="1" xfId="0" applyFont="1" applyFill="1" applyBorder="1" applyAlignment="1">
      <alignment horizontal="left" vertical="center" wrapText="1" indent="1"/>
    </xf>
    <xf numFmtId="0" fontId="16" fillId="3" borderId="0" xfId="0" applyFont="1" applyFill="1" applyAlignment="1">
      <alignment horizontal="left" vertical="center" wrapText="1" indent="1"/>
    </xf>
    <xf numFmtId="0" fontId="12" fillId="3" borderId="0" xfId="0" applyFont="1" applyFill="1" applyAlignment="1">
      <alignment vertical="center" wrapText="1"/>
    </xf>
    <xf numFmtId="0" fontId="7" fillId="3" borderId="0" xfId="0" applyFont="1" applyFill="1" applyAlignment="1">
      <alignment horizontal="center" vertical="center" wrapText="1"/>
    </xf>
    <xf numFmtId="0" fontId="3" fillId="2" borderId="31" xfId="0" applyFont="1" applyFill="1" applyBorder="1" applyAlignment="1">
      <alignment vertical="center"/>
    </xf>
    <xf numFmtId="0" fontId="3" fillId="2" borderId="32" xfId="0" applyFont="1" applyFill="1" applyBorder="1" applyAlignment="1">
      <alignment vertical="center"/>
    </xf>
    <xf numFmtId="0" fontId="15" fillId="7" borderId="1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2" fillId="9" borderId="45" xfId="0" applyFont="1" applyFill="1" applyBorder="1" applyAlignment="1">
      <alignment vertical="center"/>
    </xf>
    <xf numFmtId="0" fontId="22" fillId="9" borderId="48" xfId="0" applyFont="1" applyFill="1" applyBorder="1" applyAlignment="1">
      <alignment horizontal="center" vertical="center"/>
    </xf>
    <xf numFmtId="0" fontId="22" fillId="9" borderId="49" xfId="0" applyFont="1" applyFill="1" applyBorder="1" applyAlignment="1">
      <alignment horizontal="center" vertical="center"/>
    </xf>
    <xf numFmtId="0" fontId="23" fillId="10" borderId="49" xfId="0" applyFont="1" applyFill="1" applyBorder="1" applyAlignment="1">
      <alignment horizontal="center" vertical="center"/>
    </xf>
    <xf numFmtId="0" fontId="24" fillId="0" borderId="52" xfId="0" applyFont="1" applyBorder="1" applyAlignment="1">
      <alignment vertical="center" wrapText="1"/>
    </xf>
    <xf numFmtId="0" fontId="24" fillId="0" borderId="53" xfId="0" applyFont="1" applyBorder="1" applyAlignment="1">
      <alignment vertical="center" wrapText="1"/>
    </xf>
    <xf numFmtId="0" fontId="24" fillId="0" borderId="57" xfId="0" applyFont="1" applyBorder="1" applyAlignment="1">
      <alignment vertical="center" wrapText="1"/>
    </xf>
    <xf numFmtId="0" fontId="24" fillId="0" borderId="62" xfId="0" applyFont="1" applyBorder="1" applyAlignment="1">
      <alignment vertical="center" wrapText="1"/>
    </xf>
    <xf numFmtId="43" fontId="0" fillId="0" borderId="0" xfId="2" applyFont="1"/>
    <xf numFmtId="166" fontId="25" fillId="11" borderId="55" xfId="2" applyNumberFormat="1" applyFont="1" applyFill="1" applyBorder="1" applyAlignment="1">
      <alignment horizontal="center" vertical="center"/>
    </xf>
    <xf numFmtId="167" fontId="25" fillId="11" borderId="51" xfId="2" applyNumberFormat="1" applyFont="1" applyFill="1" applyBorder="1" applyAlignment="1">
      <alignment horizontal="center" vertical="center"/>
    </xf>
    <xf numFmtId="0" fontId="25" fillId="0" borderId="51" xfId="0" applyFont="1" applyBorder="1" applyAlignment="1">
      <alignment vertical="center"/>
    </xf>
    <xf numFmtId="10" fontId="25" fillId="0" borderId="51" xfId="4" applyNumberFormat="1" applyFont="1" applyBorder="1" applyAlignment="1">
      <alignment horizontal="center" vertical="center"/>
    </xf>
    <xf numFmtId="167" fontId="25" fillId="11" borderId="66" xfId="2" applyNumberFormat="1" applyFont="1" applyFill="1" applyBorder="1" applyAlignment="1">
      <alignment vertical="center"/>
    </xf>
    <xf numFmtId="166" fontId="25" fillId="11" borderId="51" xfId="2" applyNumberFormat="1" applyFont="1" applyFill="1" applyBorder="1" applyAlignment="1">
      <alignment horizontal="center" vertical="center"/>
    </xf>
    <xf numFmtId="0" fontId="25" fillId="0" borderId="55" xfId="0" applyFont="1" applyBorder="1" applyAlignment="1">
      <alignment vertical="center"/>
    </xf>
    <xf numFmtId="166" fontId="26" fillId="11" borderId="55" xfId="2" applyNumberFormat="1" applyFont="1" applyFill="1" applyBorder="1" applyAlignment="1">
      <alignment horizontal="center" vertical="center"/>
    </xf>
    <xf numFmtId="167" fontId="26" fillId="11" borderId="51" xfId="2" applyNumberFormat="1" applyFont="1" applyFill="1" applyBorder="1" applyAlignment="1">
      <alignment horizontal="center" vertical="center"/>
    </xf>
    <xf numFmtId="167" fontId="11" fillId="12" borderId="65" xfId="2" applyNumberFormat="1" applyFont="1" applyFill="1" applyBorder="1" applyAlignment="1">
      <alignment horizontal="center" vertical="center"/>
    </xf>
    <xf numFmtId="167" fontId="11" fillId="12" borderId="51" xfId="2" applyNumberFormat="1" applyFont="1" applyFill="1" applyBorder="1" applyAlignment="1">
      <alignment horizontal="center" vertical="center"/>
    </xf>
    <xf numFmtId="167" fontId="11" fillId="14" borderId="51" xfId="2" applyNumberFormat="1" applyFont="1" applyFill="1" applyBorder="1" applyAlignment="1">
      <alignment horizontal="center" vertical="center"/>
    </xf>
    <xf numFmtId="167" fontId="11" fillId="14" borderId="66" xfId="2" applyNumberFormat="1" applyFont="1" applyFill="1" applyBorder="1" applyAlignment="1">
      <alignment horizontal="center" vertical="center"/>
    </xf>
    <xf numFmtId="0" fontId="11" fillId="9" borderId="45" xfId="0" applyFont="1" applyFill="1" applyBorder="1" applyAlignment="1">
      <alignment horizontal="center" vertical="center"/>
    </xf>
    <xf numFmtId="0" fontId="11" fillId="8" borderId="44" xfId="0" applyFont="1" applyFill="1" applyBorder="1" applyAlignment="1">
      <alignment horizontal="center" vertical="center"/>
    </xf>
    <xf numFmtId="168" fontId="11" fillId="12" borderId="51" xfId="2" applyNumberFormat="1" applyFont="1" applyFill="1" applyBorder="1" applyAlignment="1">
      <alignment horizontal="center" vertical="center" wrapText="1"/>
    </xf>
    <xf numFmtId="0" fontId="25" fillId="0" borderId="55" xfId="0" applyFont="1" applyBorder="1" applyAlignment="1">
      <alignment horizontal="left" vertical="center"/>
    </xf>
    <xf numFmtId="0" fontId="25" fillId="3" borderId="55" xfId="0" applyFont="1" applyFill="1" applyBorder="1" applyAlignment="1">
      <alignment vertical="center"/>
    </xf>
    <xf numFmtId="0" fontId="25" fillId="0" borderId="59" xfId="0" applyFont="1" applyBorder="1" applyAlignment="1">
      <alignment horizontal="left" vertical="center"/>
    </xf>
    <xf numFmtId="0" fontId="25" fillId="0" borderId="59" xfId="0" applyFont="1" applyBorder="1" applyAlignment="1">
      <alignment vertical="center"/>
    </xf>
    <xf numFmtId="167" fontId="25" fillId="11" borderId="64" xfId="2" applyNumberFormat="1" applyFont="1" applyFill="1" applyBorder="1" applyAlignment="1">
      <alignment horizontal="center" vertical="center"/>
    </xf>
    <xf numFmtId="167" fontId="11" fillId="14" borderId="51" xfId="2" applyNumberFormat="1" applyFont="1" applyFill="1" applyBorder="1" applyAlignment="1">
      <alignment horizontal="centerContinuous" vertical="justify"/>
    </xf>
    <xf numFmtId="167" fontId="11" fillId="14" borderId="68" xfId="2" applyNumberFormat="1" applyFont="1" applyFill="1" applyBorder="1" applyAlignment="1">
      <alignment horizontal="centerContinuous" vertical="justify"/>
    </xf>
    <xf numFmtId="167" fontId="11" fillId="14" borderId="69" xfId="2" applyNumberFormat="1" applyFont="1" applyFill="1" applyBorder="1" applyAlignment="1">
      <alignment horizontal="centerContinuous" vertical="justify"/>
    </xf>
    <xf numFmtId="44" fontId="25" fillId="0" borderId="55" xfId="3" applyFont="1" applyBorder="1" applyAlignment="1">
      <alignment vertical="center"/>
    </xf>
    <xf numFmtId="44" fontId="25" fillId="3" borderId="55" xfId="3" applyFont="1" applyFill="1" applyBorder="1" applyAlignment="1">
      <alignment vertical="center"/>
    </xf>
    <xf numFmtId="44" fontId="25" fillId="0" borderId="59" xfId="3" applyFont="1" applyBorder="1" applyAlignment="1">
      <alignment vertical="center"/>
    </xf>
    <xf numFmtId="44" fontId="25" fillId="0" borderId="58" xfId="3" applyFont="1" applyBorder="1" applyAlignment="1">
      <alignment vertical="center"/>
    </xf>
    <xf numFmtId="0" fontId="25" fillId="15" borderId="55" xfId="0" applyFont="1" applyFill="1" applyBorder="1" applyAlignment="1">
      <alignment vertical="center"/>
    </xf>
    <xf numFmtId="44" fontId="25" fillId="15" borderId="55" xfId="3" applyFont="1" applyFill="1" applyBorder="1" applyAlignment="1">
      <alignment horizontal="left" vertical="center"/>
    </xf>
    <xf numFmtId="0" fontId="25" fillId="15" borderId="55" xfId="0" applyFont="1" applyFill="1" applyBorder="1" applyAlignment="1">
      <alignment horizontal="right" vertical="center"/>
    </xf>
    <xf numFmtId="0" fontId="25" fillId="15" borderId="52" xfId="0" applyFont="1" applyFill="1" applyBorder="1" applyAlignment="1">
      <alignment horizontal="right" vertical="center"/>
    </xf>
    <xf numFmtId="44" fontId="25" fillId="15" borderId="0" xfId="3" applyFont="1" applyFill="1" applyBorder="1" applyAlignment="1">
      <alignment vertical="center"/>
    </xf>
    <xf numFmtId="0" fontId="2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2" fillId="8" borderId="44" xfId="0" applyFont="1" applyFill="1" applyBorder="1" applyAlignment="1">
      <alignment vertical="center"/>
    </xf>
    <xf numFmtId="0" fontId="22" fillId="8" borderId="45" xfId="0" applyFont="1" applyFill="1" applyBorder="1" applyAlignment="1">
      <alignment vertical="center"/>
    </xf>
    <xf numFmtId="0" fontId="22" fillId="9" borderId="46" xfId="0" applyFont="1" applyFill="1" applyBorder="1" applyAlignment="1">
      <alignment vertical="center"/>
    </xf>
    <xf numFmtId="0" fontId="11" fillId="9" borderId="73" xfId="0" applyFont="1" applyFill="1" applyBorder="1" applyAlignment="1">
      <alignment horizontal="center" vertical="center"/>
    </xf>
    <xf numFmtId="0" fontId="11" fillId="8" borderId="47" xfId="0" applyFont="1" applyFill="1" applyBorder="1" applyAlignment="1">
      <alignment horizontal="center" vertical="center"/>
    </xf>
    <xf numFmtId="0" fontId="25" fillId="0" borderId="71" xfId="0" applyFont="1" applyBorder="1" applyAlignment="1">
      <alignment vertical="center"/>
    </xf>
    <xf numFmtId="167" fontId="11" fillId="14" borderId="19" xfId="2" applyNumberFormat="1" applyFont="1" applyFill="1" applyBorder="1" applyAlignment="1">
      <alignment horizontal="centerContinuous" vertical="justify"/>
    </xf>
    <xf numFmtId="167" fontId="25" fillId="11" borderId="75" xfId="2" applyNumberFormat="1" applyFont="1" applyFill="1" applyBorder="1" applyAlignment="1">
      <alignment horizontal="center" vertical="center"/>
    </xf>
    <xf numFmtId="0" fontId="11" fillId="9" borderId="48" xfId="0" applyFont="1" applyFill="1" applyBorder="1" applyAlignment="1">
      <alignment vertical="center" wrapText="1"/>
    </xf>
    <xf numFmtId="0" fontId="25" fillId="0" borderId="52" xfId="0" applyFont="1" applyBorder="1" applyAlignment="1">
      <alignment vertical="center"/>
    </xf>
    <xf numFmtId="0" fontId="11" fillId="8" borderId="76" xfId="0" applyFont="1" applyFill="1" applyBorder="1" applyAlignment="1">
      <alignment horizontal="left" vertical="center"/>
    </xf>
    <xf numFmtId="0" fontId="11" fillId="13" borderId="73" xfId="0" applyFont="1" applyFill="1" applyBorder="1" applyAlignment="1">
      <alignment horizontal="center" vertical="center"/>
    </xf>
    <xf numFmtId="0" fontId="11" fillId="9" borderId="77" xfId="0" applyFont="1" applyFill="1" applyBorder="1" applyAlignment="1">
      <alignment horizontal="center" vertical="center"/>
    </xf>
    <xf numFmtId="0" fontId="25" fillId="0" borderId="78" xfId="0" applyFont="1" applyBorder="1" applyAlignment="1">
      <alignment vertical="center"/>
    </xf>
    <xf numFmtId="0" fontId="25" fillId="0" borderId="5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3" borderId="70" xfId="0" applyFont="1" applyFill="1" applyBorder="1" applyAlignment="1">
      <alignment vertical="center"/>
    </xf>
    <xf numFmtId="0" fontId="25" fillId="15" borderId="51" xfId="0" applyFont="1" applyFill="1" applyBorder="1" applyAlignment="1">
      <alignment vertical="center"/>
    </xf>
    <xf numFmtId="167" fontId="0" fillId="0" borderId="0" xfId="0" applyNumberFormat="1"/>
    <xf numFmtId="167" fontId="25" fillId="10" borderId="51" xfId="2" applyNumberFormat="1" applyFont="1" applyFill="1" applyBorder="1" applyAlignment="1">
      <alignment horizontal="center" vertical="center"/>
    </xf>
    <xf numFmtId="0" fontId="31" fillId="18" borderId="81" xfId="0" applyFont="1" applyFill="1" applyBorder="1"/>
    <xf numFmtId="9" fontId="0" fillId="0" borderId="0" xfId="4" applyFont="1"/>
    <xf numFmtId="9" fontId="0" fillId="17" borderId="0" xfId="4" applyFont="1" applyFill="1"/>
    <xf numFmtId="0" fontId="0" fillId="17" borderId="0" xfId="4" applyNumberFormat="1" applyFont="1" applyFill="1"/>
    <xf numFmtId="0" fontId="0" fillId="0" borderId="0" xfId="4" applyNumberFormat="1" applyFont="1"/>
    <xf numFmtId="0" fontId="30" fillId="19" borderId="0" xfId="0" applyFont="1" applyFill="1"/>
    <xf numFmtId="14" fontId="0" fillId="0" borderId="0" xfId="0" applyNumberFormat="1"/>
    <xf numFmtId="0" fontId="6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67" fontId="11" fillId="14" borderId="0" xfId="2" applyNumberFormat="1" applyFont="1" applyFill="1" applyBorder="1" applyAlignment="1">
      <alignment horizontal="center" vertical="center"/>
    </xf>
    <xf numFmtId="0" fontId="0" fillId="0" borderId="0" xfId="0" applyAlignment="1">
      <alignment wrapText="1" readingOrder="1"/>
    </xf>
    <xf numFmtId="0" fontId="25" fillId="0" borderId="64" xfId="0" applyFont="1" applyBorder="1" applyAlignment="1">
      <alignment vertical="center"/>
    </xf>
    <xf numFmtId="0" fontId="25" fillId="0" borderId="67" xfId="0" applyFont="1" applyBorder="1" applyAlignment="1">
      <alignment vertical="center"/>
    </xf>
    <xf numFmtId="0" fontId="25" fillId="11" borderId="64" xfId="0" applyFont="1" applyFill="1" applyBorder="1" applyAlignment="1">
      <alignment horizontal="center" vertical="center"/>
    </xf>
    <xf numFmtId="9" fontId="25" fillId="0" borderId="64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horizontal="center" vertical="center"/>
    </xf>
    <xf numFmtId="9" fontId="25" fillId="0" borderId="63" xfId="0" applyNumberFormat="1" applyFont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166" fontId="25" fillId="11" borderId="64" xfId="0" applyNumberFormat="1" applyFont="1" applyFill="1" applyBorder="1" applyAlignment="1">
      <alignment horizontal="center" vertical="center"/>
    </xf>
    <xf numFmtId="167" fontId="25" fillId="11" borderId="64" xfId="0" applyNumberFormat="1" applyFont="1" applyFill="1" applyBorder="1" applyAlignment="1">
      <alignment horizontal="center" vertical="center"/>
    </xf>
    <xf numFmtId="167" fontId="25" fillId="11" borderId="48" xfId="0" applyNumberFormat="1" applyFont="1" applyFill="1" applyBorder="1" applyAlignment="1">
      <alignment vertical="center"/>
    </xf>
    <xf numFmtId="0" fontId="25" fillId="15" borderId="64" xfId="0" applyFont="1" applyFill="1" applyBorder="1" applyAlignment="1">
      <alignment vertical="center"/>
    </xf>
    <xf numFmtId="44" fontId="25" fillId="15" borderId="64" xfId="0" applyNumberFormat="1" applyFont="1" applyFill="1" applyBorder="1" applyAlignment="1">
      <alignment horizontal="left" vertical="center"/>
    </xf>
    <xf numFmtId="0" fontId="25" fillId="15" borderId="64" xfId="0" applyFont="1" applyFill="1" applyBorder="1" applyAlignment="1">
      <alignment horizontal="right" vertical="center"/>
    </xf>
    <xf numFmtId="44" fontId="25" fillId="15" borderId="0" xfId="0" applyNumberFormat="1" applyFont="1" applyFill="1" applyAlignment="1">
      <alignment vertical="center"/>
    </xf>
    <xf numFmtId="9" fontId="25" fillId="15" borderId="67" xfId="0" applyNumberFormat="1" applyFont="1" applyFill="1" applyBorder="1" applyAlignment="1">
      <alignment vertical="center"/>
    </xf>
    <xf numFmtId="9" fontId="25" fillId="15" borderId="64" xfId="0" applyNumberFormat="1" applyFont="1" applyFill="1" applyBorder="1" applyAlignment="1">
      <alignment vertical="center"/>
    </xf>
    <xf numFmtId="9" fontId="25" fillId="0" borderId="55" xfId="4" applyFont="1" applyBorder="1" applyAlignment="1">
      <alignment vertical="center"/>
    </xf>
    <xf numFmtId="9" fontId="25" fillId="15" borderId="55" xfId="4" applyFont="1" applyFill="1" applyBorder="1" applyAlignment="1">
      <alignment vertical="center"/>
    </xf>
    <xf numFmtId="9" fontId="25" fillId="15" borderId="71" xfId="4" applyFont="1" applyFill="1" applyBorder="1" applyAlignment="1">
      <alignment vertical="center"/>
    </xf>
    <xf numFmtId="0" fontId="25" fillId="0" borderId="74" xfId="0" applyFont="1" applyBorder="1" applyAlignment="1">
      <alignment vertical="center"/>
    </xf>
    <xf numFmtId="164" fontId="25" fillId="11" borderId="51" xfId="5" applyFont="1" applyFill="1" applyBorder="1" applyAlignment="1">
      <alignment horizontal="center" vertical="center"/>
    </xf>
    <xf numFmtId="9" fontId="25" fillId="0" borderId="51" xfId="4" applyFont="1" applyBorder="1" applyAlignment="1">
      <alignment horizontal="center" vertical="center"/>
    </xf>
    <xf numFmtId="9" fontId="25" fillId="0" borderId="65" xfId="4" applyFont="1" applyBorder="1" applyAlignment="1">
      <alignment horizontal="center" vertical="center"/>
    </xf>
    <xf numFmtId="9" fontId="25" fillId="0" borderId="48" xfId="4" applyFont="1" applyBorder="1" applyAlignment="1">
      <alignment horizontal="center" vertical="center"/>
    </xf>
    <xf numFmtId="0" fontId="0" fillId="0" borderId="72" xfId="0" applyBorder="1"/>
    <xf numFmtId="0" fontId="31" fillId="2" borderId="85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1" fillId="16" borderId="73" xfId="0" applyFont="1" applyFill="1" applyBorder="1" applyAlignment="1">
      <alignment horizontal="center" vertical="center"/>
    </xf>
    <xf numFmtId="0" fontId="29" fillId="0" borderId="72" xfId="0" applyFont="1" applyBorder="1" applyAlignment="1">
      <alignment vertical="center"/>
    </xf>
    <xf numFmtId="0" fontId="6" fillId="0" borderId="72" xfId="0" applyFont="1" applyBorder="1" applyAlignment="1">
      <alignment horizontal="center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vertical="center"/>
      <protection locked="0"/>
    </xf>
    <xf numFmtId="0" fontId="2" fillId="0" borderId="29" xfId="0" applyFont="1" applyBorder="1" applyAlignment="1" applyProtection="1">
      <alignment vertical="center"/>
      <protection locked="0"/>
    </xf>
    <xf numFmtId="0" fontId="2" fillId="0" borderId="22" xfId="0" applyFont="1" applyBorder="1" applyAlignment="1" applyProtection="1">
      <alignment vertical="center"/>
      <protection locked="0"/>
    </xf>
    <xf numFmtId="0" fontId="2" fillId="0" borderId="25" xfId="0" applyFont="1" applyBorder="1" applyAlignment="1" applyProtection="1">
      <alignment vertical="center"/>
      <protection locked="0"/>
    </xf>
    <xf numFmtId="0" fontId="11" fillId="2" borderId="9" xfId="0" applyFont="1" applyFill="1" applyBorder="1" applyAlignment="1" applyProtection="1">
      <alignment horizontal="left" vertical="center" wrapText="1"/>
      <protection locked="0"/>
    </xf>
    <xf numFmtId="0" fontId="11" fillId="2" borderId="6" xfId="0" applyFont="1" applyFill="1" applyBorder="1" applyAlignment="1" applyProtection="1">
      <alignment horizontal="left" vertical="center" wrapText="1"/>
      <protection locked="0"/>
    </xf>
    <xf numFmtId="0" fontId="8" fillId="22" borderId="10" xfId="0" applyFont="1" applyFill="1" applyBorder="1" applyAlignment="1" applyProtection="1">
      <alignment vertical="center"/>
      <protection locked="0"/>
    </xf>
    <xf numFmtId="4" fontId="8" fillId="22" borderId="10" xfId="0" applyNumberFormat="1" applyFont="1" applyFill="1" applyBorder="1" applyAlignment="1" applyProtection="1">
      <alignment vertical="center"/>
      <protection locked="0"/>
    </xf>
    <xf numFmtId="0" fontId="8" fillId="23" borderId="9" xfId="0" applyFont="1" applyFill="1" applyBorder="1" applyAlignment="1" applyProtection="1">
      <alignment vertical="center"/>
      <protection locked="0"/>
    </xf>
    <xf numFmtId="0" fontId="2" fillId="0" borderId="0" xfId="0" applyFont="1" applyAlignment="1" applyProtection="1">
      <alignment vertical="center" wrapText="1"/>
      <protection locked="0"/>
    </xf>
    <xf numFmtId="14" fontId="8" fillId="22" borderId="10" xfId="0" applyNumberFormat="1" applyFont="1" applyFill="1" applyBorder="1" applyAlignment="1" applyProtection="1">
      <alignment vertical="center"/>
      <protection locked="0"/>
    </xf>
    <xf numFmtId="0" fontId="11" fillId="2" borderId="16" xfId="0" applyFont="1" applyFill="1" applyBorder="1" applyAlignment="1" applyProtection="1">
      <alignment horizontal="left" vertical="center"/>
      <protection locked="0"/>
    </xf>
    <xf numFmtId="0" fontId="11" fillId="2" borderId="7" xfId="0" applyFont="1" applyFill="1" applyBorder="1" applyAlignment="1" applyProtection="1">
      <alignment horizontal="left" vertical="center" wrapText="1"/>
      <protection locked="0"/>
    </xf>
    <xf numFmtId="0" fontId="29" fillId="23" borderId="72" xfId="0" applyFont="1" applyFill="1" applyBorder="1" applyAlignment="1" applyProtection="1">
      <alignment horizontal="left" vertical="center" wrapText="1" readingOrder="1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" fillId="0" borderId="22" xfId="0" applyFont="1" applyBorder="1" applyAlignment="1" applyProtection="1">
      <alignment vertical="center"/>
      <protection locked="0"/>
    </xf>
    <xf numFmtId="0" fontId="12" fillId="3" borderId="1" xfId="0" applyFont="1" applyFill="1" applyBorder="1" applyAlignment="1" applyProtection="1">
      <alignment vertical="center" wrapText="1"/>
      <protection locked="0"/>
    </xf>
    <xf numFmtId="0" fontId="1" fillId="0" borderId="25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7" fillId="3" borderId="1" xfId="0" applyFont="1" applyFill="1" applyBorder="1" applyAlignment="1" applyProtection="1">
      <alignment vertical="center" wrapText="1"/>
      <protection locked="0"/>
    </xf>
    <xf numFmtId="0" fontId="17" fillId="22" borderId="1" xfId="0" applyFont="1" applyFill="1" applyBorder="1" applyAlignment="1" applyProtection="1">
      <alignment vertical="center" wrapText="1"/>
      <protection locked="0"/>
    </xf>
    <xf numFmtId="0" fontId="16" fillId="3" borderId="1" xfId="0" applyFont="1" applyFill="1" applyBorder="1" applyAlignment="1" applyProtection="1">
      <alignment vertical="center" wrapText="1"/>
      <protection locked="0"/>
    </xf>
    <xf numFmtId="0" fontId="0" fillId="4" borderId="23" xfId="0" applyFill="1" applyBorder="1" applyAlignment="1" applyProtection="1">
      <alignment horizontal="left" vertical="top"/>
      <protection locked="0"/>
    </xf>
    <xf numFmtId="0" fontId="0" fillId="4" borderId="24" xfId="0" applyFill="1" applyBorder="1" applyAlignment="1" applyProtection="1">
      <alignment horizontal="left" vertical="top"/>
      <protection locked="0"/>
    </xf>
    <xf numFmtId="0" fontId="0" fillId="4" borderId="22" xfId="0" applyFill="1" applyBorder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10" fillId="3" borderId="0" xfId="0" applyFont="1" applyFill="1" applyAlignment="1" applyProtection="1">
      <alignment horizontal="center" vertical="center"/>
      <protection locked="0"/>
    </xf>
    <xf numFmtId="0" fontId="6" fillId="3" borderId="22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4" borderId="22" xfId="0" applyFill="1" applyBorder="1" applyAlignment="1" applyProtection="1">
      <alignment vertical="top"/>
      <protection locked="0"/>
    </xf>
    <xf numFmtId="0" fontId="0" fillId="4" borderId="0" xfId="0" applyFill="1" applyAlignment="1" applyProtection="1">
      <alignment vertical="top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vertical="center"/>
      <protection locked="0"/>
    </xf>
    <xf numFmtId="0" fontId="2" fillId="0" borderId="28" xfId="0" applyFont="1" applyBorder="1" applyAlignment="1" applyProtection="1">
      <alignment vertical="center"/>
      <protection locked="0"/>
    </xf>
    <xf numFmtId="0" fontId="2" fillId="0" borderId="26" xfId="0" applyFont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0" xfId="0" quotePrefix="1" applyFont="1" applyAlignment="1" applyProtection="1">
      <alignment vertical="center"/>
      <protection locked="0"/>
    </xf>
    <xf numFmtId="0" fontId="24" fillId="0" borderId="50" xfId="0" applyFont="1" applyBorder="1" applyAlignment="1">
      <alignment horizontal="center" vertical="center" wrapText="1"/>
    </xf>
    <xf numFmtId="0" fontId="24" fillId="0" borderId="51" xfId="0" applyFont="1" applyBorder="1" applyAlignment="1">
      <alignment vertical="center" wrapText="1"/>
    </xf>
    <xf numFmtId="0" fontId="24" fillId="0" borderId="51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55" xfId="0" applyFont="1" applyBorder="1" applyAlignment="1">
      <alignment vertical="center" wrapText="1"/>
    </xf>
    <xf numFmtId="0" fontId="24" fillId="0" borderId="55" xfId="0" applyFont="1" applyBorder="1" applyAlignment="1">
      <alignment horizontal="center" vertical="center" wrapText="1"/>
    </xf>
    <xf numFmtId="0" fontId="24" fillId="0" borderId="56" xfId="0" applyFont="1" applyBorder="1" applyAlignment="1">
      <alignment vertical="center" wrapText="1"/>
    </xf>
    <xf numFmtId="0" fontId="24" fillId="0" borderId="58" xfId="0" applyFont="1" applyBorder="1" applyAlignment="1">
      <alignment horizontal="left" vertical="center" wrapText="1"/>
    </xf>
    <xf numFmtId="0" fontId="24" fillId="0" borderId="51" xfId="0" applyFont="1" applyBorder="1" applyAlignment="1">
      <alignment horizontal="left" vertical="center" wrapText="1"/>
    </xf>
    <xf numFmtId="0" fontId="24" fillId="0" borderId="55" xfId="0" applyFont="1" applyBorder="1" applyAlignment="1">
      <alignment horizontal="left" vertical="center" wrapText="1"/>
    </xf>
    <xf numFmtId="0" fontId="24" fillId="0" borderId="58" xfId="0" applyFont="1" applyBorder="1" applyAlignment="1">
      <alignment vertical="center" wrapText="1"/>
    </xf>
    <xf numFmtId="0" fontId="24" fillId="0" borderId="58" xfId="0" applyFont="1" applyBorder="1" applyAlignment="1">
      <alignment horizontal="center" vertical="center" wrapText="1"/>
    </xf>
    <xf numFmtId="0" fontId="24" fillId="0" borderId="79" xfId="0" applyFont="1" applyBorder="1" applyAlignment="1">
      <alignment vertical="center" wrapText="1"/>
    </xf>
    <xf numFmtId="0" fontId="24" fillId="0" borderId="60" xfId="0" applyFont="1" applyBorder="1" applyAlignment="1">
      <alignment horizontal="center" vertical="center" wrapText="1"/>
    </xf>
    <xf numFmtId="0" fontId="24" fillId="0" borderId="59" xfId="0" applyFont="1" applyBorder="1" applyAlignment="1">
      <alignment vertical="center" wrapText="1"/>
    </xf>
    <xf numFmtId="0" fontId="24" fillId="0" borderId="59" xfId="0" applyFont="1" applyBorder="1" applyAlignment="1">
      <alignment horizontal="center" vertical="center" wrapText="1"/>
    </xf>
    <xf numFmtId="0" fontId="24" fillId="0" borderId="59" xfId="0" applyFont="1" applyBorder="1" applyAlignment="1">
      <alignment horizontal="left" vertical="center" wrapText="1"/>
    </xf>
    <xf numFmtId="0" fontId="24" fillId="0" borderId="61" xfId="0" applyFont="1" applyBorder="1" applyAlignment="1">
      <alignment vertical="center" wrapText="1"/>
    </xf>
    <xf numFmtId="0" fontId="0" fillId="16" borderId="0" xfId="0" applyFill="1" applyAlignment="1">
      <alignment horizontal="center"/>
    </xf>
    <xf numFmtId="0" fontId="38" fillId="0" borderId="0" xfId="0" applyFont="1" applyAlignment="1">
      <alignment horizontal="left" vertical="center" wrapText="1" readingOrder="1"/>
    </xf>
    <xf numFmtId="0" fontId="39" fillId="0" borderId="0" xfId="0" applyFont="1"/>
    <xf numFmtId="0" fontId="22" fillId="16" borderId="45" xfId="0" applyFont="1" applyFill="1" applyBorder="1" applyAlignment="1">
      <alignment vertical="center"/>
    </xf>
    <xf numFmtId="0" fontId="0" fillId="0" borderId="0" xfId="0" applyAlignment="1">
      <alignment wrapText="1"/>
    </xf>
    <xf numFmtId="0" fontId="35" fillId="0" borderId="72" xfId="0" applyFont="1" applyBorder="1"/>
    <xf numFmtId="0" fontId="37" fillId="24" borderId="72" xfId="0" applyFont="1" applyFill="1" applyBorder="1" applyAlignment="1">
      <alignment horizontal="center" vertical="center"/>
    </xf>
    <xf numFmtId="0" fontId="37" fillId="24" borderId="72" xfId="0" applyFont="1" applyFill="1" applyBorder="1"/>
    <xf numFmtId="0" fontId="37" fillId="24" borderId="72" xfId="0" applyFont="1" applyFill="1" applyBorder="1" applyAlignment="1">
      <alignment horizontal="left"/>
    </xf>
    <xf numFmtId="0" fontId="37" fillId="24" borderId="72" xfId="0" applyFont="1" applyFill="1" applyBorder="1" applyAlignment="1">
      <alignment horizontal="right"/>
    </xf>
    <xf numFmtId="0" fontId="37" fillId="23" borderId="72" xfId="0" applyFont="1" applyFill="1" applyBorder="1" applyAlignment="1">
      <alignment horizontal="center" vertical="center"/>
    </xf>
    <xf numFmtId="0" fontId="37" fillId="23" borderId="72" xfId="0" applyFont="1" applyFill="1" applyBorder="1"/>
    <xf numFmtId="0" fontId="37" fillId="23" borderId="72" xfId="0" applyFont="1" applyFill="1" applyBorder="1" applyAlignment="1">
      <alignment horizontal="left"/>
    </xf>
    <xf numFmtId="0" fontId="37" fillId="23" borderId="72" xfId="0" applyFont="1" applyFill="1" applyBorder="1" applyAlignment="1">
      <alignment horizontal="right"/>
    </xf>
    <xf numFmtId="0" fontId="37" fillId="25" borderId="72" xfId="0" applyFont="1" applyFill="1" applyBorder="1" applyAlignment="1">
      <alignment horizontal="center" vertical="center"/>
    </xf>
    <xf numFmtId="0" fontId="37" fillId="25" borderId="72" xfId="0" applyFont="1" applyFill="1" applyBorder="1"/>
    <xf numFmtId="0" fontId="37" fillId="25" borderId="72" xfId="0" applyFont="1" applyFill="1" applyBorder="1" applyAlignment="1">
      <alignment horizontal="center"/>
    </xf>
    <xf numFmtId="0" fontId="37" fillId="25" borderId="72" xfId="0" applyFont="1" applyFill="1" applyBorder="1" applyAlignment="1">
      <alignment horizontal="left"/>
    </xf>
    <xf numFmtId="0" fontId="37" fillId="25" borderId="72" xfId="0" applyFont="1" applyFill="1" applyBorder="1" applyAlignment="1">
      <alignment horizontal="right"/>
    </xf>
    <xf numFmtId="0" fontId="37" fillId="26" borderId="72" xfId="0" applyFont="1" applyFill="1" applyBorder="1" applyAlignment="1">
      <alignment horizontal="center" vertical="center"/>
    </xf>
    <xf numFmtId="0" fontId="37" fillId="26" borderId="72" xfId="0" applyFont="1" applyFill="1" applyBorder="1"/>
    <xf numFmtId="0" fontId="37" fillId="26" borderId="72" xfId="0" applyFont="1" applyFill="1" applyBorder="1" applyAlignment="1">
      <alignment horizontal="center"/>
    </xf>
    <xf numFmtId="0" fontId="37" fillId="26" borderId="72" xfId="0" applyFont="1" applyFill="1" applyBorder="1" applyAlignment="1">
      <alignment horizontal="left"/>
    </xf>
    <xf numFmtId="0" fontId="37" fillId="26" borderId="72" xfId="0" applyFont="1" applyFill="1" applyBorder="1" applyAlignment="1">
      <alignment horizontal="right"/>
    </xf>
    <xf numFmtId="0" fontId="37" fillId="24" borderId="72" xfId="0" applyFont="1" applyFill="1" applyBorder="1" applyAlignment="1">
      <alignment horizontal="center"/>
    </xf>
    <xf numFmtId="0" fontId="37" fillId="11" borderId="72" xfId="0" applyFont="1" applyFill="1" applyBorder="1" applyAlignment="1">
      <alignment horizontal="center" vertical="center"/>
    </xf>
    <xf numFmtId="0" fontId="37" fillId="11" borderId="72" xfId="0" applyFont="1" applyFill="1" applyBorder="1"/>
    <xf numFmtId="0" fontId="37" fillId="11" borderId="72" xfId="0" applyFont="1" applyFill="1" applyBorder="1" applyAlignment="1">
      <alignment horizontal="left"/>
    </xf>
    <xf numFmtId="0" fontId="37" fillId="11" borderId="72" xfId="0" applyFont="1" applyFill="1" applyBorder="1" applyAlignment="1">
      <alignment horizontal="right"/>
    </xf>
    <xf numFmtId="0" fontId="37" fillId="21" borderId="72" xfId="0" applyFont="1" applyFill="1" applyBorder="1" applyAlignment="1">
      <alignment horizontal="center" vertical="center"/>
    </xf>
    <xf numFmtId="0" fontId="37" fillId="21" borderId="72" xfId="0" applyFont="1" applyFill="1" applyBorder="1"/>
    <xf numFmtId="0" fontId="37" fillId="21" borderId="72" xfId="0" applyFont="1" applyFill="1" applyBorder="1" applyAlignment="1">
      <alignment horizontal="center"/>
    </xf>
    <xf numFmtId="0" fontId="37" fillId="21" borderId="72" xfId="0" applyFont="1" applyFill="1" applyBorder="1" applyAlignment="1">
      <alignment horizontal="left"/>
    </xf>
    <xf numFmtId="0" fontId="37" fillId="21" borderId="72" xfId="0" applyFont="1" applyFill="1" applyBorder="1" applyAlignment="1">
      <alignment horizontal="right"/>
    </xf>
    <xf numFmtId="0" fontId="37" fillId="21" borderId="72" xfId="0" applyFont="1" applyFill="1" applyBorder="1" applyAlignment="1">
      <alignment wrapText="1"/>
    </xf>
    <xf numFmtId="0" fontId="37" fillId="27" borderId="72" xfId="0" applyFont="1" applyFill="1" applyBorder="1" applyAlignment="1">
      <alignment horizontal="center" vertical="center"/>
    </xf>
    <xf numFmtId="0" fontId="37" fillId="27" borderId="72" xfId="0" applyFont="1" applyFill="1" applyBorder="1"/>
    <xf numFmtId="0" fontId="37" fillId="27" borderId="72" xfId="0" applyFont="1" applyFill="1" applyBorder="1" applyAlignment="1">
      <alignment horizontal="center"/>
    </xf>
    <xf numFmtId="0" fontId="37" fillId="27" borderId="72" xfId="0" applyFont="1" applyFill="1" applyBorder="1" applyAlignment="1">
      <alignment horizontal="left"/>
    </xf>
    <xf numFmtId="0" fontId="37" fillId="27" borderId="72" xfId="0" applyFont="1" applyFill="1" applyBorder="1" applyAlignment="1">
      <alignment horizontal="right"/>
    </xf>
    <xf numFmtId="0" fontId="37" fillId="27" borderId="72" xfId="0" applyFont="1" applyFill="1" applyBorder="1" applyAlignment="1">
      <alignment wrapText="1"/>
    </xf>
    <xf numFmtId="0" fontId="37" fillId="27" borderId="72" xfId="0" applyFont="1" applyFill="1" applyBorder="1" applyAlignment="1">
      <alignment vertical="center"/>
    </xf>
    <xf numFmtId="0" fontId="40" fillId="27" borderId="72" xfId="0" applyFont="1" applyFill="1" applyBorder="1"/>
    <xf numFmtId="0" fontId="37" fillId="23" borderId="72" xfId="0" applyFont="1" applyFill="1" applyBorder="1" applyAlignment="1">
      <alignment horizontal="center"/>
    </xf>
    <xf numFmtId="0" fontId="37" fillId="3" borderId="0" xfId="0" applyFont="1" applyFill="1" applyAlignment="1">
      <alignment horizontal="right"/>
    </xf>
    <xf numFmtId="0" fontId="0" fillId="3" borderId="0" xfId="0" applyFill="1" applyAlignment="1">
      <alignment wrapText="1"/>
    </xf>
    <xf numFmtId="0" fontId="11" fillId="9" borderId="72" xfId="0" applyFont="1" applyFill="1" applyBorder="1" applyAlignment="1">
      <alignment horizontal="center" vertical="center"/>
    </xf>
    <xf numFmtId="0" fontId="11" fillId="16" borderId="72" xfId="0" applyFont="1" applyFill="1" applyBorder="1" applyAlignment="1">
      <alignment horizontal="center" vertical="center"/>
    </xf>
    <xf numFmtId="0" fontId="11" fillId="9" borderId="72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 readingOrder="1"/>
    </xf>
    <xf numFmtId="167" fontId="11" fillId="14" borderId="0" xfId="2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91" xfId="0" applyBorder="1"/>
    <xf numFmtId="0" fontId="43" fillId="27" borderId="85" xfId="0" applyFont="1" applyFill="1" applyBorder="1" applyAlignment="1">
      <alignment horizontal="center" vertical="center"/>
    </xf>
    <xf numFmtId="0" fontId="43" fillId="27" borderId="85" xfId="0" applyFont="1" applyFill="1" applyBorder="1"/>
    <xf numFmtId="0" fontId="43" fillId="24" borderId="85" xfId="0" applyFont="1" applyFill="1" applyBorder="1" applyAlignment="1">
      <alignment horizontal="center"/>
    </xf>
    <xf numFmtId="0" fontId="43" fillId="24" borderId="85" xfId="0" applyFont="1" applyFill="1" applyBorder="1" applyAlignment="1">
      <alignment horizontal="left"/>
    </xf>
    <xf numFmtId="0" fontId="43" fillId="24" borderId="85" xfId="0" applyFont="1" applyFill="1" applyBorder="1" applyAlignment="1">
      <alignment horizontal="right"/>
    </xf>
    <xf numFmtId="0" fontId="37" fillId="3" borderId="86" xfId="0" applyFont="1" applyFill="1" applyBorder="1" applyAlignment="1">
      <alignment horizontal="right"/>
    </xf>
    <xf numFmtId="0" fontId="36" fillId="0" borderId="72" xfId="0" applyFont="1" applyBorder="1" applyAlignment="1">
      <alignment horizontal="center" vertical="center"/>
    </xf>
    <xf numFmtId="0" fontId="42" fillId="28" borderId="72" xfId="0" applyFont="1" applyFill="1" applyBorder="1" applyAlignment="1">
      <alignment horizontal="center" vertical="center"/>
    </xf>
    <xf numFmtId="0" fontId="36" fillId="0" borderId="72" xfId="0" applyFont="1" applyBorder="1" applyAlignment="1">
      <alignment horizontal="left" vertical="center" wrapText="1"/>
    </xf>
    <xf numFmtId="0" fontId="38" fillId="0" borderId="22" xfId="0" applyFont="1" applyBorder="1" applyAlignment="1">
      <alignment horizontal="left" vertical="center" wrapText="1" readingOrder="1"/>
    </xf>
    <xf numFmtId="0" fontId="36" fillId="0" borderId="89" xfId="0" applyFont="1" applyBorder="1" applyAlignment="1">
      <alignment vertical="center" wrapText="1"/>
    </xf>
    <xf numFmtId="0" fontId="36" fillId="0" borderId="28" xfId="0" applyFont="1" applyBorder="1" applyAlignment="1">
      <alignment vertical="center" wrapText="1"/>
    </xf>
    <xf numFmtId="0" fontId="45" fillId="15" borderId="55" xfId="0" applyFont="1" applyFill="1" applyBorder="1" applyAlignment="1">
      <alignment vertical="center"/>
    </xf>
    <xf numFmtId="44" fontId="45" fillId="15" borderId="55" xfId="3" applyFont="1" applyFill="1" applyBorder="1" applyAlignment="1">
      <alignment horizontal="left" vertical="center"/>
    </xf>
    <xf numFmtId="0" fontId="45" fillId="15" borderId="55" xfId="0" applyFont="1" applyFill="1" applyBorder="1" applyAlignment="1">
      <alignment horizontal="right" vertical="center"/>
    </xf>
    <xf numFmtId="0" fontId="45" fillId="15" borderId="0" xfId="0" applyFont="1" applyFill="1" applyAlignment="1">
      <alignment horizontal="right" vertical="center"/>
    </xf>
    <xf numFmtId="44" fontId="45" fillId="15" borderId="0" xfId="3" applyFont="1" applyFill="1" applyBorder="1" applyAlignment="1">
      <alignment vertical="center"/>
    </xf>
    <xf numFmtId="9" fontId="45" fillId="15" borderId="71" xfId="4" applyFont="1" applyFill="1" applyBorder="1" applyAlignment="1">
      <alignment vertical="center"/>
    </xf>
    <xf numFmtId="9" fontId="45" fillId="15" borderId="55" xfId="4" applyFont="1" applyFill="1" applyBorder="1" applyAlignment="1">
      <alignment vertical="center"/>
    </xf>
    <xf numFmtId="167" fontId="45" fillId="11" borderId="51" xfId="2" applyNumberFormat="1" applyFont="1" applyFill="1" applyBorder="1" applyAlignment="1">
      <alignment horizontal="center" vertical="center"/>
    </xf>
    <xf numFmtId="10" fontId="45" fillId="0" borderId="51" xfId="4" applyNumberFormat="1" applyFont="1" applyBorder="1" applyAlignment="1">
      <alignment horizontal="center" vertical="center"/>
    </xf>
    <xf numFmtId="167" fontId="45" fillId="11" borderId="75" xfId="2" applyNumberFormat="1" applyFont="1" applyFill="1" applyBorder="1" applyAlignment="1">
      <alignment horizontal="center" vertical="center"/>
    </xf>
    <xf numFmtId="0" fontId="35" fillId="0" borderId="0" xfId="0" applyFont="1"/>
    <xf numFmtId="0" fontId="45" fillId="15" borderId="52" xfId="0" applyFont="1" applyFill="1" applyBorder="1" applyAlignment="1">
      <alignment horizontal="right" vertical="center"/>
    </xf>
    <xf numFmtId="0" fontId="46" fillId="3" borderId="85" xfId="0" applyFont="1" applyFill="1" applyBorder="1" applyAlignment="1">
      <alignment horizontal="center" vertical="center" wrapText="1"/>
    </xf>
    <xf numFmtId="0" fontId="8" fillId="3" borderId="72" xfId="0" applyFont="1" applyFill="1" applyBorder="1" applyAlignment="1">
      <alignment vertical="center" wrapText="1"/>
    </xf>
    <xf numFmtId="0" fontId="46" fillId="3" borderId="72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vertical="center"/>
    </xf>
    <xf numFmtId="0" fontId="8" fillId="0" borderId="24" xfId="0" applyFont="1" applyBorder="1" applyAlignment="1">
      <alignment vertical="center" wrapText="1"/>
    </xf>
    <xf numFmtId="0" fontId="8" fillId="0" borderId="24" xfId="0" applyFont="1" applyBorder="1" applyAlignment="1">
      <alignment vertical="center"/>
    </xf>
    <xf numFmtId="0" fontId="47" fillId="0" borderId="29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47" fillId="0" borderId="25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2" fillId="0" borderId="92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8" fillId="0" borderId="26" xfId="0" applyFont="1" applyBorder="1" applyAlignment="1">
      <alignment vertical="center"/>
    </xf>
    <xf numFmtId="0" fontId="8" fillId="0" borderId="27" xfId="0" applyFont="1" applyBorder="1" applyAlignment="1">
      <alignment vertical="center" wrapText="1"/>
    </xf>
    <xf numFmtId="0" fontId="8" fillId="0" borderId="27" xfId="0" applyFont="1" applyBorder="1" applyAlignment="1">
      <alignment vertical="center"/>
    </xf>
    <xf numFmtId="0" fontId="47" fillId="0" borderId="28" xfId="0" applyFont="1" applyBorder="1" applyAlignment="1">
      <alignment vertical="center"/>
    </xf>
    <xf numFmtId="0" fontId="0" fillId="0" borderId="27" xfId="0" applyBorder="1"/>
    <xf numFmtId="0" fontId="50" fillId="0" borderId="0" xfId="0" applyFont="1" applyAlignment="1" applyProtection="1">
      <alignment vertical="center"/>
      <protection locked="0"/>
    </xf>
    <xf numFmtId="0" fontId="8" fillId="3" borderId="72" xfId="0" applyFont="1" applyFill="1" applyBorder="1" applyAlignment="1" applyProtection="1">
      <alignment vertical="center" wrapText="1"/>
      <protection locked="0"/>
    </xf>
    <xf numFmtId="0" fontId="8" fillId="3" borderId="72" xfId="0" applyFont="1" applyFill="1" applyBorder="1" applyAlignment="1" applyProtection="1">
      <alignment horizontal="center" vertical="center" wrapText="1"/>
      <protection locked="0"/>
    </xf>
    <xf numFmtId="0" fontId="44" fillId="26" borderId="72" xfId="0" applyFont="1" applyFill="1" applyBorder="1" applyAlignment="1">
      <alignment vertical="center" wrapText="1"/>
    </xf>
    <xf numFmtId="0" fontId="3" fillId="2" borderId="84" xfId="0" applyFont="1" applyFill="1" applyBorder="1" applyAlignment="1">
      <alignment horizontal="center" vertical="center" wrapText="1"/>
    </xf>
    <xf numFmtId="14" fontId="8" fillId="0" borderId="11" xfId="0" applyNumberFormat="1" applyFont="1" applyBorder="1" applyAlignment="1">
      <alignment vertical="center"/>
    </xf>
    <xf numFmtId="0" fontId="3" fillId="2" borderId="22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vertical="center"/>
    </xf>
    <xf numFmtId="0" fontId="12" fillId="6" borderId="35" xfId="0" applyFont="1" applyFill="1" applyBorder="1" applyAlignment="1">
      <alignment vertical="center" wrapText="1"/>
    </xf>
    <xf numFmtId="0" fontId="17" fillId="22" borderId="1" xfId="0" applyFont="1" applyFill="1" applyBorder="1" applyAlignment="1">
      <alignment vertical="center" wrapText="1"/>
    </xf>
    <xf numFmtId="0" fontId="16" fillId="7" borderId="1" xfId="0" applyFont="1" applyFill="1" applyBorder="1" applyAlignment="1">
      <alignment horizontal="left" vertical="center" wrapText="1" indent="1"/>
    </xf>
    <xf numFmtId="3" fontId="16" fillId="3" borderId="1" xfId="0" applyNumberFormat="1" applyFont="1" applyFill="1" applyBorder="1" applyAlignment="1">
      <alignment horizontal="center" vertical="center" wrapText="1"/>
    </xf>
    <xf numFmtId="9" fontId="16" fillId="3" borderId="1" xfId="4" applyFont="1" applyFill="1" applyBorder="1" applyAlignment="1" applyProtection="1">
      <alignment horizontal="center" vertical="center" wrapText="1"/>
    </xf>
    <xf numFmtId="170" fontId="16" fillId="3" borderId="1" xfId="3" applyNumberFormat="1" applyFont="1" applyFill="1" applyBorder="1" applyAlignment="1" applyProtection="1">
      <alignment horizontal="left" vertical="center" wrapText="1" indent="1"/>
    </xf>
    <xf numFmtId="0" fontId="12" fillId="6" borderId="36" xfId="0" applyFont="1" applyFill="1" applyBorder="1" applyAlignment="1">
      <alignment vertical="center" wrapText="1"/>
    </xf>
    <xf numFmtId="0" fontId="12" fillId="6" borderId="80" xfId="0" applyFont="1" applyFill="1" applyBorder="1" applyAlignment="1">
      <alignment vertical="center" wrapText="1"/>
    </xf>
    <xf numFmtId="0" fontId="3" fillId="2" borderId="38" xfId="0" applyFont="1" applyFill="1" applyBorder="1" applyAlignment="1">
      <alignment horizontal="center" vertical="center"/>
    </xf>
    <xf numFmtId="3" fontId="12" fillId="3" borderId="1" xfId="0" applyNumberFormat="1" applyFont="1" applyFill="1" applyBorder="1" applyAlignment="1">
      <alignment horizontal="center" vertical="center" wrapText="1"/>
    </xf>
    <xf numFmtId="3" fontId="12" fillId="3" borderId="40" xfId="0" applyNumberFormat="1" applyFont="1" applyFill="1" applyBorder="1" applyAlignment="1">
      <alignment horizontal="center" vertical="center" wrapText="1"/>
    </xf>
    <xf numFmtId="0" fontId="27" fillId="2" borderId="27" xfId="0" applyFont="1" applyFill="1" applyBorder="1" applyAlignment="1">
      <alignment horizontal="center" vertical="center" wrapText="1"/>
    </xf>
    <xf numFmtId="0" fontId="16" fillId="22" borderId="1" xfId="0" applyFont="1" applyFill="1" applyBorder="1" applyAlignment="1">
      <alignment horizontal="left" vertical="center" wrapText="1" indent="1"/>
    </xf>
    <xf numFmtId="0" fontId="12" fillId="0" borderId="1" xfId="0" applyFont="1" applyBorder="1" applyAlignment="1">
      <alignment vertical="center" wrapText="1"/>
    </xf>
    <xf numFmtId="0" fontId="50" fillId="0" borderId="25" xfId="0" applyFont="1" applyBorder="1" applyAlignment="1" applyProtection="1">
      <alignment vertical="center"/>
      <protection locked="0"/>
    </xf>
    <xf numFmtId="0" fontId="3" fillId="19" borderId="23" xfId="0" applyFont="1" applyFill="1" applyBorder="1" applyAlignment="1">
      <alignment vertical="center" wrapText="1"/>
    </xf>
    <xf numFmtId="0" fontId="0" fillId="0" borderId="24" xfId="0" applyBorder="1" applyAlignment="1">
      <alignment horizontal="left" vertical="top"/>
    </xf>
    <xf numFmtId="0" fontId="0" fillId="0" borderId="22" xfId="0" applyBorder="1"/>
    <xf numFmtId="0" fontId="8" fillId="3" borderId="72" xfId="0" quotePrefix="1" applyFont="1" applyFill="1" applyBorder="1" applyAlignment="1" applyProtection="1">
      <alignment horizontal="center" vertical="center" wrapText="1"/>
      <protection locked="0"/>
    </xf>
    <xf numFmtId="9" fontId="33" fillId="3" borderId="1" xfId="4" applyFont="1" applyFill="1" applyBorder="1" applyAlignment="1" applyProtection="1">
      <alignment vertical="center" wrapText="1"/>
    </xf>
    <xf numFmtId="0" fontId="33" fillId="3" borderId="1" xfId="0" applyFont="1" applyFill="1" applyBorder="1" applyAlignment="1">
      <alignment vertical="center" wrapText="1"/>
    </xf>
    <xf numFmtId="0" fontId="3" fillId="2" borderId="19" xfId="0" applyFont="1" applyFill="1" applyBorder="1" applyAlignment="1">
      <alignment horizontal="left" vertical="center" wrapText="1"/>
    </xf>
    <xf numFmtId="0" fontId="3" fillId="2" borderId="20" xfId="0" applyFont="1" applyFill="1" applyBorder="1" applyAlignment="1">
      <alignment horizontal="left" vertical="center" wrapText="1"/>
    </xf>
    <xf numFmtId="0" fontId="3" fillId="2" borderId="21" xfId="0" applyFont="1" applyFill="1" applyBorder="1" applyAlignment="1">
      <alignment horizontal="left" vertical="center" wrapText="1"/>
    </xf>
    <xf numFmtId="0" fontId="20" fillId="20" borderId="20" xfId="0" applyFont="1" applyFill="1" applyBorder="1" applyAlignment="1">
      <alignment horizontal="center" vertical="center" wrapText="1"/>
    </xf>
    <xf numFmtId="0" fontId="20" fillId="20" borderId="21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left" vertical="center"/>
    </xf>
    <xf numFmtId="0" fontId="3" fillId="2" borderId="32" xfId="0" applyFont="1" applyFill="1" applyBorder="1" applyAlignment="1">
      <alignment horizontal="left" vertical="center"/>
    </xf>
    <xf numFmtId="0" fontId="12" fillId="3" borderId="39" xfId="0" applyFont="1" applyFill="1" applyBorder="1" applyAlignment="1">
      <alignment horizontal="left" vertical="center" wrapText="1"/>
    </xf>
    <xf numFmtId="0" fontId="12" fillId="3" borderId="34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/>
    </xf>
    <xf numFmtId="0" fontId="3" fillId="2" borderId="42" xfId="0" applyFont="1" applyFill="1" applyBorder="1" applyAlignment="1">
      <alignment horizontal="left" vertical="center"/>
    </xf>
    <xf numFmtId="0" fontId="16" fillId="21" borderId="41" xfId="0" applyFont="1" applyFill="1" applyBorder="1" applyAlignment="1">
      <alignment horizontal="center" vertical="center" wrapText="1"/>
    </xf>
    <xf numFmtId="0" fontId="16" fillId="21" borderId="42" xfId="0" applyFont="1" applyFill="1" applyBorder="1" applyAlignment="1">
      <alignment horizontal="center" vertical="center" wrapText="1"/>
    </xf>
    <xf numFmtId="0" fontId="16" fillId="21" borderId="43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left" vertical="center"/>
    </xf>
    <xf numFmtId="0" fontId="3" fillId="2" borderId="27" xfId="0" applyFont="1" applyFill="1" applyBorder="1" applyAlignment="1">
      <alignment horizontal="left" vertical="center"/>
    </xf>
    <xf numFmtId="0" fontId="16" fillId="5" borderId="19" xfId="0" applyFont="1" applyFill="1" applyBorder="1" applyAlignment="1">
      <alignment horizontal="left" vertical="center" wrapText="1"/>
    </xf>
    <xf numFmtId="0" fontId="16" fillId="5" borderId="20" xfId="0" applyFont="1" applyFill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10" fillId="22" borderId="8" xfId="0" applyFont="1" applyFill="1" applyBorder="1" applyAlignment="1" applyProtection="1">
      <alignment horizontal="left" vertical="center"/>
      <protection locked="0"/>
    </xf>
    <xf numFmtId="0" fontId="10" fillId="22" borderId="12" xfId="0" applyFont="1" applyFill="1" applyBorder="1" applyAlignment="1" applyProtection="1">
      <alignment horizontal="left" vertical="center"/>
      <protection locked="0"/>
    </xf>
    <xf numFmtId="0" fontId="10" fillId="22" borderId="13" xfId="0" applyFont="1" applyFill="1" applyBorder="1" applyAlignment="1" applyProtection="1">
      <alignment horizontal="left" vertical="center"/>
      <protection locked="0"/>
    </xf>
    <xf numFmtId="0" fontId="8" fillId="0" borderId="9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6" xfId="0" applyFont="1" applyBorder="1" applyAlignment="1" applyProtection="1">
      <alignment horizontal="left" vertical="center"/>
      <protection locked="0"/>
    </xf>
    <xf numFmtId="0" fontId="8" fillId="0" borderId="17" xfId="0" applyFont="1" applyBorder="1" applyAlignment="1" applyProtection="1">
      <alignment horizontal="left" vertical="center"/>
      <protection locked="0"/>
    </xf>
    <xf numFmtId="0" fontId="8" fillId="0" borderId="18" xfId="0" applyFont="1" applyBorder="1" applyAlignment="1" applyProtection="1">
      <alignment horizontal="left" vertical="center"/>
      <protection locked="0"/>
    </xf>
    <xf numFmtId="0" fontId="8" fillId="0" borderId="1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8" fillId="0" borderId="18" xfId="0" applyFont="1" applyBorder="1" applyAlignment="1">
      <alignment horizontal="left" vertical="center"/>
    </xf>
    <xf numFmtId="0" fontId="8" fillId="22" borderId="14" xfId="0" applyFont="1" applyFill="1" applyBorder="1" applyAlignment="1" applyProtection="1">
      <alignment horizontal="center" vertical="center"/>
      <protection locked="0"/>
    </xf>
    <xf numFmtId="0" fontId="8" fillId="22" borderId="15" xfId="0" applyFont="1" applyFill="1" applyBorder="1" applyAlignment="1" applyProtection="1">
      <alignment horizontal="center" vertical="center"/>
      <protection locked="0"/>
    </xf>
    <xf numFmtId="0" fontId="3" fillId="2" borderId="8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8" fillId="3" borderId="72" xfId="0" applyFont="1" applyFill="1" applyBorder="1" applyAlignment="1">
      <alignment horizontal="left" vertical="center" wrapText="1"/>
    </xf>
    <xf numFmtId="0" fontId="44" fillId="26" borderId="72" xfId="0" applyFont="1" applyFill="1" applyBorder="1" applyAlignment="1">
      <alignment horizontal="center" vertical="center"/>
    </xf>
    <xf numFmtId="0" fontId="8" fillId="3" borderId="72" xfId="0" applyFont="1" applyFill="1" applyBorder="1" applyAlignment="1" applyProtection="1">
      <alignment horizontal="center" vertical="center" wrapText="1"/>
      <protection locked="0"/>
    </xf>
    <xf numFmtId="0" fontId="3" fillId="2" borderId="72" xfId="0" applyFont="1" applyFill="1" applyBorder="1" applyAlignment="1">
      <alignment horizontal="left" vertical="center" wrapText="1"/>
    </xf>
    <xf numFmtId="0" fontId="3" fillId="2" borderId="26" xfId="0" applyFont="1" applyFill="1" applyBorder="1" applyAlignment="1">
      <alignment horizontal="left" vertical="center" wrapText="1"/>
    </xf>
    <xf numFmtId="0" fontId="44" fillId="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indent="2"/>
    </xf>
    <xf numFmtId="0" fontId="6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wrapText="1"/>
    </xf>
    <xf numFmtId="0" fontId="3" fillId="2" borderId="2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82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 wrapText="1"/>
    </xf>
    <xf numFmtId="0" fontId="0" fillId="0" borderId="88" xfId="0" applyBorder="1" applyAlignment="1">
      <alignment horizontal="center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87" xfId="0" applyBorder="1" applyAlignment="1">
      <alignment horizontal="center" vertical="top" wrapText="1"/>
    </xf>
    <xf numFmtId="0" fontId="0" fillId="0" borderId="89" xfId="0" applyBorder="1" applyAlignment="1">
      <alignment horizontal="center" vertical="top"/>
    </xf>
    <xf numFmtId="0" fontId="0" fillId="0" borderId="87" xfId="0" applyBorder="1" applyAlignment="1">
      <alignment horizontal="center" wrapText="1"/>
    </xf>
    <xf numFmtId="0" fontId="0" fillId="0" borderId="89" xfId="0" applyBorder="1" applyAlignment="1">
      <alignment horizontal="center"/>
    </xf>
    <xf numFmtId="0" fontId="16" fillId="7" borderId="72" xfId="0" applyFont="1" applyFill="1" applyBorder="1" applyAlignment="1">
      <alignment horizontal="center" vertical="center" wrapText="1"/>
    </xf>
    <xf numFmtId="0" fontId="12" fillId="3" borderId="72" xfId="0" applyFont="1" applyFill="1" applyBorder="1" applyAlignment="1">
      <alignment horizontal="left" vertical="center" wrapText="1"/>
    </xf>
    <xf numFmtId="0" fontId="31" fillId="19" borderId="72" xfId="0" applyFont="1" applyFill="1" applyBorder="1" applyAlignment="1">
      <alignment horizontal="center"/>
    </xf>
    <xf numFmtId="0" fontId="0" fillId="7" borderId="72" xfId="0" applyFill="1" applyBorder="1" applyAlignment="1">
      <alignment horizontal="left"/>
    </xf>
    <xf numFmtId="0" fontId="0" fillId="0" borderId="72" xfId="0" applyBorder="1" applyAlignment="1">
      <alignment horizontal="left"/>
    </xf>
    <xf numFmtId="0" fontId="0" fillId="7" borderId="8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0" fillId="7" borderId="84" xfId="0" applyFill="1" applyBorder="1" applyAlignment="1">
      <alignment horizontal="left"/>
    </xf>
    <xf numFmtId="0" fontId="48" fillId="3" borderId="19" xfId="0" applyFont="1" applyFill="1" applyBorder="1" applyAlignment="1">
      <alignment horizontal="center" vertical="center" wrapText="1"/>
    </xf>
    <xf numFmtId="0" fontId="48" fillId="3" borderId="20" xfId="0" applyFont="1" applyFill="1" applyBorder="1" applyAlignment="1">
      <alignment horizontal="center" vertical="center" wrapText="1"/>
    </xf>
    <xf numFmtId="0" fontId="48" fillId="3" borderId="21" xfId="0" applyFont="1" applyFill="1" applyBorder="1" applyAlignment="1">
      <alignment horizontal="center" vertical="center" wrapText="1"/>
    </xf>
    <xf numFmtId="0" fontId="49" fillId="2" borderId="19" xfId="0" applyFont="1" applyFill="1" applyBorder="1" applyAlignment="1">
      <alignment horizontal="left" vertical="center" wrapText="1"/>
    </xf>
    <xf numFmtId="0" fontId="49" fillId="2" borderId="20" xfId="0" applyFont="1" applyFill="1" applyBorder="1" applyAlignment="1">
      <alignment horizontal="left" vertical="center" wrapText="1"/>
    </xf>
    <xf numFmtId="0" fontId="49" fillId="2" borderId="22" xfId="0" applyFont="1" applyFill="1" applyBorder="1" applyAlignment="1">
      <alignment horizontal="left" vertical="center" wrapText="1"/>
    </xf>
    <xf numFmtId="0" fontId="49" fillId="2" borderId="0" xfId="0" applyFont="1" applyFill="1" applyAlignment="1">
      <alignment horizontal="left" vertical="center" wrapText="1"/>
    </xf>
    <xf numFmtId="0" fontId="12" fillId="5" borderId="33" xfId="0" applyFont="1" applyFill="1" applyBorder="1" applyAlignment="1">
      <alignment horizontal="center" vertical="center" wrapText="1"/>
    </xf>
    <xf numFmtId="0" fontId="12" fillId="5" borderId="34" xfId="0" applyFont="1" applyFill="1" applyBorder="1" applyAlignment="1">
      <alignment horizontal="center" vertical="center" wrapText="1"/>
    </xf>
    <xf numFmtId="0" fontId="20" fillId="0" borderId="19" xfId="0" applyFont="1" applyBorder="1" applyAlignment="1">
      <alignment horizontal="left" vertical="center"/>
    </xf>
    <xf numFmtId="0" fontId="20" fillId="0" borderId="20" xfId="0" applyFont="1" applyBorder="1" applyAlignment="1">
      <alignment horizontal="left" vertical="center"/>
    </xf>
    <xf numFmtId="0" fontId="20" fillId="0" borderId="21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168" fontId="11" fillId="13" borderId="0" xfId="2" applyNumberFormat="1" applyFont="1" applyFill="1" applyBorder="1" applyAlignment="1">
      <alignment horizontal="center" vertical="center"/>
    </xf>
    <xf numFmtId="168" fontId="11" fillId="13" borderId="67" xfId="2" applyNumberFormat="1" applyFont="1" applyFill="1" applyBorder="1" applyAlignment="1">
      <alignment horizontal="center" vertical="center"/>
    </xf>
  </cellXfs>
  <cellStyles count="8">
    <cellStyle name="Millares" xfId="2" builtinId="3"/>
    <cellStyle name="Millares 2" xfId="1" xr:uid="{00000000-0005-0000-0000-000001000000}"/>
    <cellStyle name="Millares 3" xfId="6" xr:uid="{00000000-0005-0000-0000-000002000000}"/>
    <cellStyle name="Moneda" xfId="3" builtinId="4"/>
    <cellStyle name="Moneda 2" xfId="5" xr:uid="{00000000-0005-0000-0000-000004000000}"/>
    <cellStyle name="Normal" xfId="0" builtinId="0"/>
    <cellStyle name="Normal 2" xfId="7" xr:uid="{00000000-0005-0000-0000-000006000000}"/>
    <cellStyle name="Porcentaje" xfId="4" builtinId="5"/>
  </cellStyles>
  <dxfs count="1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thick">
          <color theme="2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center" vertical="center" textRotation="0" wrapText="1" indent="0" justifyLastLine="0" shrinkToFit="0" readingOrder="0"/>
      <border diagonalUp="0" diagonalDown="0">
        <left style="thick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thick">
          <color theme="2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/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/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center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center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center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left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left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center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general" vertical="center" textRotation="0" wrapText="1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Rounded MT Bold"/>
        <scheme val="none"/>
      </font>
      <alignment horizontal="center" vertical="center" textRotation="0" wrapText="1" indent="0" justifyLastLine="0" shrinkToFit="0" readingOrder="0"/>
      <border diagonalUp="0" diagonalDown="0">
        <left style="thick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 Rounded MT Bold"/>
        <scheme val="none"/>
      </font>
      <fill>
        <patternFill patternType="solid">
          <fgColor indexed="64"/>
          <bgColor rgb="FF00275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theme="0" tint="-0.499984740745262"/>
        </top>
      </border>
    </dxf>
    <dxf>
      <border outline="0">
        <bottom style="medium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 Rounded MT Bold"/>
        <scheme val="none"/>
      </font>
      <fill>
        <patternFill patternType="solid">
          <fgColor indexed="64"/>
          <bgColor rgb="FF002753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</font>
    </dxf>
    <dxf>
      <font>
        <strike val="0"/>
        <outline val="0"/>
        <shadow val="0"/>
        <u val="none"/>
        <vertAlign val="baseline"/>
        <sz val="11"/>
        <color rgb="FFC00000"/>
        <name val="Calibri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none"/>
      </font>
      <alignment horizontal="left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none"/>
      </font>
      <alignment horizontal="left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none"/>
      </font>
      <alignment horizontal="left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none"/>
      </font>
      <alignment horizontal="left" vertical="center" textRotation="0" wrapText="1" indent="0" justifyLastLine="0" shrinkToFit="0" readingOrder="1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left" vertical="center" textRotation="0" wrapText="1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/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border outline="0">
        <top style="dashed">
          <color theme="0" tint="-0.499984740745262"/>
        </top>
      </border>
    </dxf>
    <dxf>
      <border outline="0">
        <left style="dashed">
          <color theme="0" tint="-0.499984740745262"/>
        </left>
        <right style="dashed">
          <color theme="0" tint="-0.499984740745262"/>
        </right>
        <top style="medium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</dxf>
    <dxf>
      <border outline="0">
        <bottom style="medium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 Rounded MT Bold"/>
        <scheme val="none"/>
      </font>
      <fill>
        <patternFill patternType="solid">
          <fgColor indexed="64"/>
          <bgColor rgb="FF002753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4" formatCode="0.0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4" formatCode="0.0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4" formatCode="0.0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9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34" formatCode="_-&quot;S/&quot;\ * #,##0.00_-;\-&quot;S/&quot;\ * #,##0.00_-;_-&quot;S/&quot;\ * &quot;-&quot;??_-;_-@_-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34" formatCode="_-&quot;S/&quot;\ * #,##0.00_-;\-&quot;S/&quot;\ * #,##0.00_-;_-&quot;S/&quot;\ * &quot;-&quot;??_-;_-@_-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thick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thick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/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6" formatCode="_-&quot;S/&quot;* #,##0_-;\-&quot;S/&quot;* #,##0_-;_-&quot;S/&quot;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6" formatCode="_-&quot;S/&quot;* #,##0_-;\-&quot;S/&quot;* #,##0_-;_-&quot;S/&quot;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6" formatCode="_-&quot;S/&quot;* #,##0_-;\-&quot;S/&quot;* #,##0_-;_-&quot;S/&quot;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6" formatCode="_-&quot;S/&quot;* #,##0_-;\-&quot;S/&quot;* #,##0_-;_-&quot;S/&quot;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numFmt numFmtId="167" formatCode="_-* #,##0_-;\-* #,##0_-;_-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/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  <vertical/>
        <horizontal/>
      </border>
    </dxf>
    <dxf>
      <border outline="0">
        <left style="dashed">
          <color theme="0" tint="-0.499984740745262"/>
        </left>
        <right style="medium">
          <color indexed="64"/>
        </right>
      </border>
    </dxf>
    <dxf>
      <font>
        <b/>
        <i val="0"/>
      </font>
      <fill>
        <patternFill>
          <bgColor theme="7" tint="0.79998168889431442"/>
        </patternFill>
      </fill>
    </dxf>
    <dxf>
      <font>
        <color theme="6"/>
      </font>
      <fill>
        <patternFill>
          <bgColor theme="0" tint="-4.9989318521683403E-2"/>
        </patternFill>
      </fill>
    </dxf>
    <dxf>
      <font>
        <color theme="0" tint="-0.34998626667073579"/>
      </font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24994659260841701"/>
        </patternFill>
      </fill>
    </dxf>
    <dxf>
      <font>
        <b/>
        <i val="0"/>
        <strike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FFA7"/>
      <color rgb="FF0557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Rating S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Rating S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98784</xdr:rowOff>
    </xdr:from>
    <xdr:to>
      <xdr:col>2</xdr:col>
      <xdr:colOff>1313641</xdr:colOff>
      <xdr:row>2</xdr:row>
      <xdr:rowOff>403580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18" t="33986" r="37310" b="23912"/>
        <a:stretch/>
      </xdr:blipFill>
      <xdr:spPr>
        <a:xfrm>
          <a:off x="184150" y="98784"/>
          <a:ext cx="1328881" cy="5693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36</xdr:row>
      <xdr:rowOff>50032</xdr:rowOff>
    </xdr:from>
    <xdr:to>
      <xdr:col>6</xdr:col>
      <xdr:colOff>1190673</xdr:colOff>
      <xdr:row>41</xdr:row>
      <xdr:rowOff>49729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" y="6633712"/>
          <a:ext cx="9713809" cy="914097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</xdr:colOff>
      <xdr:row>92</xdr:row>
      <xdr:rowOff>14150</xdr:rowOff>
    </xdr:from>
    <xdr:to>
      <xdr:col>7</xdr:col>
      <xdr:colOff>79064</xdr:colOff>
      <xdr:row>105</xdr:row>
      <xdr:rowOff>144779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" y="14979830"/>
          <a:ext cx="9901907" cy="2508069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</xdr:colOff>
      <xdr:row>108</xdr:row>
      <xdr:rowOff>47443</xdr:rowOff>
    </xdr:from>
    <xdr:to>
      <xdr:col>8</xdr:col>
      <xdr:colOff>365097</xdr:colOff>
      <xdr:row>110</xdr:row>
      <xdr:rowOff>164491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720" y="17939203"/>
          <a:ext cx="10980420" cy="482808"/>
        </a:xfrm>
        <a:prstGeom prst="rect">
          <a:avLst/>
        </a:prstGeom>
      </xdr:spPr>
    </xdr:pic>
    <xdr:clientData/>
  </xdr:twoCellAnchor>
  <xdr:twoCellAnchor editAs="oneCell">
    <xdr:from>
      <xdr:col>0</xdr:col>
      <xdr:colOff>144780</xdr:colOff>
      <xdr:row>115</xdr:row>
      <xdr:rowOff>174551</xdr:rowOff>
    </xdr:from>
    <xdr:to>
      <xdr:col>8</xdr:col>
      <xdr:colOff>426057</xdr:colOff>
      <xdr:row>118</xdr:row>
      <xdr:rowOff>67681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" y="19346471"/>
          <a:ext cx="10942320" cy="4417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31286</xdr:rowOff>
    </xdr:from>
    <xdr:to>
      <xdr:col>11</xdr:col>
      <xdr:colOff>444684</xdr:colOff>
      <xdr:row>231</xdr:row>
      <xdr:rowOff>109516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9231953"/>
          <a:ext cx="13538200" cy="3244763"/>
        </a:xfrm>
        <a:prstGeom prst="rect">
          <a:avLst/>
        </a:prstGeom>
      </xdr:spPr>
    </xdr:pic>
    <xdr:clientData/>
  </xdr:twoCellAnchor>
  <xdr:twoCellAnchor editAs="oneCell">
    <xdr:from>
      <xdr:col>0</xdr:col>
      <xdr:colOff>198783</xdr:colOff>
      <xdr:row>20</xdr:row>
      <xdr:rowOff>141548</xdr:rowOff>
    </xdr:from>
    <xdr:to>
      <xdr:col>9</xdr:col>
      <xdr:colOff>240195</xdr:colOff>
      <xdr:row>31</xdr:row>
      <xdr:rowOff>8283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252" t="35511" r="15876" b="39606"/>
        <a:stretch/>
      </xdr:blipFill>
      <xdr:spPr>
        <a:xfrm>
          <a:off x="198783" y="3943265"/>
          <a:ext cx="11057282" cy="1962235"/>
        </a:xfrm>
        <a:prstGeom prst="rect">
          <a:avLst/>
        </a:prstGeom>
      </xdr:spPr>
    </xdr:pic>
    <xdr:clientData/>
  </xdr:twoCellAnchor>
  <xdr:twoCellAnchor editAs="oneCell">
    <xdr:from>
      <xdr:col>0</xdr:col>
      <xdr:colOff>57977</xdr:colOff>
      <xdr:row>51</xdr:row>
      <xdr:rowOff>165651</xdr:rowOff>
    </xdr:from>
    <xdr:to>
      <xdr:col>6</xdr:col>
      <xdr:colOff>1200977</xdr:colOff>
      <xdr:row>62</xdr:row>
      <xdr:rowOff>115957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304" t="39713" r="16358" b="28598"/>
        <a:stretch/>
      </xdr:blipFill>
      <xdr:spPr>
        <a:xfrm>
          <a:off x="57977" y="9814890"/>
          <a:ext cx="9342783" cy="2045806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126</xdr:row>
      <xdr:rowOff>41413</xdr:rowOff>
    </xdr:from>
    <xdr:to>
      <xdr:col>6</xdr:col>
      <xdr:colOff>1143000</xdr:colOff>
      <xdr:row>153</xdr:row>
      <xdr:rowOff>40781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978" t="37238" r="41546" b="9070"/>
        <a:stretch/>
      </xdr:blipFill>
      <xdr:spPr>
        <a:xfrm>
          <a:off x="66261" y="21924065"/>
          <a:ext cx="9276522" cy="5142868"/>
        </a:xfrm>
        <a:prstGeom prst="rect">
          <a:avLst/>
        </a:prstGeom>
      </xdr:spPr>
    </xdr:pic>
    <xdr:clientData/>
  </xdr:twoCellAnchor>
  <xdr:twoCellAnchor editAs="oneCell">
    <xdr:from>
      <xdr:col>0</xdr:col>
      <xdr:colOff>49695</xdr:colOff>
      <xdr:row>169</xdr:row>
      <xdr:rowOff>107673</xdr:rowOff>
    </xdr:from>
    <xdr:to>
      <xdr:col>6</xdr:col>
      <xdr:colOff>761999</xdr:colOff>
      <xdr:row>197</xdr:row>
      <xdr:rowOff>79525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3850" t="27340" r="41597" b="14920"/>
        <a:stretch/>
      </xdr:blipFill>
      <xdr:spPr>
        <a:xfrm>
          <a:off x="49695" y="30173543"/>
          <a:ext cx="8912087" cy="53058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1727200</xdr:colOff>
      <xdr:row>10</xdr:row>
      <xdr:rowOff>38100</xdr:rowOff>
    </xdr:from>
    <xdr:to>
      <xdr:col>5</xdr:col>
      <xdr:colOff>224650</xdr:colOff>
      <xdr:row>11</xdr:row>
      <xdr:rowOff>171600</xdr:rowOff>
    </xdr:to>
    <xdr:sp macro="" textlink="">
      <xdr:nvSpPr>
        <xdr:cNvPr id="3" name="Flecha: hacia la izqui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23225" y="3705225"/>
          <a:ext cx="612000" cy="324000"/>
        </a:xfrm>
        <a:prstGeom prst="leftArrow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 b="1">
              <a:solidFill>
                <a:schemeClr val="bg1"/>
              </a:solidFill>
            </a:rPr>
            <a:t>INICIO</a:t>
          </a:r>
          <a:endParaRPr lang="es-PE" sz="7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1470025</xdr:colOff>
      <xdr:row>24</xdr:row>
      <xdr:rowOff>161925</xdr:rowOff>
    </xdr:from>
    <xdr:to>
      <xdr:col>4</xdr:col>
      <xdr:colOff>2082025</xdr:colOff>
      <xdr:row>26</xdr:row>
      <xdr:rowOff>104925</xdr:rowOff>
    </xdr:to>
    <xdr:sp macro="" textlink="">
      <xdr:nvSpPr>
        <xdr:cNvPr id="2" name="Flecha: hacia la izqui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66050" y="9982200"/>
          <a:ext cx="612000" cy="324000"/>
        </a:xfrm>
        <a:prstGeom prst="leftArrow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 b="1">
              <a:solidFill>
                <a:schemeClr val="bg1"/>
              </a:solidFill>
            </a:rPr>
            <a:t>INICIO</a:t>
          </a:r>
          <a:endParaRPr lang="es-PE" sz="7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98784</xdr:rowOff>
    </xdr:from>
    <xdr:to>
      <xdr:col>2</xdr:col>
      <xdr:colOff>1328881</xdr:colOff>
      <xdr:row>2</xdr:row>
      <xdr:rowOff>403580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18" t="33986" r="37310" b="23912"/>
        <a:stretch/>
      </xdr:blipFill>
      <xdr:spPr>
        <a:xfrm>
          <a:off x="971550" y="294047"/>
          <a:ext cx="1328881" cy="5572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AUGE\NPCI%20-%20LUKEN\FORMATOS%20FINALES\00_VIGENTES\01_Rating%20NPCI%20-%20GIR%20ACTUALIZADO%20NOV%20EN%20PROCESO%20v.f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o"/>
      <sheetName val="PCI"/>
      <sheetName val="PDP"/>
      <sheetName val="Parámetros"/>
      <sheetName val="Inf. Adicional"/>
      <sheetName val="Organizacional"/>
      <sheetName val="Organigrama"/>
      <sheetName val="Productos"/>
      <sheetName val="Detalle_Producto"/>
      <sheetName val="Productos RO-Detallado"/>
      <sheetName val="Procesos"/>
      <sheetName val="Detalle_Proceso"/>
      <sheetName val="Tecnologia"/>
      <sheetName val="Detalle_tecnologia"/>
      <sheetName val="Canales"/>
      <sheetName val="Detalle_canales"/>
      <sheetName val="Terceros"/>
      <sheetName val="Detalle_Terceros"/>
      <sheetName val="Piloto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Unidad orgánica</v>
          </cell>
          <cell r="C1" t="str">
            <v>Nivel</v>
          </cell>
          <cell r="D1" t="str">
            <v>Línea de defensa</v>
          </cell>
        </row>
        <row r="2">
          <cell r="B2" t="str">
            <v>Directorio</v>
          </cell>
          <cell r="C2" t="str">
            <v>Nivel 1</v>
          </cell>
          <cell r="D2"/>
        </row>
        <row r="3">
          <cell r="B3" t="str">
            <v>Gerencia Mancomunada</v>
          </cell>
          <cell r="C3" t="str">
            <v>Nivel 2</v>
          </cell>
          <cell r="D3" t="str">
            <v>Primera Línea</v>
          </cell>
        </row>
        <row r="4">
          <cell r="B4" t="str">
            <v>Gerencia de Auditoria Interna</v>
          </cell>
          <cell r="C4" t="str">
            <v>Nivel 4</v>
          </cell>
          <cell r="D4" t="str">
            <v>Tercera Línea</v>
          </cell>
        </row>
        <row r="5">
          <cell r="B5" t="str">
            <v>Gerencia de Riesgo Corporativo</v>
          </cell>
          <cell r="C5" t="str">
            <v>Nivel 4</v>
          </cell>
          <cell r="D5" t="str">
            <v>Segunda Línea</v>
          </cell>
        </row>
        <row r="6">
          <cell r="B6" t="str">
            <v>Gerencia de Compliance y Prevención</v>
          </cell>
          <cell r="C6" t="str">
            <v>Nivel 4</v>
          </cell>
          <cell r="D6" t="str">
            <v>Segunda Línea</v>
          </cell>
        </row>
        <row r="7">
          <cell r="B7" t="str">
            <v>Oficialía de Cumplimiento</v>
          </cell>
          <cell r="C7" t="str">
            <v>Nivel 4</v>
          </cell>
          <cell r="D7" t="str">
            <v>Segunda Línea</v>
          </cell>
        </row>
        <row r="8">
          <cell r="B8" t="str">
            <v>Gerencia Legal</v>
          </cell>
          <cell r="C8" t="str">
            <v>Nivel 5</v>
          </cell>
          <cell r="D8" t="str">
            <v>Primera Línea</v>
          </cell>
        </row>
        <row r="9">
          <cell r="B9" t="str">
            <v>Gerencia de Innovation Lab</v>
          </cell>
          <cell r="C9" t="str">
            <v>Nivel 5</v>
          </cell>
          <cell r="D9" t="str">
            <v>Primera Línea</v>
          </cell>
        </row>
        <row r="10">
          <cell r="B10" t="str">
            <v>Gerencia de Personas y Desarrollo Organizacional</v>
          </cell>
          <cell r="C10" t="str">
            <v>Nivel 5</v>
          </cell>
          <cell r="D10" t="str">
            <v>Primera Línea</v>
          </cell>
        </row>
        <row r="11">
          <cell r="B11" t="str">
            <v>Gerencia de Administración</v>
          </cell>
          <cell r="C11" t="str">
            <v>Nivel 5</v>
          </cell>
          <cell r="D11" t="str">
            <v>Primera Línea</v>
          </cell>
        </row>
        <row r="12">
          <cell r="B12" t="str">
            <v>Gerencia de TI</v>
          </cell>
          <cell r="C12" t="str">
            <v>Nivel 5</v>
          </cell>
          <cell r="D12" t="str">
            <v>Primera Línea</v>
          </cell>
        </row>
        <row r="13">
          <cell r="B13" t="str">
            <v>Gerencia de Operaciones</v>
          </cell>
          <cell r="C13" t="str">
            <v>Nivel 5</v>
          </cell>
          <cell r="D13" t="str">
            <v>Primera Línea</v>
          </cell>
        </row>
        <row r="14">
          <cell r="B14" t="str">
            <v>Gerencia de Procesos y Calidad de Servicios Operacionales</v>
          </cell>
          <cell r="C14" t="str">
            <v>Nivel 5</v>
          </cell>
          <cell r="D14" t="str">
            <v>Primera Línea</v>
          </cell>
        </row>
        <row r="15">
          <cell r="B15" t="str">
            <v>Proyectos ágiles</v>
          </cell>
          <cell r="C15" t="str">
            <v>Nivel 9</v>
          </cell>
          <cell r="D15" t="str">
            <v>Primera Línea</v>
          </cell>
        </row>
        <row r="16">
          <cell r="B16" t="str">
            <v>Procesos de Innovación</v>
          </cell>
          <cell r="C16" t="str">
            <v>Nivel 9</v>
          </cell>
          <cell r="D16" t="str">
            <v>Primera Línea</v>
          </cell>
        </row>
        <row r="17">
          <cell r="B17" t="str">
            <v>Administración de Personal</v>
          </cell>
          <cell r="C17" t="str">
            <v>Nivel 9</v>
          </cell>
          <cell r="D17" t="str">
            <v>Primera Línea</v>
          </cell>
        </row>
        <row r="18">
          <cell r="B18" t="str">
            <v>Bienestar y Clima Laboral</v>
          </cell>
          <cell r="C18" t="str">
            <v>Nivel 9</v>
          </cell>
          <cell r="D18" t="str">
            <v>Primera Línea</v>
          </cell>
        </row>
        <row r="19">
          <cell r="B19" t="str">
            <v>Business Partners</v>
          </cell>
          <cell r="C19" t="str">
            <v>Nivel 9</v>
          </cell>
          <cell r="D19" t="str">
            <v>Primera Línea</v>
          </cell>
        </row>
        <row r="20">
          <cell r="B20" t="str">
            <v>Subgerencia de Gestión de Talento y Aprendizaje</v>
          </cell>
          <cell r="C20" t="str">
            <v>Nivel 7</v>
          </cell>
          <cell r="D20" t="str">
            <v>Primera Línea</v>
          </cell>
        </row>
        <row r="21">
          <cell r="B21" t="str">
            <v>Subgerencia de Cultura y Gestión del Cambio</v>
          </cell>
          <cell r="C21" t="str">
            <v>Nivel 7</v>
          </cell>
          <cell r="D21" t="str">
            <v>Primera Línea</v>
          </cell>
        </row>
        <row r="22">
          <cell r="B22" t="str">
            <v>Aprendizaje</v>
          </cell>
          <cell r="C22" t="str">
            <v>Nivel 9</v>
          </cell>
          <cell r="D22" t="str">
            <v>Primera Línea</v>
          </cell>
        </row>
        <row r="23">
          <cell r="B23" t="str">
            <v>Reclutamiento y Selección</v>
          </cell>
          <cell r="C23" t="str">
            <v>Nivel 9</v>
          </cell>
          <cell r="D23" t="str">
            <v>Primera Línea</v>
          </cell>
        </row>
        <row r="24">
          <cell r="B24" t="str">
            <v>Infraestructura Locativa</v>
          </cell>
          <cell r="C24" t="str">
            <v>Nivel 9</v>
          </cell>
          <cell r="D24" t="str">
            <v>Primera Línea</v>
          </cell>
        </row>
        <row r="25">
          <cell r="B25" t="str">
            <v>Servicios Internos</v>
          </cell>
          <cell r="C25" t="str">
            <v>Nivel 9</v>
          </cell>
          <cell r="D25" t="str">
            <v>Primera Línea</v>
          </cell>
        </row>
        <row r="26">
          <cell r="B26" t="str">
            <v>Adquisiciones</v>
          </cell>
          <cell r="C26" t="str">
            <v>Nivel 9</v>
          </cell>
          <cell r="D26" t="str">
            <v>Primera Línea</v>
          </cell>
        </row>
        <row r="27">
          <cell r="B27" t="str">
            <v>Control Patrimonial</v>
          </cell>
          <cell r="C27" t="str">
            <v>Nivel 9</v>
          </cell>
          <cell r="D27" t="str">
            <v>Primera Línea</v>
          </cell>
        </row>
        <row r="28">
          <cell r="B28" t="str">
            <v>Seguridad Institucional</v>
          </cell>
          <cell r="C28" t="str">
            <v>Nivel 9</v>
          </cell>
          <cell r="D28" t="str">
            <v>Primera Línea</v>
          </cell>
        </row>
        <row r="29">
          <cell r="B29" t="str">
            <v>Procesos Centrales y Servicios</v>
          </cell>
          <cell r="C29" t="str">
            <v>Nivel 9</v>
          </cell>
          <cell r="D29" t="str">
            <v>Primera Línea</v>
          </cell>
        </row>
        <row r="30">
          <cell r="B30" t="str">
            <v>Operaciones y Red de Agencias</v>
          </cell>
          <cell r="C30" t="str">
            <v>Nivel 9</v>
          </cell>
          <cell r="D30" t="str">
            <v>Primera Línea</v>
          </cell>
        </row>
        <row r="31">
          <cell r="B31" t="str">
            <v>Soporte Financiero</v>
          </cell>
          <cell r="C31" t="str">
            <v>Nivel 9</v>
          </cell>
          <cell r="D31" t="str">
            <v>Primera Línea</v>
          </cell>
        </row>
        <row r="32">
          <cell r="B32" t="str">
            <v>Garantías</v>
          </cell>
          <cell r="C32" t="str">
            <v>Nivel 9</v>
          </cell>
          <cell r="D32" t="str">
            <v>Primera Línea</v>
          </cell>
        </row>
        <row r="33">
          <cell r="B33" t="str">
            <v>Procesos</v>
          </cell>
          <cell r="C33" t="str">
            <v>Nivel 9</v>
          </cell>
          <cell r="D33" t="str">
            <v>Primera Línea</v>
          </cell>
        </row>
        <row r="34">
          <cell r="B34" t="str">
            <v>PMO</v>
          </cell>
          <cell r="C34" t="str">
            <v>Nivel 9</v>
          </cell>
          <cell r="D34" t="str">
            <v>Primera Línea</v>
          </cell>
        </row>
        <row r="35">
          <cell r="B35" t="str">
            <v>Infraestructura y Tecnología</v>
          </cell>
          <cell r="C35" t="str">
            <v>Nivel 9</v>
          </cell>
          <cell r="D35" t="str">
            <v>Primera Línea</v>
          </cell>
        </row>
        <row r="36">
          <cell r="B36" t="str">
            <v>Mantención y Desarrollo de Sistemas</v>
          </cell>
          <cell r="C36" t="str">
            <v>Nivel 9</v>
          </cell>
          <cell r="D36" t="str">
            <v>Primera Línea</v>
          </cell>
        </row>
        <row r="37">
          <cell r="B37" t="str">
            <v>Arquitectura de TI</v>
          </cell>
          <cell r="C37" t="str">
            <v>Nivel 9</v>
          </cell>
          <cell r="D37" t="str">
            <v>Primera Línea</v>
          </cell>
        </row>
        <row r="38">
          <cell r="B38" t="str">
            <v>Ciberseguridad y Continuidad Operacional</v>
          </cell>
          <cell r="C38" t="str">
            <v>Nivel 9</v>
          </cell>
          <cell r="D38" t="str">
            <v>Primera Línea</v>
          </cell>
        </row>
        <row r="39">
          <cell r="B39" t="str">
            <v>Gerencia de Productos Pasivos</v>
          </cell>
          <cell r="C39" t="str">
            <v>Nivel 5</v>
          </cell>
          <cell r="D39" t="str">
            <v>Primera Línea</v>
          </cell>
        </row>
        <row r="40">
          <cell r="B40" t="str">
            <v>Gerencia de Finanzas</v>
          </cell>
          <cell r="C40" t="str">
            <v>Nivel 5</v>
          </cell>
          <cell r="D40" t="str">
            <v>Primera Línea</v>
          </cell>
        </row>
        <row r="41">
          <cell r="B41" t="str">
            <v>Gerencia de Control de Gestión y Planificación Estratégica</v>
          </cell>
          <cell r="C41" t="str">
            <v>Nivel 5</v>
          </cell>
          <cell r="D41" t="str">
            <v>Primera Línea</v>
          </cell>
        </row>
        <row r="42">
          <cell r="B42" t="str">
            <v>Gerencia de Contabilidad y Tributaria</v>
          </cell>
          <cell r="C42" t="str">
            <v>Nivel 5</v>
          </cell>
          <cell r="D42" t="str">
            <v>Primera Línea</v>
          </cell>
        </row>
        <row r="43">
          <cell r="B43" t="str">
            <v>Contabilidad</v>
          </cell>
          <cell r="C43" t="str">
            <v>Nivel 9</v>
          </cell>
          <cell r="D43" t="str">
            <v>Primera Línea</v>
          </cell>
        </row>
        <row r="44">
          <cell r="B44" t="str">
            <v>Tributaria</v>
          </cell>
          <cell r="C44" t="str">
            <v>Nivel 9</v>
          </cell>
          <cell r="D44" t="str">
            <v>Primera Línea</v>
          </cell>
        </row>
        <row r="45">
          <cell r="B45" t="str">
            <v>Aseguramiento de Ingresos y Excelencia Operacional</v>
          </cell>
          <cell r="C45" t="str">
            <v>Nivel 9</v>
          </cell>
          <cell r="D45" t="str">
            <v>Primera Línea</v>
          </cell>
        </row>
        <row r="46">
          <cell r="B46" t="str">
            <v>Eficiencia</v>
          </cell>
          <cell r="C46" t="str">
            <v>Nivel 9</v>
          </cell>
          <cell r="D46" t="str">
            <v>Primera Línea</v>
          </cell>
        </row>
        <row r="47">
          <cell r="B47" t="str">
            <v xml:space="preserve">Modelos Pricing </v>
          </cell>
          <cell r="C47" t="str">
            <v>Nivel 9</v>
          </cell>
          <cell r="D47" t="str">
            <v>Primera Línea</v>
          </cell>
        </row>
        <row r="48">
          <cell r="B48" t="str">
            <v>Planificaicón Estratégica y BSC</v>
          </cell>
          <cell r="C48" t="str">
            <v>Nivel 9</v>
          </cell>
          <cell r="D48" t="str">
            <v>Primera Línea</v>
          </cell>
        </row>
        <row r="49">
          <cell r="B49" t="str">
            <v>Gestión Financiera</v>
          </cell>
          <cell r="C49" t="str">
            <v>Nivel 9</v>
          </cell>
          <cell r="D49" t="str">
            <v>Primera Línea</v>
          </cell>
        </row>
        <row r="50">
          <cell r="B50" t="str">
            <v>Presupuesto y Business Plan</v>
          </cell>
          <cell r="C50" t="str">
            <v>Nivel 9</v>
          </cell>
          <cell r="D50" t="str">
            <v>Primera Línea</v>
          </cell>
        </row>
        <row r="51">
          <cell r="B51" t="str">
            <v>Treasury</v>
          </cell>
          <cell r="C51" t="str">
            <v>Nivel 9</v>
          </cell>
          <cell r="D51" t="str">
            <v>Primera Línea</v>
          </cell>
        </row>
        <row r="52">
          <cell r="B52" t="str">
            <v>Sales desk Manager</v>
          </cell>
          <cell r="C52" t="str">
            <v>Nivel 9</v>
          </cell>
          <cell r="D52" t="str">
            <v>Primera Línea</v>
          </cell>
        </row>
        <row r="53">
          <cell r="B53" t="str">
            <v>Trading desk Manger</v>
          </cell>
          <cell r="C53" t="str">
            <v>Nivel 9</v>
          </cell>
          <cell r="D53" t="str">
            <v>Primera Línea</v>
          </cell>
        </row>
        <row r="54">
          <cell r="B54" t="str">
            <v>Productos Pasivos</v>
          </cell>
          <cell r="C54" t="str">
            <v>Nivel 9</v>
          </cell>
          <cell r="D54" t="str">
            <v>Primera Línea</v>
          </cell>
        </row>
        <row r="55">
          <cell r="B55" t="str">
            <v>Banca Premium</v>
          </cell>
          <cell r="C55" t="str">
            <v>Nivel 9</v>
          </cell>
          <cell r="D55" t="str">
            <v>Primera Línea</v>
          </cell>
        </row>
        <row r="56">
          <cell r="B56" t="str">
            <v>Gerencia de Marketing, Experiencia Cliente y Sostenibilidad</v>
          </cell>
          <cell r="C56" t="str">
            <v>Nivel 5</v>
          </cell>
          <cell r="D56" t="str">
            <v>Primera Línea</v>
          </cell>
        </row>
        <row r="57">
          <cell r="B57" t="str">
            <v>Gerencia de Inteligencia de Negocios</v>
          </cell>
          <cell r="C57" t="str">
            <v>Nivel 5</v>
          </cell>
          <cell r="D57" t="str">
            <v>Primera Línea</v>
          </cell>
        </row>
        <row r="58">
          <cell r="B58" t="str">
            <v>Gerencia de Créditos</v>
          </cell>
          <cell r="C58" t="str">
            <v>Nivel 5</v>
          </cell>
          <cell r="D58" t="str">
            <v>Primera Línea</v>
          </cell>
        </row>
        <row r="59">
          <cell r="B59" t="str">
            <v>Gerencia de Canales Alternativos</v>
          </cell>
          <cell r="C59" t="str">
            <v>Nivel 5</v>
          </cell>
          <cell r="D59" t="str">
            <v>Primera Línea</v>
          </cell>
        </row>
        <row r="60">
          <cell r="B60" t="str">
            <v>Gerencia de Estrategia de Negocios y segmentos</v>
          </cell>
          <cell r="C60" t="str">
            <v>Nivel 5</v>
          </cell>
          <cell r="D60" t="str">
            <v>Primera Línea</v>
          </cell>
        </row>
        <row r="61">
          <cell r="B61" t="str">
            <v>Sub Gerencia de Cobranza</v>
          </cell>
          <cell r="C61" t="str">
            <v>Nivel 7</v>
          </cell>
          <cell r="D61" t="str">
            <v>Primera Línea</v>
          </cell>
        </row>
        <row r="62">
          <cell r="B62" t="str">
            <v>Calidad y Tecnología Crediticia</v>
          </cell>
          <cell r="C62" t="str">
            <v>Nivel 9</v>
          </cell>
          <cell r="D62" t="str">
            <v>Primera Línea</v>
          </cell>
        </row>
        <row r="63">
          <cell r="B63" t="str">
            <v>Negocios en Canales Alternativos</v>
          </cell>
          <cell r="C63" t="str">
            <v>Nivel 9</v>
          </cell>
          <cell r="D63" t="str">
            <v>Primera Línea</v>
          </cell>
        </row>
        <row r="64">
          <cell r="B64" t="str">
            <v>Nuevos Negocios Digitales</v>
          </cell>
          <cell r="C64" t="str">
            <v>Nivel 9</v>
          </cell>
          <cell r="D64" t="str">
            <v>Primera Línea</v>
          </cell>
        </row>
        <row r="65">
          <cell r="B65" t="str">
            <v>Medios de Pago</v>
          </cell>
          <cell r="C65" t="str">
            <v>Nivel 9</v>
          </cell>
          <cell r="D65" t="str">
            <v>Primera Línea</v>
          </cell>
        </row>
        <row r="66">
          <cell r="B66" t="str">
            <v>Gerencias Regionales</v>
          </cell>
          <cell r="C66" t="str">
            <v>Nivel 6</v>
          </cell>
          <cell r="D66" t="str">
            <v>Primera Línea</v>
          </cell>
        </row>
        <row r="67">
          <cell r="B67" t="str">
            <v>Gerencias Zonales</v>
          </cell>
          <cell r="C67" t="str">
            <v>Nivel 8</v>
          </cell>
          <cell r="D67" t="str">
            <v>Primera Línea</v>
          </cell>
        </row>
        <row r="68">
          <cell r="B68" t="str">
            <v>Gerencia de Agencias</v>
          </cell>
          <cell r="C68" t="str">
            <v>Nivel 8</v>
          </cell>
          <cell r="D68" t="str">
            <v>Primera Línea</v>
          </cell>
        </row>
        <row r="69">
          <cell r="B69" t="str">
            <v>Promoción y Ventas</v>
          </cell>
          <cell r="C69" t="str">
            <v>Nivel 9</v>
          </cell>
          <cell r="D69" t="str">
            <v>Primera Línea</v>
          </cell>
        </row>
        <row r="70">
          <cell r="B70" t="str">
            <v>Segmento Personas</v>
          </cell>
          <cell r="C70" t="str">
            <v>Nivel 9</v>
          </cell>
          <cell r="D70" t="str">
            <v>Primera Línea</v>
          </cell>
        </row>
        <row r="71">
          <cell r="B71" t="str">
            <v>Segmento Empresas</v>
          </cell>
          <cell r="C71" t="str">
            <v>Nivel 9</v>
          </cell>
          <cell r="D71" t="str">
            <v>Primera Línea</v>
          </cell>
        </row>
        <row r="72">
          <cell r="B72" t="str">
            <v>Segmento MYPE</v>
          </cell>
          <cell r="C72" t="str">
            <v>Nivel 9</v>
          </cell>
          <cell r="D72" t="str">
            <v>Primera Línea</v>
          </cell>
        </row>
        <row r="73">
          <cell r="B73" t="str">
            <v>Producto Hipotecario</v>
          </cell>
          <cell r="C73" t="str">
            <v>Nivel 9</v>
          </cell>
          <cell r="D73" t="str">
            <v>Primera Línea</v>
          </cell>
        </row>
        <row r="74">
          <cell r="B74" t="str">
            <v>Producto Seguros</v>
          </cell>
          <cell r="C74" t="str">
            <v>Nivel 9</v>
          </cell>
          <cell r="D74" t="str">
            <v>Primera Línea</v>
          </cell>
        </row>
        <row r="75">
          <cell r="B75" t="str">
            <v>Producto Agrícola</v>
          </cell>
          <cell r="C75" t="str">
            <v>Nivel 9</v>
          </cell>
          <cell r="D75" t="str">
            <v>Primera Línea</v>
          </cell>
        </row>
        <row r="76">
          <cell r="B76" t="str">
            <v>Estrategia de Clientes</v>
          </cell>
          <cell r="C76" t="str">
            <v>Nivel 9</v>
          </cell>
          <cell r="D76" t="str">
            <v>Primera Línea</v>
          </cell>
        </row>
        <row r="77">
          <cell r="B77" t="str">
            <v>Advanced Analytics ACOE</v>
          </cell>
          <cell r="C77" t="str">
            <v>Nivel 9</v>
          </cell>
          <cell r="D77" t="str">
            <v>Primera Línea</v>
          </cell>
        </row>
        <row r="78">
          <cell r="B78" t="str">
            <v>Service and Analytics Development ACOE</v>
          </cell>
          <cell r="C78" t="str">
            <v>Nivel 9</v>
          </cell>
          <cell r="D78" t="str">
            <v>Primera Línea</v>
          </cell>
        </row>
        <row r="79">
          <cell r="B79" t="str">
            <v>Recuperaciones</v>
          </cell>
          <cell r="C79" t="str">
            <v>Nivel 9</v>
          </cell>
          <cell r="D79" t="str">
            <v>Primera Línea</v>
          </cell>
        </row>
        <row r="80">
          <cell r="B80" t="str">
            <v>Marketing</v>
          </cell>
          <cell r="C80" t="str">
            <v>Nivel 9</v>
          </cell>
          <cell r="D80" t="str">
            <v>Primera Línea</v>
          </cell>
        </row>
        <row r="81">
          <cell r="B81" t="str">
            <v>Marketing Digital</v>
          </cell>
          <cell r="C81" t="str">
            <v>Nivel 9</v>
          </cell>
          <cell r="D81" t="str">
            <v>Primera Línea</v>
          </cell>
        </row>
        <row r="82">
          <cell r="B82" t="str">
            <v>Experiencia al Cliente</v>
          </cell>
          <cell r="C82" t="str">
            <v>Nivel 9</v>
          </cell>
          <cell r="D82" t="str">
            <v>Primera Línea</v>
          </cell>
        </row>
        <row r="83">
          <cell r="B83" t="str">
            <v>Servicio al cliente</v>
          </cell>
          <cell r="C83" t="str">
            <v>Nivel 9</v>
          </cell>
          <cell r="D83" t="str">
            <v>Primera Línea</v>
          </cell>
        </row>
        <row r="84">
          <cell r="B84" t="str">
            <v>Responsabilidad social empresarial</v>
          </cell>
          <cell r="C84" t="str">
            <v>Nivel 9</v>
          </cell>
          <cell r="D84" t="str">
            <v>Primera Línea</v>
          </cell>
        </row>
        <row r="85">
          <cell r="B85" t="str">
            <v>Comunicaciones Corporativas</v>
          </cell>
          <cell r="C85" t="str">
            <v>Nivel 9</v>
          </cell>
          <cell r="D85" t="str">
            <v>Primera Línea</v>
          </cell>
        </row>
        <row r="86">
          <cell r="B86" t="str">
            <v>Auditoria de Procesos y Agencias</v>
          </cell>
          <cell r="C86" t="str">
            <v>Nivel 9</v>
          </cell>
          <cell r="D86" t="str">
            <v>Tercera Línea</v>
          </cell>
        </row>
        <row r="87">
          <cell r="B87" t="str">
            <v>Auditoria de TI y Automatización</v>
          </cell>
          <cell r="C87" t="str">
            <v>Nivel 9</v>
          </cell>
          <cell r="D87" t="str">
            <v>Tercera Línea</v>
          </cell>
        </row>
        <row r="88">
          <cell r="B88" t="str">
            <v>Prevención y Control</v>
          </cell>
          <cell r="C88" t="str">
            <v>Nivel 9</v>
          </cell>
          <cell r="D88" t="str">
            <v>Segunda Línea</v>
          </cell>
        </row>
        <row r="89">
          <cell r="B89" t="str">
            <v>Oficialía de Conducta de Mercado</v>
          </cell>
          <cell r="C89" t="str">
            <v>Nivel 9</v>
          </cell>
          <cell r="D89" t="str">
            <v>Segunda Línea</v>
          </cell>
        </row>
        <row r="90">
          <cell r="B90" t="str">
            <v>Riesgos no Financieros</v>
          </cell>
          <cell r="C90" t="str">
            <v>Nivel 9</v>
          </cell>
          <cell r="D90" t="str">
            <v>Segunda Línea</v>
          </cell>
        </row>
        <row r="91">
          <cell r="B91" t="str">
            <v>Seguridad de la Información y PDP</v>
          </cell>
          <cell r="C91" t="str">
            <v>Nivel 9</v>
          </cell>
          <cell r="D91" t="str">
            <v>Segunda Línea</v>
          </cell>
        </row>
        <row r="92">
          <cell r="B92" t="str">
            <v>Subgerencia de Riesgo Financiero</v>
          </cell>
          <cell r="C92" t="str">
            <v>Nivel 7</v>
          </cell>
          <cell r="D92" t="str">
            <v>Segunda Línea</v>
          </cell>
        </row>
        <row r="93">
          <cell r="B93" t="str">
            <v>Riesgo de Mercado y Liquidez</v>
          </cell>
          <cell r="C93" t="str">
            <v>Nivel 9</v>
          </cell>
          <cell r="D93" t="str">
            <v>Segunda Línea</v>
          </cell>
        </row>
        <row r="94">
          <cell r="B94" t="str">
            <v>Data Science de Riesgo de Crédito</v>
          </cell>
          <cell r="C94" t="str">
            <v>Nivel 9</v>
          </cell>
          <cell r="D94" t="str">
            <v>Segunda Línea</v>
          </cell>
        </row>
        <row r="95">
          <cell r="B95" t="str">
            <v>Admisión y Seguimiento</v>
          </cell>
          <cell r="C95" t="str">
            <v>Nivel 9</v>
          </cell>
          <cell r="D95" t="str">
            <v>Segunda Línea</v>
          </cell>
        </row>
        <row r="96">
          <cell r="B96" t="str">
            <v>Sub Gerencia Legal</v>
          </cell>
          <cell r="C96" t="str">
            <v>Nivel 7</v>
          </cell>
          <cell r="D96" t="str">
            <v>Primera Línea</v>
          </cell>
        </row>
        <row r="97">
          <cell r="B97" t="str">
            <v>Gestión Procesal</v>
          </cell>
          <cell r="C97" t="str">
            <v>Nivel 9</v>
          </cell>
          <cell r="D97" t="str">
            <v>Primera Línea</v>
          </cell>
        </row>
        <row r="98">
          <cell r="B98" t="str">
            <v>Asesoria Regulatoria y Financiera</v>
          </cell>
          <cell r="C98" t="str">
            <v>Nivel 9</v>
          </cell>
          <cell r="D98" t="str">
            <v>Primera Línea</v>
          </cell>
        </row>
        <row r="99">
          <cell r="B99" t="str">
            <v>Asesoría Legal</v>
          </cell>
          <cell r="C99" t="str">
            <v>Nivel 9</v>
          </cell>
          <cell r="D99" t="str">
            <v>Primera Línea</v>
          </cell>
        </row>
        <row r="100">
          <cell r="B100" t="str">
            <v>Gerencia Central de Negocios</v>
          </cell>
          <cell r="C100" t="str">
            <v>Nivel 3</v>
          </cell>
          <cell r="D100" t="str">
            <v>Primera Línea</v>
          </cell>
        </row>
        <row r="101">
          <cell r="B101" t="str">
            <v>Gerencia Central de Administración y Operaciones</v>
          </cell>
          <cell r="C101" t="str">
            <v>Nivel 3</v>
          </cell>
          <cell r="D101" t="str">
            <v>Primera Línea</v>
          </cell>
        </row>
        <row r="102">
          <cell r="B102" t="str">
            <v>Gerencia Central de Finanzas y Control de Gestión</v>
          </cell>
          <cell r="C102" t="str">
            <v>Nivel 3</v>
          </cell>
          <cell r="D102" t="str">
            <v>Primera Línea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derick" refreshedDate="45310.444699189815" missingItemsLimit="0" createdVersion="7" refreshedVersion="8" minRefreshableVersion="3" recordCount="204" xr:uid="{00000000-000A-0000-FFFF-FFFF22000000}">
  <cacheSource type="worksheet">
    <worksheetSource name="Tab_B_S_Compras"/>
  </cacheSource>
  <cacheFields count="7">
    <cacheField name="COD_FAMILIA" numFmtId="0">
      <sharedItems containsNonDate="0" containsString="0" containsBlank="1"/>
    </cacheField>
    <cacheField name="FAMILIA" numFmtId="0">
      <sharedItems count="24">
        <s v="ACCESORIO UNIDAD DE TRANSPORTE"/>
        <s v="ATENCIONES A CLIENTES"/>
        <s v="ATENCIONES AL PERSONAL"/>
        <s v="CANALES ALTERNATIVOS"/>
        <s v="EDIFICACIONES"/>
        <s v="EQUIPOS DE COMUNICACION"/>
        <s v="EQUIPOS ELECTRICOS"/>
        <s v="EQUIPOS INFORMATICOS"/>
        <s v="GASTOS DE REPRESENTACION"/>
        <s v="IMPRESOS"/>
        <s v="INMUEBLES"/>
        <s v="INSTALACIONES"/>
        <s v="MUEBLES Y ENSERES"/>
        <s v="PUBLICIDAD"/>
        <s v="REPUESTOS"/>
        <s v="SEGURIDAD DEFENSA CIVIL"/>
        <s v="SEGURIDAD ELECTRONICA"/>
        <s v="SEGURIDAD FISICA"/>
        <s v="SERVICIOS DE TERCEROS"/>
        <s v="SOFTWARE"/>
        <s v="SUMINISTROS"/>
        <s v="SUMINISTROS ESPECIALES"/>
        <s v="UNIDADES DE TRANSPORTE"/>
        <s v="UNIFORMES"/>
      </sharedItems>
    </cacheField>
    <cacheField name="COD_SUBFAM" numFmtId="0">
      <sharedItems containsNonDate="0" containsString="0" containsBlank="1"/>
    </cacheField>
    <cacheField name="SUBFAMILIA" numFmtId="0">
      <sharedItems count="47">
        <s v="SERVICIOS INTERNOS"/>
        <s v="MARKETING"/>
        <s v="ADMINISTRACION DE PERSONAL"/>
        <s v="GESTION DEL TALENTO"/>
        <s v="CANALES"/>
        <s v="OPERACIONES"/>
        <s v="SERVICIOS EMPRESARIALES"/>
        <s v="TI"/>
        <s v="INFRAESTRUCTURA"/>
        <s v="CONTROL PATRIMONIAL"/>
        <s v="CONTROL DE GASTOS"/>
        <s v="SEGURIDAD"/>
        <s v="ADQUISICIONES"/>
        <s v="BIENESTAR,CLIMA Y CULTURA"/>
        <s v="MATERIAL POP FIDELIZACION - MARKETING"/>
        <s v="MATERIAL POP MASIVO - MARKETING"/>
        <s v="MATERIAL POP REGALOS POR CAMPAÑA - BIENESTAR,CLIMA Y CULTURA"/>
        <s v="MATERIAL POP REGALOS POR CAMPAÑA - MARKETING"/>
        <s v="MATERIAL POP REGALOS POR CAMPAÑA - TI"/>
        <s v="PANELES - SEGURIDAD"/>
        <s v="SENSORES - SEGURIDAD"/>
        <s v="SENSORES - TI"/>
        <s v="TARJETAS - SEGURIDAD"/>
        <s v="TECLADOS - SEGURIDAD"/>
        <s v="ADQUSICIONES"/>
        <s v="ASESORIA LEGAL"/>
        <s v="CAAT - TI"/>
        <s v="DESARROLLO HUMANO"/>
        <s v="DESARROLLO Y CAPACITACIÓN"/>
        <s v="FINANZAS"/>
        <s v="GESTION PROCESAL"/>
        <s v="MKT - MARKETING"/>
        <s v="PLANEAMIENTO"/>
        <s v="PLANEAMIENTO FINANCIERO"/>
        <s v="PROMOCIÓN Y VENTAS"/>
        <s v="RECLUTAMIENTO Y SELECCIÓN"/>
        <s v="RECUPERACIONES"/>
        <s v="SEG - SEGURIDAD"/>
        <s v="SEGUROS"/>
        <s v="SERVICE AND ANALYTICS DEVELOPMENT ACOE"/>
        <s v="TESORERIA"/>
        <s v="TI - SERVICIOS INTERNOS"/>
        <s v="TI - TI"/>
        <s v="INNOVACION LAB"/>
        <s v="INTELIGENCIA DE NEGOCIOS"/>
        <s v="CAPACITACION"/>
        <s v="ESPECIALES - SERVICIOS INTERNOS"/>
      </sharedItems>
    </cacheField>
    <cacheField name="COMPRADOR" numFmtId="0">
      <sharedItems/>
    </cacheField>
    <cacheField name="PCN" numFmtId="0">
      <sharedItems/>
    </cacheField>
    <cacheField name="Servicios TI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derick" refreshedDate="45310.444699421299" missingItemsLimit="0" createdVersion="7" refreshedVersion="8" minRefreshableVersion="3" recordCount="17" xr:uid="{00000000-000A-0000-FFFF-FFFF1E000000}">
  <cacheSource type="worksheet">
    <worksheetSource name="Tab_Canales"/>
  </cacheSource>
  <cacheFields count="7">
    <cacheField name="Línea de Negocio" numFmtId="0">
      <sharedItems/>
    </cacheField>
    <cacheField name="Canal" numFmtId="0">
      <sharedItems count="17">
        <s v="RED AQP"/>
        <s v="GLOBALNET"/>
        <s v="VISA"/>
        <s v="UNICARD"/>
        <s v="SCOTIABANK"/>
        <s v="INTERBANK"/>
        <s v="BCO.NACION"/>
        <s v="BANBIF"/>
        <s v="BCP"/>
        <s v="C.ELECTRONICO"/>
        <s v="POS NACIONAL"/>
        <s v="POS EXTRANJERO"/>
        <s v="Agente"/>
        <s v="KASNET"/>
        <s v="App Caja Arequipa movil"/>
        <s v="Homebanking - Internet"/>
        <s v="CAJA AQP"/>
      </sharedItems>
    </cacheField>
    <cacheField name="Local Caja" numFmtId="0">
      <sharedItems/>
    </cacheField>
    <cacheField name="Plan Continuidad" numFmtId="0">
      <sharedItems/>
    </cacheField>
    <cacheField name="Tipo Canal" numFmtId="0">
      <sharedItems/>
    </cacheField>
    <cacheField name="Servicios TI 504" numFmtId="0">
      <sharedItems/>
    </cacheField>
    <cacheField name="Tipo Canal Rating" numFmtId="0">
      <sharedItems count="4">
        <s v="ATM's y Agentes"/>
        <s v="Agencias"/>
        <s v="No considerar"/>
        <s v="Digit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derick" refreshedDate="45310.444699537038" missingItemsLimit="0" createdVersion="7" refreshedVersion="8" minRefreshableVersion="3" recordCount="87" xr:uid="{00000000-000A-0000-FFFF-FFFF1A000000}">
  <cacheSource type="worksheet">
    <worksheetSource name="Tab_Productos_RO_Detalle"/>
  </cacheSource>
  <cacheFields count="16">
    <cacheField name="N1" numFmtId="0">
      <sharedItems containsSemiMixedTypes="0" containsString="0" containsNumber="1" containsInteger="1" minValue="1" maxValue="6"/>
    </cacheField>
    <cacheField name="Nivel 1 - SBS" numFmtId="0">
      <sharedItems/>
    </cacheField>
    <cacheField name="N2" numFmtId="0">
      <sharedItems containsSemiMixedTypes="0" containsString="0" containsNumber="1" minValue="1.1000000000000001" maxValue="6.1"/>
    </cacheField>
    <cacheField name="Nivel 2 - SBS" numFmtId="0">
      <sharedItems/>
    </cacheField>
    <cacheField name="N3" numFmtId="0">
      <sharedItems containsNonDate="0" containsString="0" containsBlank="1"/>
    </cacheField>
    <cacheField name="Nivel 3 - SBS" numFmtId="0">
      <sharedItems containsNonDate="0" containsString="0" containsBlank="1"/>
    </cacheField>
    <cacheField name="N1P" numFmtId="0">
      <sharedItems containsSemiMixedTypes="0" containsString="0" containsNumber="1" containsInteger="1" minValue="1" maxValue="11"/>
    </cacheField>
    <cacheField name="Nivel 1 - Tipo de Producto" numFmtId="0">
      <sharedItems/>
    </cacheField>
    <cacheField name="Nivel 2" numFmtId="0">
      <sharedItems containsSemiMixedTypes="0" containsString="0" containsNumber="1" minValue="1.1000000000000001" maxValue="11.7"/>
    </cacheField>
    <cacheField name="Producto AQP" numFmtId="0">
      <sharedItems/>
    </cacheField>
    <cacheField name="N3SP" numFmtId="0">
      <sharedItems/>
    </cacheField>
    <cacheField name="Nivel 3 - Sub Producto AQP" numFmtId="0">
      <sharedItems/>
    </cacheField>
    <cacheField name="Dueño del Riesgo" numFmtId="0">
      <sharedItems/>
    </cacheField>
    <cacheField name="Coordinador de Riesgo" numFmtId="0">
      <sharedItems count="16">
        <s v="Jefe de Segmento Personas"/>
        <s v="Jefe de Segmento MYPE"/>
        <s v="Jefe de Segmento Empresas "/>
        <s v="Jefe de Producto Agricola"/>
        <s v="Jefe de producto Hipotecario"/>
        <s v="Jefe de Productos Pasivos"/>
        <s v="Sub Gerencia de Tesorería y Mesa de Dinero"/>
        <s v="Jefe de Gestión Financiera"/>
        <s v="Jefatura de Negocios en Canales Alternativos"/>
        <s v="Jefatura de Producto Seguros"/>
        <s v="Jefe de Administración de Personal"/>
        <s v="Jefe de Adquisiciones/Jefe de Servicios Internos"/>
        <s v="Jefe de Operaciones y Red de agencias/Jefe de Procesos Centrales y Servicios_x000a_"/>
        <s v="Jefe de Contabilidad_x000a_Jefe de Tributaria"/>
        <s v="Sub Gerencia Legal"/>
        <s v="Jefe de Infraestructura y Tecnología / Jefe de Ciberseguridad y Continuidad Operacional"/>
      </sharedItems>
    </cacheField>
    <cacheField name="Tipo de Cartera" numFmtId="0">
      <sharedItems/>
    </cacheField>
    <cacheField name="RTO" numFmtId="0">
      <sharedItems containsSemiMixedTypes="0" containsString="0" containsNumber="1" minValue="1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derick" refreshedDate="45310.444699652777" missingItemsLimit="0" createdVersion="7" refreshedVersion="8" minRefreshableVersion="3" recordCount="38" xr:uid="{00000000-000A-0000-FFFF-FFFF17000000}">
  <cacheSource type="worksheet">
    <worksheetSource name="Tab_Productos"/>
  </cacheSource>
  <cacheFields count="18">
    <cacheField name="Producto" numFmtId="0">
      <sharedItems count="38">
        <s v="Capital de Trabajo"/>
        <s v="Activo Fijo Maquinaria y Equipo"/>
        <s v="Vivienda - Caja Construye"/>
        <s v="Convenio"/>
        <s v="Personales"/>
        <s v="Ahorros PN"/>
        <s v="Línea de Crédito BM"/>
        <s v="Agropecuario"/>
        <s v="Hipotecario"/>
        <s v="Activo Fijo Maquinaria y Equipo-BC"/>
        <s v="Plazo Fijo PN"/>
        <s v="CTS"/>
        <s v="Activo Fijo Local Comercial"/>
        <s v="Renta Fija - Privados y BCRP"/>
        <s v="Renta Fija - Emisiónes del Estado"/>
        <s v="Recaudación"/>
        <s v="Ahorros PJ"/>
        <s v="Seguro Vida"/>
        <s v="Compra Venta de Moneda"/>
        <s v="Adeudados"/>
        <s v="Repos"/>
        <s v="Convenio Pymes"/>
        <s v="IFIs-BC"/>
        <s v="Prendario"/>
        <s v="Línea de crédito Consumo"/>
        <s v="Capital de Trabajo-BC"/>
        <s v="Línea de crédito-BC"/>
        <s v="Derivados"/>
        <s v="Renta Variable"/>
        <s v="Plazo Fijo PJ"/>
        <s v="Instrumentos de deuda"/>
        <s v="Seguros No vida"/>
        <s v="Fondo Interbancario"/>
        <s v="Vehicular"/>
        <s v="Carta Fianza"/>
        <s v="Agropecuario-BC"/>
        <s v="Instrumentos adquiridos por SAB"/>
        <s v="Carta Fianza-BC"/>
      </sharedItems>
    </cacheField>
    <cacheField name="Línea de Negocio" numFmtId="0">
      <sharedItems/>
    </cacheField>
    <cacheField name="N° Objetivos Estrategicos" numFmtId="167">
      <sharedItems containsSemiMixedTypes="0" containsString="0" containsNumber="1" containsInteger="1" minValue="1" maxValue="5"/>
    </cacheField>
    <cacheField name="Ingresos" numFmtId="166">
      <sharedItems containsSemiMixedTypes="0" containsString="0" containsNumber="1" minValue="0" maxValue="272652376.43000001"/>
    </cacheField>
    <cacheField name="Cartera / Saldo" numFmtId="0">
      <sharedItems containsSemiMixedTypes="0" containsString="0" containsNumber="1" minValue="0" maxValue="2455111000"/>
    </cacheField>
    <cacheField name="N° clientes" numFmtId="167">
      <sharedItems containsSemiMixedTypes="0" containsString="0" containsNumber="1" containsInteger="1" minValue="1" maxValue="1203225"/>
    </cacheField>
    <cacheField name="Pérdida RO" numFmtId="167">
      <sharedItems containsSemiMixedTypes="0" containsString="0" containsNumber="1" minValue="0" maxValue="84845.966363636369"/>
    </cacheField>
    <cacheField name="N° Objetivos Estrategicos (%)" numFmtId="9">
      <sharedItems containsSemiMixedTypes="0" containsString="0" containsNumber="1" minValue="7.6923076923076927E-2" maxValue="0.38461538461538464"/>
    </cacheField>
    <cacheField name="Ingresos (%)" numFmtId="9">
      <sharedItems containsSemiMixedTypes="0" containsString="0" containsNumber="1" minValue="0" maxValue="0.25478580706698384"/>
    </cacheField>
    <cacheField name="Cartera / Saldo (%)" numFmtId="9">
      <sharedItems containsSemiMixedTypes="0" containsString="0" containsNumber="1" minValue="0" maxValue="0.19829748998967922"/>
    </cacheField>
    <cacheField name="N° clientes (%)" numFmtId="9">
      <sharedItems containsSemiMixedTypes="0" containsString="0" containsNumber="1" minValue="5.2014008412745721E-7" maxValue="0.62584555272425968"/>
    </cacheField>
    <cacheField name="Pérdida RO (%)" numFmtId="9">
      <sharedItems containsSemiMixedTypes="0" containsString="0" containsNumber="1" minValue="0" maxValue="0.1652268326362773"/>
    </cacheField>
    <cacheField name="Parte del Plan" numFmtId="167">
      <sharedItems containsBlank="1"/>
    </cacheField>
    <cacheField name="RTO PCN" numFmtId="167">
      <sharedItems containsString="0" containsBlank="1" containsNumber="1" containsInteger="1" minValue="1" maxValue="18"/>
    </cacheField>
    <cacheField name="Procesos RTO mínimo" numFmtId="167">
      <sharedItems containsNonDate="0" containsString="0" containsBlank="1"/>
    </cacheField>
    <cacheField name="% procesos PCN" numFmtId="10">
      <sharedItems containsNonDate="0" containsString="0" containsBlank="1"/>
    </cacheField>
    <cacheField name="PCI - directo" numFmtId="167">
      <sharedItems/>
    </cacheField>
    <cacheField name="Tipo Cartera" numFmtId="167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derick" refreshedDate="45310.444699768515" missingItemsLimit="0" createdVersion="7" refreshedVersion="8" minRefreshableVersion="3" recordCount="9" xr:uid="{00000000-000A-0000-FFFF-FFFF14000000}">
  <cacheSource type="worksheet">
    <worksheetSource name="Tab_Proc_soporte"/>
  </cacheSource>
  <cacheFields count="17">
    <cacheField name="Nivel 2 - Producto AQP" numFmtId="0">
      <sharedItems count="9">
        <s v="Gestión Humana"/>
        <s v="Gestión Administrativa"/>
        <s v="Gestión de Canales Tradicionales"/>
        <s v="Gestión de Canales Alternativos"/>
        <s v="Gestión Contable y Tributario"/>
        <s v="Gestión Legal"/>
        <s v="Gestión de TI"/>
        <s v="Soporte Operativo"/>
        <s v="Soporte Comercial"/>
      </sharedItems>
    </cacheField>
    <cacheField name="Nivel 1 - SBS" numFmtId="0">
      <sharedItems/>
    </cacheField>
    <cacheField name="N° Objetivos Estrategicos" numFmtId="0">
      <sharedItems containsSemiMixedTypes="0" containsString="0" containsNumber="1" containsInteger="1" minValue="3" maxValue="5"/>
    </cacheField>
    <cacheField name="Gasto Real" numFmtId="44">
      <sharedItems containsSemiMixedTypes="0" containsString="0" containsNumber="1" minValue="1150044.8099999996" maxValue="86359390.399999961"/>
    </cacheField>
    <cacheField name="N° productos RO" numFmtId="0">
      <sharedItems containsSemiMixedTypes="0" containsString="0" containsNumber="1" containsInteger="1" minValue="32" maxValue="47"/>
    </cacheField>
    <cacheField name="N° personas (colaboradores)" numFmtId="0">
      <sharedItems containsSemiMixedTypes="0" containsString="0" containsNumber="1" containsInteger="1" minValue="468" maxValue="3958"/>
    </cacheField>
    <cacheField name="Pérdida RO" numFmtId="44">
      <sharedItems containsSemiMixedTypes="0" containsString="0" containsNumber="1" minValue="0" maxValue="116322.07034482757"/>
    </cacheField>
    <cacheField name="N° Objetivos Estrategicos (%)" numFmtId="9">
      <sharedItems containsSemiMixedTypes="0" containsString="0" containsNumber="1" minValue="0.25" maxValue="0.41666666666666669"/>
    </cacheField>
    <cacheField name="Gasto Real (%)" numFmtId="9">
      <sharedItems containsSemiMixedTypes="0" containsString="0" containsNumber="1" minValue="8.9650829833364479E-3" maxValue="0.67320776946626015"/>
    </cacheField>
    <cacheField name="N° productos RO (%)" numFmtId="9">
      <sharedItems containsSemiMixedTypes="0" containsString="0" containsNumber="1" minValue="0.68085106382978722" maxValue="1"/>
    </cacheField>
    <cacheField name="N° personas (colaboradores) (%)" numFmtId="9">
      <sharedItems containsSemiMixedTypes="0" containsString="0" containsNumber="1" minValue="0.11824153612935827" maxValue="1"/>
    </cacheField>
    <cacheField name="Pérdida RO (%)" numFmtId="9">
      <sharedItems containsSemiMixedTypes="0" containsString="0" containsNumber="1" minValue="0" maxValue="0.43813288939404876"/>
    </cacheField>
    <cacheField name="Parte del Plan" numFmtId="167">
      <sharedItems/>
    </cacheField>
    <cacheField name="RTO PCN" numFmtId="167">
      <sharedItems containsString="0" containsBlank="1" containsNumber="1" containsInteger="1" minValue="1" maxValue="4"/>
    </cacheField>
    <cacheField name="Productos RTO mínimo" numFmtId="167">
      <sharedItems containsNonDate="0" containsString="0" containsBlank="1"/>
    </cacheField>
    <cacheField name="% procesos PCN" numFmtId="10">
      <sharedItems containsNonDate="0" containsString="0" containsBlank="1"/>
    </cacheField>
    <cacheField name="Afecto a LPDP" numFmtId="167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derick" refreshedDate="45310.444699884261" missingItemsLimit="0" createdVersion="7" refreshedVersion="8" minRefreshableVersion="3" recordCount="184" xr:uid="{00000000-000A-0000-FFFF-FFFF11000000}">
  <cacheSource type="worksheet">
    <worksheetSource name="Tab_Agencias"/>
  </cacheSource>
  <cacheFields count="9">
    <cacheField name="TIPO_AGENCIA" numFmtId="0">
      <sharedItems containsString="0" containsBlank="1" containsNumber="1" containsInteger="1" minValue="1" maxValue="5"/>
    </cacheField>
    <cacheField name="COD_AGENCIA" numFmtId="0">
      <sharedItems containsSemiMixedTypes="0" containsString="0" containsNumber="1" containsInteger="1" minValue="0" maxValue="188"/>
    </cacheField>
    <cacheField name="NOMBRE_AGENCIA/OFICINA" numFmtId="0">
      <sharedItems count="184">
        <s v="AYAVIRI"/>
        <s v="AZANGARO"/>
        <s v="BOLOGNESI"/>
        <s v="DESAGUADERO"/>
        <s v="EL SOL"/>
        <s v="HUANCANE"/>
        <s v="ILAVE"/>
        <s v="JULIACA"/>
        <s v="LAS MERCEDES"/>
        <s v="LAYKAKOTA"/>
        <s v="MACUSANI"/>
        <s v="ÓVALO VILCAPAZA"/>
        <s v="PUNO"/>
        <s v="SAN JOSE"/>
        <s v="SANDIA"/>
        <s v="TUPAC"/>
        <s v="YUNGUYO"/>
        <s v="ALTO CAYMA"/>
        <s v="ALTO LIBERTAD"/>
        <s v="ALTO MISTI"/>
        <s v="ALTO SELVA ALEGRE"/>
        <s v="CAYMA"/>
        <s v="CERRO COLORADO"/>
        <s v="CIUDAD MUNICIPAL"/>
        <s v="LA MERCED"/>
        <s v="MERCADERES"/>
        <s v="MIRAFLORES"/>
        <s v="RIO SECO"/>
        <s v="SAN CAMILO"/>
        <s v="SIGLO XX"/>
        <s v="TENIENTE FERRE"/>
        <s v="UMACOLLO"/>
        <s v="YURA"/>
        <s v="ATICO"/>
        <s v="AVELINO CACERES"/>
        <s v="CAMANA"/>
        <s v="CHALA"/>
        <s v="CHIVAY"/>
        <s v="COTAHUASI"/>
        <s v="HUNTER"/>
        <s v="ISRAEL"/>
        <s v="JESUS"/>
        <s v="LA JOYA"/>
        <s v="LA PAMPILLA"/>
        <s v="LOS INCAS"/>
        <s v="MALL AVENTURA PLAZA"/>
        <s v="PAUCARPATA"/>
        <s v="SOCABAYA"/>
        <s v="CERRO DE PASCO"/>
        <s v="CHANCHAMAYO"/>
        <s v="CHILCA"/>
        <s v="CHUPACA"/>
        <s v="CIUDAD UNIVERSITARIA"/>
        <s v="EL TAMBO"/>
        <s v="HUAMANGA"/>
        <s v="HUANCAVELICA"/>
        <s v="JAUJA"/>
        <s v="LA OROYA"/>
        <s v="OXAPAMPA"/>
        <s v="PICHANAKI"/>
        <s v="REAL"/>
        <s v="SAN JUAN BAUTISTA"/>
        <s v="TARMA"/>
        <s v="CANETE"/>
        <s v="CHINCHA"/>
        <s v="CHORRILLOS"/>
        <s v="GUADALUPE"/>
        <s v="ICA"/>
        <s v="ICA 2"/>
        <s v="ICA SAN MARTIN"/>
        <s v="ICA SANTIAGO"/>
        <s v="JOSE GALVEZ"/>
        <s v="LURIN"/>
        <s v="MALA"/>
        <s v="MERCADO PACHACAMAC"/>
        <s v="NASCA"/>
        <s v="OVALO OASIS"/>
        <s v="PALPA"/>
        <s v="PARCONA"/>
        <s v="PISCO"/>
        <s v="PLAZA TUPAC AMARU"/>
        <s v="VILLA EL SALVADOR"/>
        <s v="VILLA MARIA DE TRIUNFO"/>
        <s v="ABANCAY"/>
        <s v="ANDAHUAYLAS"/>
        <s v="ANTA"/>
        <s v="EL MOLINO"/>
        <s v="ESPINAR"/>
        <s v="MARACANA"/>
        <s v="MAZUKO"/>
        <s v="PUERTO MALDONADO"/>
        <s v="QORIKANCHA"/>
        <s v="QUILLABAMBA"/>
        <s v="SAN JERONIMO"/>
        <s v="SAN PEDRO"/>
        <s v="SAN SEBASTIÁN"/>
        <s v="SAN SEBASTIAN II"/>
        <s v="SICUANI"/>
        <s v="TAMBOPATA"/>
        <s v="TICA TICA"/>
        <s v="URUBAMBA"/>
        <s v="WANCHAQ"/>
        <s v="A MENDIOLA"/>
        <s v="ANTUNEZ DE MAYOLO"/>
        <s v="CARABAYLLO"/>
        <s v="CHACHAPOYAS"/>
        <s v="COMAS"/>
        <s v="HUANDOY"/>
        <s v="HUARAZ"/>
        <s v="INDEPENDENCIA"/>
        <s v="LOS OLIVOS"/>
        <s v="MONTENEGRO"/>
        <s v="PACHACUTEC"/>
        <s v="SAN HILARION"/>
        <s v="SAN JUAN LURIGANCHO"/>
        <s v="SAN MARTIN DE PORRES"/>
        <s v="VENTANILLA"/>
        <s v="ZAPALLAL"/>
        <s v="ZARATE"/>
        <s v="ATE"/>
        <s v="CHOSICA"/>
        <s v="EL AGUSTINO"/>
        <s v="HUACHIPA"/>
        <s v="HUAYCAN"/>
        <s v="JICAMARCA"/>
        <s v="LARCO"/>
        <s v="LIMA"/>
        <s v="MAGDALENA"/>
        <s v="MANCHAY"/>
        <s v="MIGUEL IGLESIAS"/>
        <s v="RIMAC"/>
        <s v="SAN JUAN DE MIRAFLORES"/>
        <s v="SANTA ANITA"/>
        <s v="SANTA CLARA"/>
        <s v="SURQUILLO"/>
        <s v="BAMBAMARCA"/>
        <s v="CAJAMARCA"/>
        <s v="CESAR VALLEJO"/>
        <s v="CHICLAYO"/>
        <s v="CHIMBOTE"/>
        <s v="CHOTA"/>
        <s v="EL PORVENIR"/>
        <s v="JAEN"/>
        <s v="LA HERMELINDA"/>
        <s v="LA UNION"/>
        <s v="MERCADO MODELO"/>
        <s v="MOSHOQUEQUE"/>
        <s v="OVALO SULLANA"/>
        <s v="PIURA"/>
        <s v="PIURA CENTRO"/>
        <s v="SULLANA"/>
        <s v="TALARA"/>
        <s v="TRUJILLO CENTRO"/>
        <s v="TUMBES"/>
        <s v="2 DE MAYO"/>
        <s v="AGUAYTIA"/>
        <s v="CALLERIA"/>
        <s v="HUANUCO"/>
        <s v="IQUITOS"/>
        <s v="LAS PALMERAS"/>
        <s v="MOYOBAMBA"/>
        <s v="PUCALLPA"/>
        <s v="TARAPOTO"/>
        <s v="TINGO MARIA"/>
        <s v="TOCACHE"/>
        <s v="YURIMAGUAS"/>
        <s v="CIUDAD NUEVA"/>
        <s v="COCACHACRA"/>
        <s v="CORIRE"/>
        <s v="CORONEL MENDOZA"/>
        <s v="ILO"/>
        <s v="MERCADO METROPOLITANO"/>
        <s v="MOLLENDO"/>
        <s v="MOQUEGUA"/>
        <s v="OMATE"/>
        <s v="OVALO BALTA"/>
        <s v="OVALO PEDREGAL"/>
        <s v="PAMPA INALAMBRICA"/>
        <s v="PEDREGAL"/>
        <s v="PINTO"/>
        <s v="SAN ANTONIO"/>
        <s v="SAN MARTIN"/>
        <s v="SANTA ROSA"/>
        <s v="Edificio Fibra"/>
      </sharedItems>
    </cacheField>
    <cacheField name="DIRECCION" numFmtId="0">
      <sharedItems/>
    </cacheField>
    <cacheField name="DPTO" numFmtId="0">
      <sharedItems/>
    </cacheField>
    <cacheField name="PROVINCIA" numFmtId="0">
      <sharedItems/>
    </cacheField>
    <cacheField name="DISTRITO" numFmtId="0">
      <sharedItems/>
    </cacheField>
    <cacheField name="UBIGEO" numFmtId="0">
      <sharedItems containsBlank="1"/>
    </cacheField>
    <cacheField name="¿Prioritaria/Critica?" numFmtId="0">
      <sharedItems count="2">
        <s v="NO"/>
        <s v="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">
  <r>
    <m/>
    <x v="0"/>
    <m/>
    <x v="0"/>
    <s v="BENAVENTE VILLANUEVA, LESLIE NATALI"/>
    <s v="No"/>
    <s v="Si"/>
  </r>
  <r>
    <m/>
    <x v="0"/>
    <m/>
    <x v="0"/>
    <s v="CONDO MAMANI, SANDRA ARACELY"/>
    <s v="No"/>
    <s v="Si"/>
  </r>
  <r>
    <m/>
    <x v="0"/>
    <m/>
    <x v="0"/>
    <s v="CONTRERAS MENDOZA, AMANDA PIERINA"/>
    <s v="No"/>
    <s v="No"/>
  </r>
  <r>
    <m/>
    <x v="1"/>
    <m/>
    <x v="1"/>
    <s v="CONTRERAS MENDOZA, AMANDA PIERINA"/>
    <s v="No"/>
    <s v="Si"/>
  </r>
  <r>
    <m/>
    <x v="2"/>
    <m/>
    <x v="2"/>
    <s v="CONDO MAMANI, SANDRA ARACELY"/>
    <s v="No"/>
    <s v="Si"/>
  </r>
  <r>
    <m/>
    <x v="2"/>
    <m/>
    <x v="3"/>
    <s v="CHAMANA RONDAN, KATHERINE"/>
    <s v="No"/>
    <s v="Si"/>
  </r>
  <r>
    <m/>
    <x v="2"/>
    <m/>
    <x v="3"/>
    <s v="CONDO MAMANI, SANDRA ARACELY"/>
    <s v="No"/>
    <s v="Si"/>
  </r>
  <r>
    <m/>
    <x v="2"/>
    <m/>
    <x v="3"/>
    <s v="MERMA ARTEAGA, SOLANSH NOHELY"/>
    <s v="No"/>
    <s v="No"/>
  </r>
  <r>
    <m/>
    <x v="3"/>
    <m/>
    <x v="4"/>
    <s v="ALVAREZ CONCHA, ERCILIA DEL CARMEN"/>
    <s v="No"/>
    <s v="No"/>
  </r>
  <r>
    <m/>
    <x v="3"/>
    <m/>
    <x v="4"/>
    <s v="BENAVENTE VILLANUEVA, LESLIE NATALI"/>
    <s v="No"/>
    <s v="No"/>
  </r>
  <r>
    <m/>
    <x v="3"/>
    <m/>
    <x v="4"/>
    <s v="SIU MANRIQUE, MARIBEL CECILIA"/>
    <s v="Si"/>
    <s v="Si"/>
  </r>
  <r>
    <m/>
    <x v="3"/>
    <m/>
    <x v="5"/>
    <s v="CONDO MAMANI, SANDRA ARACELY"/>
    <s v="No"/>
    <s v="No"/>
  </r>
  <r>
    <m/>
    <x v="3"/>
    <m/>
    <x v="5"/>
    <s v="SIU MANRIQUE, MARIBEL CECILIA"/>
    <s v="No"/>
    <s v="No"/>
  </r>
  <r>
    <m/>
    <x v="3"/>
    <m/>
    <x v="6"/>
    <s v="SIU MANRIQUE, MARIBEL CECILIA"/>
    <s v="No"/>
    <s v="No"/>
  </r>
  <r>
    <m/>
    <x v="3"/>
    <m/>
    <x v="7"/>
    <s v="SIU MANRIQUE, MARIBEL CECILIA"/>
    <s v="No"/>
    <s v="No"/>
  </r>
  <r>
    <m/>
    <x v="4"/>
    <m/>
    <x v="8"/>
    <s v="BENAVENTE VILLANUEVA, LESLIE NATALI"/>
    <s v="No"/>
    <s v="No"/>
  </r>
  <r>
    <m/>
    <x v="4"/>
    <m/>
    <x v="8"/>
    <s v="SIU MANRIQUE, MARIBEL CECILIA"/>
    <s v="No"/>
    <s v="Si"/>
  </r>
  <r>
    <m/>
    <x v="4"/>
    <m/>
    <x v="0"/>
    <s v="SIU MANRIQUE, MARIBEL CECILIA"/>
    <s v="No"/>
    <s v="Si"/>
  </r>
  <r>
    <m/>
    <x v="5"/>
    <m/>
    <x v="9"/>
    <s v="(en blanco)"/>
    <s v="No"/>
    <s v="Si"/>
  </r>
  <r>
    <m/>
    <x v="5"/>
    <m/>
    <x v="7"/>
    <s v="BENAVENTE VILLANUEVA, LESLIE NATALI"/>
    <s v="No"/>
    <s v="Si"/>
  </r>
  <r>
    <m/>
    <x v="5"/>
    <m/>
    <x v="7"/>
    <s v="SIU MANRIQUE, MARIBEL CECILIA"/>
    <s v="No"/>
    <s v="No"/>
  </r>
  <r>
    <m/>
    <x v="6"/>
    <m/>
    <x v="8"/>
    <s v="BENAVENTE VILLANUEVA, LESLIE NATALI"/>
    <s v="Si"/>
    <s v="Si"/>
  </r>
  <r>
    <m/>
    <x v="6"/>
    <m/>
    <x v="8"/>
    <s v="SIU MANRIQUE, MARIBEL CECILIA"/>
    <s v="Si"/>
    <s v="Si"/>
  </r>
  <r>
    <m/>
    <x v="6"/>
    <m/>
    <x v="8"/>
    <s v="(en blanco)"/>
    <s v="No"/>
    <s v="No"/>
  </r>
  <r>
    <m/>
    <x v="6"/>
    <m/>
    <x v="0"/>
    <s v="SIU MANRIQUE, MARIBEL CECILIA"/>
    <s v="No"/>
    <s v="No"/>
  </r>
  <r>
    <m/>
    <x v="6"/>
    <m/>
    <x v="7"/>
    <s v="BENAVENTE VILLANUEVA, LESLIE NATALI"/>
    <s v="No"/>
    <s v="No"/>
  </r>
  <r>
    <m/>
    <x v="6"/>
    <m/>
    <x v="7"/>
    <s v="SIU MANRIQUE, MARIBEL CECILIA"/>
    <s v="No"/>
    <s v="No"/>
  </r>
  <r>
    <m/>
    <x v="7"/>
    <m/>
    <x v="7"/>
    <s v="BENAVENTE VILLANUEVA, LESLIE NATALI"/>
    <s v="No"/>
    <s v="No"/>
  </r>
  <r>
    <m/>
    <x v="7"/>
    <m/>
    <x v="7"/>
    <s v="SIU MANRIQUE, MARIBEL CECILIA"/>
    <s v="No"/>
    <s v="No"/>
  </r>
  <r>
    <m/>
    <x v="8"/>
    <m/>
    <x v="10"/>
    <s v="CONDO MAMANI, SANDRA ARACELY"/>
    <s v="No"/>
    <s v="No"/>
  </r>
  <r>
    <m/>
    <x v="8"/>
    <m/>
    <x v="3"/>
    <s v="CONDO MAMANI, SANDRA ARACELY"/>
    <s v="No"/>
    <s v="No"/>
  </r>
  <r>
    <m/>
    <x v="9"/>
    <m/>
    <x v="1"/>
    <s v="CONTRERAS MENDOZA, AMANDA PIERINA"/>
    <s v="No"/>
    <s v="Si"/>
  </r>
  <r>
    <m/>
    <x v="9"/>
    <m/>
    <x v="1"/>
    <s v="MERMA ARTEAGA, SOLANSH NOHELY"/>
    <s v="No"/>
    <s v="No"/>
  </r>
  <r>
    <m/>
    <x v="10"/>
    <m/>
    <x v="8"/>
    <s v="SIU MANRIQUE, MARIBEL CECILIA"/>
    <s v="No"/>
    <s v="No"/>
  </r>
  <r>
    <m/>
    <x v="11"/>
    <m/>
    <x v="8"/>
    <s v="SIU MANRIQUE, MARIBEL CECILIA"/>
    <s v="No"/>
    <s v="No"/>
  </r>
  <r>
    <m/>
    <x v="11"/>
    <m/>
    <x v="1"/>
    <s v="CONTRERAS MENDOZA, AMANDA PIERINA"/>
    <s v="No"/>
    <s v="No"/>
  </r>
  <r>
    <m/>
    <x v="11"/>
    <m/>
    <x v="11"/>
    <s v="CHAMANA RONDAN, KATHERINE"/>
    <s v="No"/>
    <s v="No"/>
  </r>
  <r>
    <m/>
    <x v="11"/>
    <m/>
    <x v="11"/>
    <s v="SIU MANRIQUE, MARIBEL CECILIA"/>
    <s v="No"/>
    <s v="No"/>
  </r>
  <r>
    <m/>
    <x v="11"/>
    <m/>
    <x v="0"/>
    <s v="SIU MANRIQUE, MARIBEL CECILIA"/>
    <s v="No"/>
    <s v="No"/>
  </r>
  <r>
    <m/>
    <x v="11"/>
    <m/>
    <x v="7"/>
    <s v="SIU MANRIQUE, MARIBEL CECILIA"/>
    <s v="No"/>
    <s v="No"/>
  </r>
  <r>
    <m/>
    <x v="12"/>
    <m/>
    <x v="12"/>
    <s v="CONDO MAMANI, SANDRA ARACELY"/>
    <s v="No"/>
    <s v="No"/>
  </r>
  <r>
    <m/>
    <x v="12"/>
    <m/>
    <x v="12"/>
    <s v="MERMA ARTEAGA, SOLANSH NOHELY"/>
    <s v="No"/>
    <s v="No"/>
  </r>
  <r>
    <m/>
    <x v="12"/>
    <m/>
    <x v="12"/>
    <s v="PINAZO ARTEAGA, EDWARD ADEMIR"/>
    <s v="No"/>
    <s v="No"/>
  </r>
  <r>
    <m/>
    <x v="12"/>
    <m/>
    <x v="12"/>
    <s v="SIU MANRIQUE, MARIBEL CECILIA"/>
    <s v="No"/>
    <s v="Si"/>
  </r>
  <r>
    <m/>
    <x v="12"/>
    <m/>
    <x v="12"/>
    <s v="(en blanco)"/>
    <s v="No"/>
    <s v="Si"/>
  </r>
  <r>
    <m/>
    <x v="12"/>
    <m/>
    <x v="13"/>
    <s v="CHAMANA RONDAN, KATHERINE"/>
    <s v="No"/>
    <s v="Si"/>
  </r>
  <r>
    <m/>
    <x v="12"/>
    <m/>
    <x v="13"/>
    <s v="CONDO MAMANI, SANDRA ARACELY"/>
    <s v="No"/>
    <s v="Si"/>
  </r>
  <r>
    <m/>
    <x v="12"/>
    <m/>
    <x v="9"/>
    <s v="CONTRERAS MENDOZA, AMANDA PIERINA"/>
    <s v="No"/>
    <s v="No"/>
  </r>
  <r>
    <m/>
    <x v="12"/>
    <m/>
    <x v="8"/>
    <s v="BENAVENTE VILLANUEVA, LESLIE NATALI"/>
    <s v="No"/>
    <s v="No"/>
  </r>
  <r>
    <m/>
    <x v="12"/>
    <m/>
    <x v="8"/>
    <s v="CONDO MAMANI, SANDRA ARACELY"/>
    <s v="No"/>
    <s v="Si"/>
  </r>
  <r>
    <m/>
    <x v="12"/>
    <m/>
    <x v="8"/>
    <s v="CONTRERAS MENDOZA, AMANDA PIERINA"/>
    <s v="No"/>
    <s v="Si"/>
  </r>
  <r>
    <m/>
    <x v="12"/>
    <m/>
    <x v="8"/>
    <s v="MERMA ARTEAGA, SOLANSH NOHELY"/>
    <s v="No"/>
    <s v="Si"/>
  </r>
  <r>
    <m/>
    <x v="12"/>
    <m/>
    <x v="8"/>
    <s v="SIU MANRIQUE, MARIBEL CECILIA"/>
    <s v="No"/>
    <s v="Si"/>
  </r>
  <r>
    <m/>
    <x v="12"/>
    <m/>
    <x v="8"/>
    <s v="(en blanco)"/>
    <s v="No"/>
    <s v="Si"/>
  </r>
  <r>
    <m/>
    <x v="12"/>
    <m/>
    <x v="1"/>
    <s v="CONDO MAMANI, SANDRA ARACELY"/>
    <s v="Si"/>
    <s v="Si"/>
  </r>
  <r>
    <m/>
    <x v="12"/>
    <m/>
    <x v="1"/>
    <s v="CONTRERAS MENDOZA, AMANDA PIERINA"/>
    <s v="Si"/>
    <s v="Si"/>
  </r>
  <r>
    <m/>
    <x v="12"/>
    <m/>
    <x v="5"/>
    <s v="CHAMANA RONDAN, KATHERINE"/>
    <s v="No"/>
    <s v="No"/>
  </r>
  <r>
    <m/>
    <x v="12"/>
    <m/>
    <x v="5"/>
    <s v="CONDO MAMANI, SANDRA ARACELY"/>
    <s v="No"/>
    <s v="Si"/>
  </r>
  <r>
    <m/>
    <x v="12"/>
    <m/>
    <x v="5"/>
    <s v="CONTRERAS MENDOZA, AMANDA PIERINA"/>
    <s v="No"/>
    <s v="Si"/>
  </r>
  <r>
    <m/>
    <x v="12"/>
    <m/>
    <x v="11"/>
    <s v="CHAMANA RONDAN, KATHERINE"/>
    <s v="No"/>
    <s v="Si"/>
  </r>
  <r>
    <m/>
    <x v="12"/>
    <m/>
    <x v="11"/>
    <s v="CONDO MAMANI, SANDRA ARACELY"/>
    <s v="No"/>
    <s v="Si"/>
  </r>
  <r>
    <m/>
    <x v="12"/>
    <m/>
    <x v="11"/>
    <s v="SIU MANRIQUE, MARIBEL CECILIA"/>
    <s v="No"/>
    <s v="Si"/>
  </r>
  <r>
    <m/>
    <x v="12"/>
    <m/>
    <x v="0"/>
    <s v="BENAVENTE VILLANUEVA, LESLIE NATALI"/>
    <s v="No"/>
    <s v="Si"/>
  </r>
  <r>
    <m/>
    <x v="12"/>
    <m/>
    <x v="0"/>
    <s v="CONDO MAMANI, SANDRA ARACELY"/>
    <s v="No"/>
    <s v="Si"/>
  </r>
  <r>
    <m/>
    <x v="12"/>
    <m/>
    <x v="0"/>
    <s v="CONTRERAS MENDOZA, AMANDA PIERINA"/>
    <s v="No"/>
    <s v="Si"/>
  </r>
  <r>
    <m/>
    <x v="12"/>
    <m/>
    <x v="0"/>
    <s v="MERMA ARTEAGA, SOLANSH NOHELY"/>
    <s v="No"/>
    <s v="No"/>
  </r>
  <r>
    <m/>
    <x v="12"/>
    <m/>
    <x v="0"/>
    <s v="SIU MANRIQUE, MARIBEL CECILIA"/>
    <s v="No"/>
    <s v="No"/>
  </r>
  <r>
    <m/>
    <x v="12"/>
    <m/>
    <x v="0"/>
    <s v="(en blanco)"/>
    <s v="No"/>
    <s v="No"/>
  </r>
  <r>
    <m/>
    <x v="12"/>
    <m/>
    <x v="7"/>
    <s v="BENAVENTE VILLANUEVA, LESLIE NATALI"/>
    <s v="No"/>
    <s v="No"/>
  </r>
  <r>
    <m/>
    <x v="12"/>
    <m/>
    <x v="7"/>
    <s v="CHAMANA RONDAN, KATHERINE"/>
    <s v="No"/>
    <s v="Si"/>
  </r>
  <r>
    <m/>
    <x v="12"/>
    <m/>
    <x v="7"/>
    <s v="CONDO MAMANI, SANDRA ARACELY"/>
    <s v="No"/>
    <s v="Si"/>
  </r>
  <r>
    <m/>
    <x v="12"/>
    <m/>
    <x v="7"/>
    <s v="SIU MANRIQUE, MARIBEL CECILIA"/>
    <s v="No"/>
    <s v="No"/>
  </r>
  <r>
    <m/>
    <x v="13"/>
    <m/>
    <x v="1"/>
    <s v="CONTRERAS MENDOZA, AMANDA PIERINA"/>
    <s v="No"/>
    <s v="No"/>
  </r>
  <r>
    <m/>
    <x v="13"/>
    <m/>
    <x v="1"/>
    <s v="MERMA ARTEAGA, SOLANSH NOHELY"/>
    <s v="No"/>
    <s v="No"/>
  </r>
  <r>
    <m/>
    <x v="13"/>
    <m/>
    <x v="1"/>
    <s v="(en blanco)"/>
    <s v="No"/>
    <s v="No"/>
  </r>
  <r>
    <m/>
    <x v="13"/>
    <m/>
    <x v="14"/>
    <s v="CONTRERAS MENDOZA, AMANDA PIERINA"/>
    <s v="No"/>
    <s v="No"/>
  </r>
  <r>
    <m/>
    <x v="13"/>
    <m/>
    <x v="14"/>
    <s v="MERMA ARTEAGA, SOLANSH NOHELY"/>
    <s v="No"/>
    <s v="No"/>
  </r>
  <r>
    <m/>
    <x v="13"/>
    <m/>
    <x v="15"/>
    <s v="CONTRERAS MENDOZA, AMANDA PIERINA"/>
    <s v="No"/>
    <s v="No"/>
  </r>
  <r>
    <m/>
    <x v="13"/>
    <m/>
    <x v="16"/>
    <s v="CONTRERAS MENDOZA, AMANDA PIERINA"/>
    <s v="No"/>
    <s v="No"/>
  </r>
  <r>
    <m/>
    <x v="13"/>
    <m/>
    <x v="17"/>
    <s v="CONTRERAS MENDOZA, AMANDA PIERINA"/>
    <s v="No"/>
    <s v="No"/>
  </r>
  <r>
    <m/>
    <x v="13"/>
    <m/>
    <x v="17"/>
    <s v="(en blanco)"/>
    <s v="No"/>
    <s v="No"/>
  </r>
  <r>
    <m/>
    <x v="13"/>
    <m/>
    <x v="18"/>
    <s v="CONTRERAS MENDOZA, AMANDA PIERINA"/>
    <s v="No"/>
    <s v="No"/>
  </r>
  <r>
    <m/>
    <x v="13"/>
    <m/>
    <x v="0"/>
    <s v="CONTRERAS MENDOZA, AMANDA PIERINA"/>
    <s v="No"/>
    <s v="No"/>
  </r>
  <r>
    <m/>
    <x v="14"/>
    <m/>
    <x v="11"/>
    <s v="SIU MANRIQUE, MARIBEL CECILIA"/>
    <s v="No"/>
    <s v="No"/>
  </r>
  <r>
    <m/>
    <x v="14"/>
    <m/>
    <x v="0"/>
    <s v="GALLEGOS TEJADA, ANA LUCIA"/>
    <s v="No"/>
    <s v="No"/>
  </r>
  <r>
    <m/>
    <x v="14"/>
    <m/>
    <x v="0"/>
    <s v="SIU MANRIQUE, MARIBEL CECILIA"/>
    <s v="No"/>
    <s v="No"/>
  </r>
  <r>
    <m/>
    <x v="14"/>
    <m/>
    <x v="7"/>
    <s v="MERMA ARTEAGA, SOLANSH NOHELY"/>
    <s v="No"/>
    <s v="No"/>
  </r>
  <r>
    <m/>
    <x v="14"/>
    <m/>
    <x v="7"/>
    <s v="SIU MANRIQUE, MARIBEL CECILIA"/>
    <s v="No"/>
    <s v="No"/>
  </r>
  <r>
    <m/>
    <x v="15"/>
    <m/>
    <x v="11"/>
    <s v="CHAMANA RONDAN, KATHERINE"/>
    <s v="No"/>
    <s v="No"/>
  </r>
  <r>
    <m/>
    <x v="15"/>
    <m/>
    <x v="11"/>
    <s v="SIU MANRIQUE, MARIBEL CECILIA"/>
    <s v="No"/>
    <s v="No"/>
  </r>
  <r>
    <m/>
    <x v="16"/>
    <m/>
    <x v="19"/>
    <s v="CHAMANA RONDAN, KATHERINE"/>
    <s v="No"/>
    <s v="No"/>
  </r>
  <r>
    <m/>
    <x v="16"/>
    <m/>
    <x v="19"/>
    <s v="(en blanco)"/>
    <s v="No"/>
    <s v="No"/>
  </r>
  <r>
    <m/>
    <x v="16"/>
    <m/>
    <x v="11"/>
    <s v="BENAVENTE VILLANUEVA, LESLIE NATALI"/>
    <s v="No"/>
    <s v="Si"/>
  </r>
  <r>
    <m/>
    <x v="16"/>
    <m/>
    <x v="11"/>
    <s v="CHAMANA RONDAN, KATHERINE"/>
    <s v="No"/>
    <s v="Si"/>
  </r>
  <r>
    <m/>
    <x v="16"/>
    <m/>
    <x v="11"/>
    <s v="MERMA ARTEAGA, SOLANSH NOHELY"/>
    <s v="No"/>
    <s v="No"/>
  </r>
  <r>
    <m/>
    <x v="16"/>
    <m/>
    <x v="11"/>
    <s v="(en blanco)"/>
    <s v="No"/>
    <s v="No"/>
  </r>
  <r>
    <m/>
    <x v="16"/>
    <m/>
    <x v="20"/>
    <s v="CHAMANA RONDAN, KATHERINE"/>
    <s v="No"/>
    <s v="No"/>
  </r>
  <r>
    <m/>
    <x v="16"/>
    <m/>
    <x v="21"/>
    <s v="SIU MANRIQUE, MARIBEL CECILIA"/>
    <s v="No"/>
    <s v="No"/>
  </r>
  <r>
    <m/>
    <x v="16"/>
    <m/>
    <x v="22"/>
    <s v="CHAMANA RONDAN, KATHERINE"/>
    <s v="No"/>
    <s v="No"/>
  </r>
  <r>
    <m/>
    <x v="16"/>
    <m/>
    <x v="23"/>
    <s v="CHAMANA RONDAN, KATHERINE"/>
    <s v="No"/>
    <s v="No"/>
  </r>
  <r>
    <m/>
    <x v="17"/>
    <m/>
    <x v="11"/>
    <s v="CHAMANA RONDAN, KATHERINE"/>
    <s v="Si"/>
    <s v="Si"/>
  </r>
  <r>
    <m/>
    <x v="17"/>
    <m/>
    <x v="11"/>
    <s v="MERMA ARTEAGA, SOLANSH NOHELY"/>
    <s v="Si"/>
    <s v="Si"/>
  </r>
  <r>
    <m/>
    <x v="18"/>
    <m/>
    <x v="2"/>
    <s v="BENAVENTE VILLANUEVA, LESLIE NATALI"/>
    <s v="No"/>
    <s v="No"/>
  </r>
  <r>
    <m/>
    <x v="18"/>
    <m/>
    <x v="2"/>
    <s v="CONTRERAS MENDOZA, AMANDA PIERINA"/>
    <s v="Si"/>
    <s v="No"/>
  </r>
  <r>
    <m/>
    <x v="18"/>
    <m/>
    <x v="12"/>
    <s v="BENAVENTE VILLANUEVA, LESLIE NATALI"/>
    <s v="Si"/>
    <s v="Si"/>
  </r>
  <r>
    <m/>
    <x v="18"/>
    <m/>
    <x v="12"/>
    <s v="CONDO MAMANI, SANDRA ARACELY"/>
    <s v="Si"/>
    <s v="Si"/>
  </r>
  <r>
    <m/>
    <x v="18"/>
    <m/>
    <x v="24"/>
    <s v="CONDO MAMANI, SANDRA ARACELY"/>
    <s v="No"/>
    <s v="No"/>
  </r>
  <r>
    <m/>
    <x v="18"/>
    <m/>
    <x v="25"/>
    <s v="BENAVENTE VILLANUEVA, LESLIE NATALI"/>
    <s v="No"/>
    <s v="No"/>
  </r>
  <r>
    <m/>
    <x v="18"/>
    <m/>
    <x v="13"/>
    <s v="CHAMANA RONDAN, KATHERINE"/>
    <s v="No"/>
    <s v="No"/>
  </r>
  <r>
    <m/>
    <x v="18"/>
    <m/>
    <x v="13"/>
    <s v="CONDO MAMANI, SANDRA ARACELY"/>
    <s v="No"/>
    <s v="No"/>
  </r>
  <r>
    <m/>
    <x v="18"/>
    <m/>
    <x v="26"/>
    <s v="SIU MANRIQUE, MARIBEL CECILIA"/>
    <s v="No"/>
    <s v="No"/>
  </r>
  <r>
    <m/>
    <x v="18"/>
    <m/>
    <x v="10"/>
    <s v="BENAVENTE VILLANUEVA, LESLIE NATALI"/>
    <s v="No"/>
    <s v="No"/>
  </r>
  <r>
    <m/>
    <x v="18"/>
    <m/>
    <x v="10"/>
    <s v="CHAMANA RONDAN, KATHERINE"/>
    <s v="No"/>
    <s v="No"/>
  </r>
  <r>
    <m/>
    <x v="18"/>
    <m/>
    <x v="10"/>
    <s v="CONDO MAMANI, SANDRA ARACELY"/>
    <s v="No"/>
    <s v="No"/>
  </r>
  <r>
    <m/>
    <x v="18"/>
    <m/>
    <x v="10"/>
    <s v="CONTRERAS MENDOZA, AMANDA PIERINA"/>
    <s v="No"/>
    <s v="Si"/>
  </r>
  <r>
    <m/>
    <x v="18"/>
    <m/>
    <x v="10"/>
    <s v="CRUZ HUANCA, VANESSA ALEXANDRA"/>
    <s v="No"/>
    <s v="Si"/>
  </r>
  <r>
    <m/>
    <x v="18"/>
    <m/>
    <x v="10"/>
    <s v="MERMA ARTEAGA, SOLANSH NOHELY"/>
    <s v="No"/>
    <s v="No"/>
  </r>
  <r>
    <m/>
    <x v="18"/>
    <m/>
    <x v="10"/>
    <s v="SIU MANRIQUE, MARIBEL CECILIA"/>
    <s v="No"/>
    <s v="No"/>
  </r>
  <r>
    <m/>
    <x v="18"/>
    <m/>
    <x v="10"/>
    <s v="(en blanco)"/>
    <s v="No"/>
    <s v="No"/>
  </r>
  <r>
    <m/>
    <x v="18"/>
    <m/>
    <x v="9"/>
    <s v="BENAVENTE VILLANUEVA, LESLIE NATALI"/>
    <s v="No"/>
    <s v="No"/>
  </r>
  <r>
    <m/>
    <x v="18"/>
    <m/>
    <x v="9"/>
    <s v="CONDO MAMANI, SANDRA ARACELY"/>
    <s v="No"/>
    <s v="Si"/>
  </r>
  <r>
    <m/>
    <x v="18"/>
    <m/>
    <x v="9"/>
    <s v="CONTRERAS MENDOZA, AMANDA PIERINA"/>
    <s v="No"/>
    <s v="No"/>
  </r>
  <r>
    <m/>
    <x v="18"/>
    <m/>
    <x v="9"/>
    <s v="SIU MANRIQUE, MARIBEL CECILIA"/>
    <s v="No"/>
    <s v="No"/>
  </r>
  <r>
    <m/>
    <x v="18"/>
    <m/>
    <x v="27"/>
    <s v="CHAMANA RONDAN, KATHERINE"/>
    <s v="No"/>
    <s v="No"/>
  </r>
  <r>
    <m/>
    <x v="18"/>
    <m/>
    <x v="27"/>
    <s v="SIU MANRIQUE, MARIBEL CECILIA"/>
    <s v="No"/>
    <s v="No"/>
  </r>
  <r>
    <m/>
    <x v="18"/>
    <m/>
    <x v="28"/>
    <s v="CONDO MAMANI, SANDRA ARACELY"/>
    <s v="No"/>
    <s v="No"/>
  </r>
  <r>
    <m/>
    <x v="18"/>
    <m/>
    <x v="28"/>
    <s v="CONTRERAS MENDOZA, AMANDA PIERINA"/>
    <s v="No"/>
    <s v="No"/>
  </r>
  <r>
    <m/>
    <x v="18"/>
    <m/>
    <x v="28"/>
    <s v="CRUZ HUANCA, VANESSA ALEXANDRA"/>
    <s v="No"/>
    <s v="No"/>
  </r>
  <r>
    <m/>
    <x v="18"/>
    <m/>
    <x v="29"/>
    <s v="BENAVENTE VILLANUEVA, LESLIE NATALI"/>
    <s v="No"/>
    <s v="No"/>
  </r>
  <r>
    <m/>
    <x v="18"/>
    <m/>
    <x v="29"/>
    <s v="SIU MANRIQUE, MARIBEL CECILIA"/>
    <s v="No"/>
    <s v="No"/>
  </r>
  <r>
    <m/>
    <x v="18"/>
    <m/>
    <x v="3"/>
    <s v="BENAVENTE VILLANUEVA, LESLIE NATALI"/>
    <s v="No"/>
    <s v="No"/>
  </r>
  <r>
    <m/>
    <x v="18"/>
    <m/>
    <x v="3"/>
    <s v="CONDO MAMANI, SANDRA ARACELY"/>
    <s v="No"/>
    <s v="No"/>
  </r>
  <r>
    <m/>
    <x v="18"/>
    <m/>
    <x v="30"/>
    <s v="BENAVENTE VILLANUEVA, LESLIE NATALI"/>
    <s v="No"/>
    <s v="Si"/>
  </r>
  <r>
    <m/>
    <x v="18"/>
    <m/>
    <x v="8"/>
    <s v="SIU MANRIQUE, MARIBEL CECILIA"/>
    <s v="No"/>
    <s v="No"/>
  </r>
  <r>
    <m/>
    <x v="18"/>
    <m/>
    <x v="1"/>
    <s v="CONDO MAMANI, SANDRA ARACELY"/>
    <s v="No"/>
    <s v="No"/>
  </r>
  <r>
    <m/>
    <x v="18"/>
    <m/>
    <x v="1"/>
    <s v="CONTRERAS MENDOZA, AMANDA PIERINA"/>
    <s v="No"/>
    <s v="No"/>
  </r>
  <r>
    <m/>
    <x v="18"/>
    <m/>
    <x v="1"/>
    <s v="MERMA ARTEAGA, SOLANSH NOHELY"/>
    <s v="No"/>
    <s v="No"/>
  </r>
  <r>
    <m/>
    <x v="18"/>
    <m/>
    <x v="1"/>
    <s v="(en blanco)"/>
    <s v="No"/>
    <s v="Si"/>
  </r>
  <r>
    <m/>
    <x v="18"/>
    <m/>
    <x v="31"/>
    <s v="CONTRERAS MENDOZA, AMANDA PIERINA"/>
    <s v="No"/>
    <s v="No"/>
  </r>
  <r>
    <m/>
    <x v="18"/>
    <m/>
    <x v="5"/>
    <s v="CHAMANA RONDAN, KATHERINE"/>
    <s v="Si"/>
    <s v="Si"/>
  </r>
  <r>
    <m/>
    <x v="18"/>
    <m/>
    <x v="5"/>
    <s v="CRUZ HUANCA, VANESSA ALEXANDRA"/>
    <s v="No"/>
    <s v="No"/>
  </r>
  <r>
    <m/>
    <x v="18"/>
    <m/>
    <x v="5"/>
    <s v="SIU MANRIQUE, MARIBEL CECILIA"/>
    <s v="No"/>
    <s v="Si"/>
  </r>
  <r>
    <m/>
    <x v="18"/>
    <m/>
    <x v="32"/>
    <s v="ALVAREZ CONCHA, ERCILIA DEL CARMEN"/>
    <s v="No"/>
    <s v="No"/>
  </r>
  <r>
    <m/>
    <x v="18"/>
    <m/>
    <x v="32"/>
    <s v="BENAVENTE VILLANUEVA, LESLIE NATALI"/>
    <s v="No"/>
    <s v="No"/>
  </r>
  <r>
    <m/>
    <x v="18"/>
    <m/>
    <x v="32"/>
    <s v="SIU MANRIQUE, MARIBEL CECILIA"/>
    <s v="Si"/>
    <s v="No"/>
  </r>
  <r>
    <m/>
    <x v="18"/>
    <m/>
    <x v="33"/>
    <s v="CONDO MAMANI, SANDRA ARACELY"/>
    <s v="Si"/>
    <s v="No"/>
  </r>
  <r>
    <m/>
    <x v="18"/>
    <m/>
    <x v="34"/>
    <s v="BENAVENTE VILLANUEVA, LESLIE NATALI"/>
    <s v="No"/>
    <s v="No"/>
  </r>
  <r>
    <m/>
    <x v="18"/>
    <m/>
    <x v="34"/>
    <s v="SIU MANRIQUE, MARIBEL CECILIA"/>
    <s v="No"/>
    <s v="No"/>
  </r>
  <r>
    <m/>
    <x v="18"/>
    <m/>
    <x v="35"/>
    <s v="CONTRERAS MENDOZA, AMANDA PIERINA"/>
    <s v="No"/>
    <s v="No"/>
  </r>
  <r>
    <m/>
    <x v="18"/>
    <m/>
    <x v="36"/>
    <s v="CONDO MAMANI, SANDRA ARACELY"/>
    <s v="No"/>
    <s v="No"/>
  </r>
  <r>
    <m/>
    <x v="18"/>
    <m/>
    <x v="36"/>
    <s v="SIU MANRIQUE, MARIBEL CECILIA"/>
    <s v="No"/>
    <s v="No"/>
  </r>
  <r>
    <m/>
    <x v="18"/>
    <m/>
    <x v="37"/>
    <s v="CHAMANA RONDAN, KATHERINE"/>
    <s v="No"/>
    <s v="No"/>
  </r>
  <r>
    <m/>
    <x v="18"/>
    <m/>
    <x v="11"/>
    <s v="BENAVENTE VILLANUEVA, LESLIE NATALI"/>
    <s v="No"/>
    <s v="No"/>
  </r>
  <r>
    <m/>
    <x v="18"/>
    <m/>
    <x v="11"/>
    <s v="CHAMANA RONDAN, KATHERINE"/>
    <s v="No"/>
    <s v="No"/>
  </r>
  <r>
    <m/>
    <x v="18"/>
    <m/>
    <x v="11"/>
    <s v="CONTRERAS MENDOZA, AMANDA PIERINA"/>
    <s v="No"/>
    <s v="No"/>
  </r>
  <r>
    <m/>
    <x v="18"/>
    <m/>
    <x v="11"/>
    <s v="SIU MANRIQUE, MARIBEL CECILIA"/>
    <s v="No"/>
    <s v="No"/>
  </r>
  <r>
    <m/>
    <x v="18"/>
    <m/>
    <x v="38"/>
    <s v="BENAVENTE VILLANUEVA, LESLIE NATALI"/>
    <s v="No"/>
    <s v="No"/>
  </r>
  <r>
    <m/>
    <x v="18"/>
    <m/>
    <x v="38"/>
    <s v="CONTRERAS MENDOZA, AMANDA PIERINA"/>
    <s v="No"/>
    <s v="No"/>
  </r>
  <r>
    <m/>
    <x v="18"/>
    <m/>
    <x v="39"/>
    <s v="SIU MANRIQUE, MARIBEL CECILIA"/>
    <s v="No"/>
    <s v="No"/>
  </r>
  <r>
    <m/>
    <x v="18"/>
    <m/>
    <x v="6"/>
    <s v="CHAMANA RONDAN, KATHERINE"/>
    <s v="No"/>
    <s v="No"/>
  </r>
  <r>
    <m/>
    <x v="18"/>
    <m/>
    <x v="6"/>
    <s v="SIU MANRIQUE, MARIBEL CECILIA"/>
    <s v="No"/>
    <s v="No"/>
  </r>
  <r>
    <m/>
    <x v="18"/>
    <m/>
    <x v="0"/>
    <s v="BENAVENTE VILLANUEVA, LESLIE NATALI"/>
    <s v="No"/>
    <s v="No"/>
  </r>
  <r>
    <m/>
    <x v="18"/>
    <m/>
    <x v="0"/>
    <s v="CHAMANA RONDAN, KATHERINE"/>
    <s v="No"/>
    <s v="No"/>
  </r>
  <r>
    <m/>
    <x v="18"/>
    <m/>
    <x v="0"/>
    <s v="CONDO MAMANI, SANDRA ARACELY"/>
    <s v="No"/>
    <s v="No"/>
  </r>
  <r>
    <m/>
    <x v="18"/>
    <m/>
    <x v="0"/>
    <s v="CONTRERAS MENDOZA, AMANDA PIERINA"/>
    <s v="No"/>
    <s v="No"/>
  </r>
  <r>
    <m/>
    <x v="18"/>
    <m/>
    <x v="0"/>
    <s v="GALLEGOS TEJADA, ANA LUCIA"/>
    <s v="No"/>
    <s v="No"/>
  </r>
  <r>
    <m/>
    <x v="18"/>
    <m/>
    <x v="0"/>
    <s v="SIU MANRIQUE, MARIBEL CECILIA"/>
    <s v="No"/>
    <s v="No"/>
  </r>
  <r>
    <m/>
    <x v="18"/>
    <m/>
    <x v="40"/>
    <s v="BENAVENTE VILLANUEVA, LESLIE NATALI"/>
    <s v="No"/>
    <s v="Si"/>
  </r>
  <r>
    <m/>
    <x v="18"/>
    <m/>
    <x v="40"/>
    <s v="SIU MANRIQUE, MARIBEL CECILIA"/>
    <s v="No"/>
    <s v="Si"/>
  </r>
  <r>
    <m/>
    <x v="18"/>
    <m/>
    <x v="7"/>
    <s v="BENAVENTE VILLANUEVA, LESLIE NATALI"/>
    <s v="No"/>
    <s v="Si"/>
  </r>
  <r>
    <m/>
    <x v="18"/>
    <m/>
    <x v="7"/>
    <s v="CHAMANA RONDAN, KATHERINE"/>
    <s v="No"/>
    <s v="Si"/>
  </r>
  <r>
    <m/>
    <x v="18"/>
    <m/>
    <x v="7"/>
    <s v="SIU MANRIQUE, MARIBEL CECILIA"/>
    <s v="No"/>
    <s v="Si"/>
  </r>
  <r>
    <m/>
    <x v="18"/>
    <m/>
    <x v="41"/>
    <s v="SIU MANRIQUE, MARIBEL CECILIA"/>
    <s v="No"/>
    <s v="Si"/>
  </r>
  <r>
    <m/>
    <x v="18"/>
    <m/>
    <x v="42"/>
    <s v="SIU MANRIQUE, MARIBEL CECILIA"/>
    <s v="No"/>
    <s v="Si"/>
  </r>
  <r>
    <m/>
    <x v="19"/>
    <m/>
    <x v="43"/>
    <s v="SIU MANRIQUE, MARIBEL CECILIA"/>
    <s v="Si"/>
    <s v="Si"/>
  </r>
  <r>
    <m/>
    <x v="19"/>
    <m/>
    <x v="44"/>
    <s v="SIU MANRIQUE, MARIBEL CECILIA"/>
    <s v="Si"/>
    <s v="Si"/>
  </r>
  <r>
    <m/>
    <x v="19"/>
    <m/>
    <x v="7"/>
    <s v="ALVAREZ CONCHA, ERCILIA DEL CARMEN"/>
    <s v="No"/>
    <s v="Si"/>
  </r>
  <r>
    <m/>
    <x v="19"/>
    <m/>
    <x v="7"/>
    <s v="BENAVENTE VILLANUEVA, LESLIE NATALI"/>
    <s v="No"/>
    <s v="Si"/>
  </r>
  <r>
    <m/>
    <x v="19"/>
    <m/>
    <x v="7"/>
    <s v="SIU MANRIQUE, MARIBEL CECILIA"/>
    <s v="No"/>
    <s v="Si"/>
  </r>
  <r>
    <m/>
    <x v="20"/>
    <m/>
    <x v="12"/>
    <s v="BENAVENTE VILLANUEVA, LESLIE NATALI"/>
    <s v="No"/>
    <s v="Si"/>
  </r>
  <r>
    <m/>
    <x v="20"/>
    <m/>
    <x v="12"/>
    <s v="NUÑEZ BECERRA, EILEEN JANNE"/>
    <s v="No"/>
    <s v="Si"/>
  </r>
  <r>
    <m/>
    <x v="20"/>
    <m/>
    <x v="12"/>
    <s v="(en blanco)"/>
    <s v="No"/>
    <s v="Si"/>
  </r>
  <r>
    <m/>
    <x v="20"/>
    <m/>
    <x v="13"/>
    <s v="CONDO MAMANI, SANDRA ARACELY"/>
    <s v="No"/>
    <s v="No"/>
  </r>
  <r>
    <m/>
    <x v="20"/>
    <m/>
    <x v="13"/>
    <s v="SIU MANRIQUE, MARIBEL CECILIA"/>
    <s v="No"/>
    <s v="No"/>
  </r>
  <r>
    <m/>
    <x v="20"/>
    <m/>
    <x v="45"/>
    <s v="BENAVENTE VILLANUEVA, LESLIE NATALI"/>
    <s v="No"/>
    <s v="Si"/>
  </r>
  <r>
    <m/>
    <x v="20"/>
    <m/>
    <x v="10"/>
    <s v="CONDO MAMANI, SANDRA ARACELY"/>
    <s v="No"/>
    <s v="No"/>
  </r>
  <r>
    <m/>
    <x v="20"/>
    <m/>
    <x v="9"/>
    <s v="CONDO MAMANI, SANDRA ARACELY"/>
    <s v="No"/>
    <s v="No"/>
  </r>
  <r>
    <m/>
    <x v="20"/>
    <m/>
    <x v="3"/>
    <s v="SIU MANRIQUE, MARIBEL CECILIA"/>
    <s v="No"/>
    <s v="No"/>
  </r>
  <r>
    <m/>
    <x v="20"/>
    <m/>
    <x v="5"/>
    <s v="CHAMANA RONDAN, KATHERINE"/>
    <s v="No"/>
    <s v="No"/>
  </r>
  <r>
    <m/>
    <x v="20"/>
    <m/>
    <x v="5"/>
    <s v="CONDO MAMANI, SANDRA ARACELY"/>
    <s v="No"/>
    <s v="No"/>
  </r>
  <r>
    <m/>
    <x v="20"/>
    <m/>
    <x v="5"/>
    <s v="PINAZO ARTEAGA, EDWARD ADEMIR"/>
    <s v="No"/>
    <s v="No"/>
  </r>
  <r>
    <m/>
    <x v="20"/>
    <m/>
    <x v="0"/>
    <s v="BENAVENTE VILLANUEVA, LESLIE NATALI"/>
    <s v="No"/>
    <s v="Si"/>
  </r>
  <r>
    <m/>
    <x v="20"/>
    <m/>
    <x v="0"/>
    <s v="CONDO MAMANI, SANDRA ARACELY"/>
    <s v="No"/>
    <s v="Si"/>
  </r>
  <r>
    <m/>
    <x v="20"/>
    <m/>
    <x v="0"/>
    <s v="SIU MANRIQUE, MARIBEL CECILIA"/>
    <s v="No"/>
    <s v="Si"/>
  </r>
  <r>
    <m/>
    <x v="20"/>
    <m/>
    <x v="0"/>
    <s v="VARGAS MAMANI, REINA YSABEL"/>
    <s v="No"/>
    <s v="Si"/>
  </r>
  <r>
    <m/>
    <x v="20"/>
    <m/>
    <x v="7"/>
    <s v="BENAVENTE VILLANUEVA, LESLIE NATALI"/>
    <s v="No"/>
    <s v="Si"/>
  </r>
  <r>
    <m/>
    <x v="20"/>
    <m/>
    <x v="7"/>
    <s v="SIU MANRIQUE, MARIBEL CECILIA"/>
    <s v="No"/>
    <s v="Si"/>
  </r>
  <r>
    <m/>
    <x v="21"/>
    <m/>
    <x v="46"/>
    <s v="BENAVENTE VILLANUEVA, LESLIE NATALI"/>
    <s v="No"/>
    <s v="No"/>
  </r>
  <r>
    <m/>
    <x v="21"/>
    <m/>
    <x v="46"/>
    <s v="SIU MANRIQUE, MARIBEL CECILIA"/>
    <s v="No"/>
    <s v="No"/>
  </r>
  <r>
    <m/>
    <x v="22"/>
    <m/>
    <x v="9"/>
    <s v="BENAVENTE VILLANUEVA, LESLIE NATALI"/>
    <s v="No"/>
    <s v="No"/>
  </r>
  <r>
    <m/>
    <x v="23"/>
    <m/>
    <x v="3"/>
    <s v="BENAVENTE VILLANUEVA, LESLIE NATALI"/>
    <s v="No"/>
    <s v="No"/>
  </r>
  <r>
    <m/>
    <x v="23"/>
    <m/>
    <x v="3"/>
    <s v="CONDO MAMANI, SANDRA ARACELY"/>
    <s v="No"/>
    <s v="No"/>
  </r>
  <r>
    <m/>
    <x v="23"/>
    <m/>
    <x v="0"/>
    <s v="BENAVENTE VILLANUEVA, LESLIE NATALI"/>
    <s v="No"/>
    <s v="No"/>
  </r>
  <r>
    <m/>
    <x v="23"/>
    <m/>
    <x v="0"/>
    <s v="CONTRERAS MENDOZA, AMANDA PIERINA"/>
    <s v="No"/>
    <s v="N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Banca Minorista"/>
    <x v="0"/>
    <s v="No aplica"/>
    <s v="Si"/>
    <s v="Cajeros Automaticos (ATM's)"/>
    <s v="No"/>
    <x v="0"/>
  </r>
  <r>
    <s v="Banca Minorista"/>
    <x v="1"/>
    <s v="No aplica"/>
    <s v="Si"/>
    <s v="Cajeros Automaticos (ATM's) - Terceros"/>
    <s v="No"/>
    <x v="0"/>
  </r>
  <r>
    <s v="Banca Minorista"/>
    <x v="2"/>
    <s v="No aplica"/>
    <s v="No"/>
    <s v="Cajeros Automaticos (ATM's) - Terceros"/>
    <s v="No"/>
    <x v="0"/>
  </r>
  <r>
    <s v="Banca Minorista"/>
    <x v="3"/>
    <s v="No aplica"/>
    <s v="Si"/>
    <s v="Cajeros Automaticos (ATM's) - Terceros"/>
    <s v="No"/>
    <x v="0"/>
  </r>
  <r>
    <s v="Banca Minorista"/>
    <x v="4"/>
    <s v="No aplica"/>
    <s v="No"/>
    <s v="Corresponsalia"/>
    <s v="No"/>
    <x v="1"/>
  </r>
  <r>
    <s v="Banca Minorista"/>
    <x v="5"/>
    <s v="No aplica"/>
    <s v="No"/>
    <s v="Corresponsalia"/>
    <s v="No"/>
    <x v="1"/>
  </r>
  <r>
    <s v="Banca Minorista"/>
    <x v="6"/>
    <s v="No aplica"/>
    <s v="No"/>
    <s v="Corresponsalia"/>
    <s v="No"/>
    <x v="1"/>
  </r>
  <r>
    <s v="Banca Minorista"/>
    <x v="7"/>
    <s v="No aplica"/>
    <s v="No"/>
    <s v="Corresponsalia"/>
    <s v="No"/>
    <x v="1"/>
  </r>
  <r>
    <s v="Banca Minorista"/>
    <x v="8"/>
    <s v="No aplica"/>
    <s v="No"/>
    <s v="Corresponsalia"/>
    <s v="No"/>
    <x v="1"/>
  </r>
  <r>
    <s v="Banca Minorista"/>
    <x v="9"/>
    <s v="No aplica"/>
    <s v="?"/>
    <s v="?"/>
    <s v="?"/>
    <x v="2"/>
  </r>
  <r>
    <s v="Banca Minorista"/>
    <x v="10"/>
    <s v="No aplica"/>
    <s v="Si"/>
    <s v="POS"/>
    <s v="?"/>
    <x v="2"/>
  </r>
  <r>
    <s v="Banca Minorista"/>
    <x v="11"/>
    <s v="No aplica"/>
    <s v="Si"/>
    <s v="POS"/>
    <s v="?"/>
    <x v="2"/>
  </r>
  <r>
    <s v="Banca Minorista"/>
    <x v="12"/>
    <s v="No aplica"/>
    <s v="Si"/>
    <s v="Cajero Corresponsal Caja "/>
    <s v="No"/>
    <x v="0"/>
  </r>
  <r>
    <s v="Banca Minorista"/>
    <x v="13"/>
    <s v="No aplica"/>
    <s v="No"/>
    <s v="Cajero Corresponsal Terceros"/>
    <s v="No"/>
    <x v="0"/>
  </r>
  <r>
    <s v="Banca Minorista"/>
    <x v="14"/>
    <s v="No aplica"/>
    <s v="Si"/>
    <s v="Digital"/>
    <s v="Si"/>
    <x v="3"/>
  </r>
  <r>
    <s v="Banca Minorista"/>
    <x v="15"/>
    <s v="No aplica"/>
    <s v="Si"/>
    <s v="Digital"/>
    <s v="Si"/>
    <x v="3"/>
  </r>
  <r>
    <s v="Banca Minorista"/>
    <x v="16"/>
    <s v="Todos"/>
    <s v="Si"/>
    <s v="Tradicional - presencial"/>
    <s v="No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1"/>
    <s v="Banca Minorista"/>
    <n v="1.1000000000000001"/>
    <s v="Banca Minorista"/>
    <m/>
    <m/>
    <n v="1"/>
    <s v="Consumo"/>
    <n v="1.1000000000000001"/>
    <s v="Convenio"/>
    <s v="1.1.1"/>
    <s v="Convenio con Descuento por Planilla"/>
    <s v="Gerencia de Estrategia de Negocios y Segmentos"/>
    <x v="0"/>
    <s v="Activo"/>
    <n v="1.5"/>
  </r>
  <r>
    <n v="1"/>
    <s v="Banca Minorista"/>
    <n v="1.1000000000000001"/>
    <s v="Banca Minorista"/>
    <m/>
    <m/>
    <n v="1"/>
    <s v="Consumo"/>
    <n v="1.2"/>
    <s v="Personales"/>
    <s v="1.2.1"/>
    <s v="Microconsumo"/>
    <s v="Gerencia de Estrategia de Negocios y Segmentos"/>
    <x v="0"/>
    <s v="Activo"/>
    <n v="2.5"/>
  </r>
  <r>
    <n v="1"/>
    <s v="Banca Minorista"/>
    <n v="1.1000000000000001"/>
    <s v="Banca Minorista"/>
    <m/>
    <m/>
    <n v="1"/>
    <s v="Consumo"/>
    <n v="1.2"/>
    <s v="Personales"/>
    <s v="1.2.2"/>
    <s v="Quintuplica tu sueldo"/>
    <s v="Gerencia de Estrategia de Negocios y Segmentos"/>
    <x v="0"/>
    <s v="Activo"/>
    <n v="2.5"/>
  </r>
  <r>
    <n v="1"/>
    <s v="Banca Minorista"/>
    <n v="1.1000000000000001"/>
    <s v="Banca Minorista"/>
    <m/>
    <m/>
    <n v="1"/>
    <s v="Consumo"/>
    <n v="1.2"/>
    <s v="Personales"/>
    <s v="1.2.3"/>
    <s v="Personal Directo"/>
    <s v="Gerencia de Estrategia de Negocios y Segmentos"/>
    <x v="0"/>
    <s v="Activo"/>
    <n v="2.5"/>
  </r>
  <r>
    <n v="1"/>
    <s v="Banca Minorista"/>
    <n v="1.1000000000000001"/>
    <s v="Banca Minorista"/>
    <m/>
    <m/>
    <n v="1"/>
    <s v="Consumo"/>
    <n v="1.2"/>
    <s v="Personales"/>
    <s v="1.2.4"/>
    <s v="Personal Directo para Trabajadores"/>
    <s v="Gerencia de Estrategia de Negocios y Segmentos"/>
    <x v="0"/>
    <s v="Activo"/>
    <n v="2.5"/>
  </r>
  <r>
    <n v="1"/>
    <s v="Banca Minorista"/>
    <n v="1.1000000000000001"/>
    <s v="Banca Minorista"/>
    <m/>
    <m/>
    <n v="1"/>
    <s v="Consumo"/>
    <n v="1.2"/>
    <s v="Personales"/>
    <s v="1.2.5"/>
    <s v="Administrativo"/>
    <s v="Gerencia de Estrategia de Negocios y Segmentos"/>
    <x v="0"/>
    <s v="Activo"/>
    <n v="2.5"/>
  </r>
  <r>
    <n v="1"/>
    <s v="Banca Minorista"/>
    <n v="1.1000000000000001"/>
    <s v="Banca Minorista"/>
    <m/>
    <m/>
    <n v="1"/>
    <s v="Consumo"/>
    <n v="1.2"/>
    <s v="Personales"/>
    <s v="1.2.6"/>
    <s v="Préstamo Cuenta Sueldo"/>
    <s v="Gerencia de Estrategia de Negocios y Segmentos"/>
    <x v="0"/>
    <s v="Activo"/>
    <n v="2.5"/>
  </r>
  <r>
    <n v="1"/>
    <s v="Banca Minorista"/>
    <n v="1.1000000000000001"/>
    <s v="Banca Minorista"/>
    <m/>
    <m/>
    <n v="1"/>
    <s v="Consumo"/>
    <n v="1.3"/>
    <s v="Línea de Crédito - Consumo"/>
    <s v="1.3.1"/>
    <s v="Línea de Crédito con DPF/CTS"/>
    <s v="Gerencia de Estrategia de Negocios y Segmentos"/>
    <x v="0"/>
    <s v="Activo"/>
    <n v="3"/>
  </r>
  <r>
    <n v="1"/>
    <s v="Banca Minorista"/>
    <n v="1.1000000000000001"/>
    <s v="Banca Minorista"/>
    <m/>
    <m/>
    <n v="1"/>
    <s v="Consumo"/>
    <n v="1.3"/>
    <s v="Línea de Crédito - Consumo"/>
    <s v="1.3.2"/>
    <s v="Personal Directo para Trabajadores"/>
    <s v="Gerencia de Estrategia de Negocios y Segmentos"/>
    <x v="0"/>
    <s v="Activo"/>
    <n v="3"/>
  </r>
  <r>
    <n v="1"/>
    <s v="Banca Minorista"/>
    <n v="1.1000000000000001"/>
    <s v="Banca Minorista"/>
    <m/>
    <m/>
    <n v="1"/>
    <s v="Consumo"/>
    <n v="1.4"/>
    <s v="Vehicular"/>
    <s v="1.4.1"/>
    <s v="Vehicular"/>
    <s v="Gerencia de Estrategia de Negocios y Segmentos"/>
    <x v="0"/>
    <s v="Activo"/>
    <n v="3"/>
  </r>
  <r>
    <n v="1"/>
    <s v="Banca Minorista"/>
    <n v="1.1000000000000001"/>
    <s v="Banca Minorista"/>
    <m/>
    <m/>
    <n v="1"/>
    <s v="Consumo"/>
    <n v="1.4"/>
    <s v="Vehicular"/>
    <s v="1.4.2"/>
    <s v="Vehicular para Trabajadores"/>
    <s v="Gerencia de Estrategia de Negocios y Segmentos"/>
    <x v="0"/>
    <s v="Activo"/>
    <n v="3"/>
  </r>
  <r>
    <n v="1"/>
    <s v="Banca Minorista"/>
    <n v="1.1000000000000001"/>
    <s v="Banca Minorista"/>
    <m/>
    <m/>
    <n v="1"/>
    <s v="Consumo"/>
    <n v="1.5"/>
    <s v="Prendario"/>
    <s v="1.5.1"/>
    <s v="Prendario"/>
    <s v="Gerencia de Estrategia de Negocios y Segmentos"/>
    <x v="0"/>
    <s v="Activo"/>
    <n v="3"/>
  </r>
  <r>
    <n v="1"/>
    <s v="Banca Minorista"/>
    <n v="1.1000000000000001"/>
    <s v="Banca Minorista"/>
    <m/>
    <m/>
    <n v="2"/>
    <s v="Créditos BM"/>
    <n v="2.1"/>
    <s v="Activo Fijo Maquinaria y Equipo"/>
    <s v="2.1.1"/>
    <s v="Activo Fijo Maquinaria y Equipo"/>
    <s v="Gerencia de Estrategia de Negocios y Segmentos"/>
    <x v="1"/>
    <s v="Activo"/>
    <n v="1.5"/>
  </r>
  <r>
    <n v="1"/>
    <s v="Banca Minorista"/>
    <n v="1.1000000000000001"/>
    <s v="Banca Minorista"/>
    <m/>
    <m/>
    <n v="2"/>
    <s v="Créditos BM"/>
    <n v="2.1"/>
    <s v="Activo Fijo Maquinaria y Equipo"/>
    <s v="2.1.2"/>
    <s v="Ecomicro"/>
    <s v="Gerencia de Estrategia de Negocios y Segmentos"/>
    <x v="1"/>
    <s v="Activo"/>
    <n v="1.5"/>
  </r>
  <r>
    <n v="1"/>
    <s v="Banca Minorista"/>
    <n v="1.1000000000000001"/>
    <s v="Banca Minorista"/>
    <m/>
    <m/>
    <n v="2"/>
    <s v="Créditos BM"/>
    <n v="2.2000000000000002"/>
    <s v="Activo Fijo Local Comercial"/>
    <s v="2.2.1"/>
    <s v="Activo Fijo Local Comercial"/>
    <s v="Gerencia de Estrategia de Negocios y Segmentos"/>
    <x v="2"/>
    <s v="Activo"/>
    <n v="7.5"/>
  </r>
  <r>
    <n v="1"/>
    <s v="Banca Minorista"/>
    <n v="1.1000000000000001"/>
    <s v="Banca Minorista"/>
    <m/>
    <m/>
    <n v="2"/>
    <s v="Créditos BM"/>
    <n v="2.2999999999999998"/>
    <s v="Capital de Trabajo"/>
    <s v="2.3.1"/>
    <s v="Capital de Trabajo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2999999999999998"/>
    <s v="Capital de Trabajo"/>
    <s v="2.3.2"/>
    <s v="Credi Puntualito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2999999999999998"/>
    <s v="Capital de Trabajo"/>
    <s v="2.3.3"/>
    <s v="Credi Oficios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2999999999999998"/>
    <s v="Capital de Trabajo"/>
    <s v="2.3.4"/>
    <s v="Superate Mujer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2999999999999998"/>
    <s v="Capital de Trabajo"/>
    <s v="2.3.5"/>
    <s v="Bienvenido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4"/>
    <s v="Línea de Crédito BM"/>
    <s v="2.4.1"/>
    <s v="Línea de Crédito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4"/>
    <s v="Línea de Crédito BM"/>
    <s v="2.4.2"/>
    <s v="Línea de Crédito para Cliente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4"/>
    <s v="Línea de Crédito BM"/>
    <s v="2.4.3"/>
    <s v="Línea de Crédito Semilla"/>
    <s v="Gerencia de Estrategia de Negocios y Segmentos"/>
    <x v="1"/>
    <s v="Activo"/>
    <n v="1"/>
  </r>
  <r>
    <n v="1"/>
    <s v="Banca Minorista"/>
    <n v="1.1000000000000001"/>
    <s v="Banca Minorista"/>
    <m/>
    <m/>
    <n v="2"/>
    <s v="Créditos BM"/>
    <n v="2.5"/>
    <s v="Agropecuario"/>
    <s v="2.5.1"/>
    <s v="Agropecuario"/>
    <s v="Gerencia de Estrategia de Negocios y Segmentos"/>
    <x v="3"/>
    <s v="Activo"/>
    <n v="7.5"/>
  </r>
  <r>
    <n v="1"/>
    <s v="Banca Minorista"/>
    <n v="1.1000000000000001"/>
    <s v="Banca Minorista"/>
    <m/>
    <m/>
    <n v="2"/>
    <s v="Créditos BM"/>
    <n v="2.6"/>
    <s v="Convenio Pymes"/>
    <s v="2.6.1"/>
    <s v="Convenio Pymes"/>
    <s v="Gerencia de Estrategia de Negocios y Segmentos"/>
    <x v="2"/>
    <s v="Activo"/>
    <n v="3.5"/>
  </r>
  <r>
    <n v="1"/>
    <s v="Banca Minorista"/>
    <n v="1.1000000000000001"/>
    <s v="Banca Minorista"/>
    <m/>
    <m/>
    <n v="2"/>
    <s v="Créditos BM"/>
    <n v="2.7"/>
    <s v="Carta Fianza"/>
    <s v="2.7.1"/>
    <s v="Carta Fianza"/>
    <s v="Gerencia de Estrategia de Negocios y Segmentos"/>
    <x v="2"/>
    <s v="Activo"/>
    <n v="7.5"/>
  </r>
  <r>
    <n v="1"/>
    <s v="Banca Minorista"/>
    <n v="1.1000000000000001"/>
    <s v="Banca Minorista"/>
    <m/>
    <m/>
    <n v="2"/>
    <s v="Créditos BM"/>
    <n v="2.8"/>
    <s v="Vivienda"/>
    <s v="2.8.1"/>
    <s v="Caja Construye"/>
    <s v="Gerencia de Estrategia de Negocios y Segmentos"/>
    <x v="1"/>
    <s v="Activo"/>
    <n v="1.5"/>
  </r>
  <r>
    <n v="1"/>
    <s v="Banca Minorista"/>
    <n v="1.1000000000000001"/>
    <s v="Banca Minorista"/>
    <m/>
    <m/>
    <n v="2"/>
    <s v="Créditos BM"/>
    <n v="2.8"/>
    <s v="Vivienda"/>
    <s v="2.8.2"/>
    <s v="Agua Mas"/>
    <s v="Gerencia de Estrategia de Negocios y Segmentos"/>
    <x v="1"/>
    <s v="Activo"/>
    <n v="1.5"/>
  </r>
  <r>
    <n v="1"/>
    <s v="Banca Minorista"/>
    <n v="1.1000000000000001"/>
    <s v="Banca Minorista"/>
    <m/>
    <m/>
    <n v="3"/>
    <s v="Hipotecario"/>
    <n v="3.1"/>
    <s v="Hipotecario"/>
    <s v="3.1.1"/>
    <s v="Hipotecario Caja para Clientes"/>
    <s v="Gerencia de Estrategia de Negocios y Segmentos"/>
    <x v="4"/>
    <s v="Activo"/>
    <n v="1"/>
  </r>
  <r>
    <n v="1"/>
    <s v="Banca Minorista"/>
    <n v="1.1000000000000001"/>
    <s v="Banca Minorista"/>
    <m/>
    <m/>
    <n v="3"/>
    <s v="Hipotecario"/>
    <n v="3.1"/>
    <s v="Hipotecario"/>
    <s v="3.1.2"/>
    <s v="Hipotecario Caja para Trabajadores"/>
    <s v="Gerencia de Estrategia de Negocios y Segmentos"/>
    <x v="4"/>
    <s v="Activo"/>
    <n v="1"/>
  </r>
  <r>
    <n v="1"/>
    <s v="Banca Minorista"/>
    <n v="1.1000000000000001"/>
    <s v="Banca Minorista"/>
    <m/>
    <m/>
    <n v="3"/>
    <s v="Hipotecario"/>
    <n v="3.1"/>
    <s v="Hipotecario"/>
    <s v="3.1.3"/>
    <s v="Mivivienda"/>
    <s v="Gerencia de Estrategia de Negocios y Segmentos"/>
    <x v="4"/>
    <s v="Activo"/>
    <n v="1"/>
  </r>
  <r>
    <n v="1"/>
    <s v="Banca Minorista"/>
    <n v="1.1000000000000001"/>
    <s v="Banca Minorista"/>
    <m/>
    <m/>
    <n v="3"/>
    <s v="Hipotecario"/>
    <n v="3.1"/>
    <s v="Hipotecario"/>
    <s v="3.1.4"/>
    <s v="Techo Propio"/>
    <s v="Gerencia de Estrategia de Negocios y Segmentos"/>
    <x v="4"/>
    <s v="Activo"/>
    <n v="1"/>
  </r>
  <r>
    <n v="1"/>
    <s v="Banca Minorista"/>
    <n v="1.1000000000000001"/>
    <s v="Banca Minorista"/>
    <m/>
    <m/>
    <n v="4"/>
    <s v="Ahorros BM"/>
    <n v="4.0999999999999996"/>
    <s v="Ahorros PN"/>
    <s v="4.1.1"/>
    <s v="Ahorro Rentable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0999999999999996"/>
    <s v="Ahorros PN"/>
    <s v="4.1.3"/>
    <s v="Cuenta Sueldo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0999999999999996"/>
    <s v="Ahorros PN"/>
    <s v="4.1.4"/>
    <s v="Ahorro Junior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0999999999999996"/>
    <s v="Ahorros PN"/>
    <s v="4.1.5"/>
    <s v="Ahorro Flexible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0999999999999996"/>
    <s v="Ahorros PN"/>
    <s v="4.1.7"/>
    <s v="Caja Digital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2"/>
    <s v="Plazo Fijo PN"/>
    <s v="4.2.1"/>
    <s v="Depósito a Plazo Fijo - Edad de Oro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2"/>
    <s v="Plazo Fijo PN"/>
    <s v="4.2.2"/>
    <s v="Depósitos a Plazo Fijo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2"/>
    <s v="Plazo Fijo PN"/>
    <s v="4.2.3"/>
    <s v="Depósito Plazo fijo Creciente"/>
    <s v="Gerencia de Productos Pasivos"/>
    <x v="5"/>
    <s v="Pasivo"/>
    <n v="1"/>
  </r>
  <r>
    <n v="1"/>
    <s v="Banca Minorista"/>
    <n v="1.1000000000000001"/>
    <s v="Banca Minorista"/>
    <m/>
    <m/>
    <n v="4"/>
    <s v="Ahorros BM"/>
    <n v="4.3"/>
    <s v="CTS"/>
    <s v="4.3.1"/>
    <s v="CTS"/>
    <s v="Gerencia Central de Finanzas y Control de Gestión"/>
    <x v="5"/>
    <s v="Pasivo"/>
    <n v="1"/>
  </r>
  <r>
    <n v="2"/>
    <s v="Banca Comercial"/>
    <n v="2.1"/>
    <s v="Banca Comercial"/>
    <m/>
    <m/>
    <n v="5"/>
    <s v="Créditos BC"/>
    <n v="5.0999999999999996"/>
    <s v="IFIs-BC"/>
    <s v="5.1.1"/>
    <s v="Instituciones Financieras"/>
    <s v="Gerencia de Finanzas"/>
    <x v="6"/>
    <s v="Pasivo"/>
    <n v="1"/>
  </r>
  <r>
    <n v="2"/>
    <s v="Banca Comercial"/>
    <n v="2.1"/>
    <s v="Banca Comercial"/>
    <m/>
    <m/>
    <n v="5"/>
    <s v="Créditos BC"/>
    <n v="5.2"/>
    <s v="Activo Fijo Maquinaria y Equipo-BC"/>
    <s v="5.2.1"/>
    <s v="Activo Fijo Maquinaria y Equipo-BC"/>
    <s v="Gerencia de Estrategia de Negocios y Segmentos"/>
    <x v="2"/>
    <s v="Activo"/>
    <n v="15"/>
  </r>
  <r>
    <n v="2"/>
    <s v="Banca Comercial"/>
    <n v="2.1"/>
    <s v="Banca Comercial"/>
    <m/>
    <m/>
    <n v="5"/>
    <s v="Créditos BC"/>
    <n v="5.3"/>
    <s v="Capital de Trabajo-BC"/>
    <s v="5.3.1"/>
    <s v="Capital de Trabajo-BC"/>
    <s v="Gerencia de Estrategia de Negocios y Segmentos"/>
    <x v="2"/>
    <s v="Activo"/>
    <n v="15"/>
  </r>
  <r>
    <n v="2"/>
    <s v="Banca Comercial"/>
    <n v="2.1"/>
    <s v="Banca Comercial"/>
    <m/>
    <m/>
    <n v="5"/>
    <s v="Créditos BC"/>
    <n v="5.4"/>
    <s v="Línea de crédito-BC"/>
    <s v="5.4.1"/>
    <s v="Línea de Crédito-BC"/>
    <s v="Gerencia de Estrategia de Negocios y Segmentos"/>
    <x v="2"/>
    <s v="Activo"/>
    <n v="15"/>
  </r>
  <r>
    <n v="2"/>
    <s v="Banca Comercial"/>
    <n v="2.1"/>
    <s v="Banca Comercial"/>
    <m/>
    <m/>
    <n v="5"/>
    <s v="Créditos BC"/>
    <n v="5.4"/>
    <s v="Línea de crédito-BC"/>
    <s v="5.4.2"/>
    <s v="Linea de Crédito Preferencial-BC"/>
    <s v="Gerencia de Estrategia de Negocios y Segmentos"/>
    <x v="2"/>
    <s v="Activo"/>
    <n v="15"/>
  </r>
  <r>
    <n v="2"/>
    <s v="Banca Comercial"/>
    <n v="2.1"/>
    <s v="Banca Comercial"/>
    <m/>
    <m/>
    <n v="5"/>
    <s v="Créditos BC"/>
    <n v="5.5"/>
    <s v="Agropecuario-BC"/>
    <s v="5.5.1"/>
    <s v="Agropecuario-BC"/>
    <s v="Gerencia de Estrategia de Negocios y Segmentos"/>
    <x v="2"/>
    <s v="Activo"/>
    <n v="15"/>
  </r>
  <r>
    <n v="2"/>
    <s v="Banca Comercial"/>
    <n v="2.1"/>
    <s v="Banca Comercial"/>
    <m/>
    <m/>
    <n v="5"/>
    <s v="Créditos BC"/>
    <n v="5.6"/>
    <s v="Carta Fianza-BC"/>
    <s v="5.6.1"/>
    <s v="Carta Fianza-BC"/>
    <s v="Gerencia de Estrategia de Negocios y Segmentos"/>
    <x v="2"/>
    <s v="Activo"/>
    <n v="15"/>
  </r>
  <r>
    <n v="2"/>
    <s v="Banca Comercial"/>
    <n v="2.1"/>
    <s v="Banca Comercial"/>
    <m/>
    <m/>
    <n v="5"/>
    <s v="Créditos BC"/>
    <n v="5.7"/>
    <s v="Inmobiliario"/>
    <s v="5.7.1"/>
    <s v="Inmobiliario"/>
    <s v="Gerencia de Estrategia de Negocios y Segmentos"/>
    <x v="4"/>
    <s v="Activo"/>
    <n v="30"/>
  </r>
  <r>
    <n v="2"/>
    <s v="Banca Comercial"/>
    <n v="2.1"/>
    <s v="Banca Comercial"/>
    <m/>
    <m/>
    <n v="6"/>
    <s v="Ahorros BC"/>
    <n v="6.1"/>
    <s v="Ahorros PJ"/>
    <s v="6.1.1"/>
    <s v="Ahorro Rentable"/>
    <s v="Gerencia de Productos Pasivos"/>
    <x v="5"/>
    <s v="Pasivo"/>
    <n v="1"/>
  </r>
  <r>
    <n v="2"/>
    <s v="Banca Comercial"/>
    <n v="2.1"/>
    <s v="Banca Comercial"/>
    <m/>
    <m/>
    <n v="6"/>
    <s v="Ahorros BC"/>
    <n v="6.1"/>
    <s v="Ahorros PJ"/>
    <s v="6.1.2"/>
    <s v="Ahorro Flexible"/>
    <s v="Gerencia de Productos Pasivos"/>
    <x v="5"/>
    <s v="Pasivo"/>
    <n v="1"/>
  </r>
  <r>
    <n v="2"/>
    <s v="Banca Comercial"/>
    <n v="2.1"/>
    <s v="Banca Comercial"/>
    <m/>
    <m/>
    <n v="6"/>
    <s v="Ahorros BC"/>
    <n v="6.2"/>
    <s v="Plazo Fijo PJ"/>
    <s v="6.2.1"/>
    <s v="Depósitos a Plazo Fijo"/>
    <s v="Gerencia de Productos Pasivos"/>
    <x v="5"/>
    <s v="Pasivo"/>
    <n v="1"/>
  </r>
  <r>
    <n v="3"/>
    <s v="Negociación y Ventas"/>
    <n v="3.1"/>
    <s v="Tesorería"/>
    <m/>
    <m/>
    <n v="7"/>
    <s v="Tesorería"/>
    <n v="7.1"/>
    <s v="Derivados"/>
    <s v="7.1.1"/>
    <s v="Derivados para cobertura - Forward"/>
    <s v="Gerencia de Finanzas"/>
    <x v="6"/>
    <s v="Finanzas"/>
    <n v="1.5"/>
  </r>
  <r>
    <n v="3"/>
    <s v="Negociación y Ventas"/>
    <n v="3.1"/>
    <s v="Tesorería"/>
    <m/>
    <m/>
    <n v="7"/>
    <s v="Tesorería"/>
    <n v="7.2"/>
    <s v="Compra Venta de Moneda"/>
    <s v="7.2.1"/>
    <s v="Compra Venta de Moneda"/>
    <s v="Gerencia de Finanzas"/>
    <x v="6"/>
    <s v="Finanzas"/>
    <n v="2.5"/>
  </r>
  <r>
    <n v="3"/>
    <s v="Negociación y Ventas"/>
    <n v="3.1"/>
    <s v="Tesorería"/>
    <m/>
    <m/>
    <n v="7"/>
    <s v="Tesorería"/>
    <n v="7.3"/>
    <s v="Renta Fija - Emisiones del Estado"/>
    <s v="7.3.1"/>
    <s v="CD BCR"/>
    <s v="Gerencia de Finanzas"/>
    <x v="6"/>
    <s v="Finanzas"/>
    <n v="1.5"/>
  </r>
  <r>
    <n v="3"/>
    <s v="Negociación y Ventas"/>
    <n v="3.1"/>
    <s v="Tesorería"/>
    <m/>
    <m/>
    <n v="7"/>
    <s v="Tesorería"/>
    <n v="7.3"/>
    <s v="Renta Fija - Emisiones del Estado"/>
    <s v="7.3.2"/>
    <s v="Bonos del tesoro"/>
    <s v="Gerencia de Finanzas"/>
    <x v="6"/>
    <s v="Finanzas"/>
    <n v="1.5"/>
  </r>
  <r>
    <n v="3"/>
    <s v="Negociación y Ventas"/>
    <n v="3.1"/>
    <s v="Tesorería"/>
    <m/>
    <m/>
    <n v="7"/>
    <s v="Tesorería"/>
    <n v="7.4"/>
    <s v="Repos"/>
    <s v="7.4.1"/>
    <s v="Repos BCR"/>
    <s v="Gerencia de Finanzas"/>
    <x v="6"/>
    <s v="Finanzas"/>
    <n v="1.5"/>
  </r>
  <r>
    <n v="3"/>
    <s v="Negociación y Ventas"/>
    <n v="3.2"/>
    <s v="Posiciones Propias"/>
    <m/>
    <m/>
    <n v="8"/>
    <s v="Posiciones Propias"/>
    <n v="8.1"/>
    <s v="Renta Fija - Privados y BCRP"/>
    <s v="8.1.1"/>
    <s v="DPF Captaciones"/>
    <s v="Gerencia de Finanzas"/>
    <x v="6"/>
    <s v="Finanzas"/>
    <n v="1"/>
  </r>
  <r>
    <n v="3"/>
    <s v="Negociación y Ventas"/>
    <n v="3.2"/>
    <s v="Posiciones Propias"/>
    <m/>
    <m/>
    <n v="8"/>
    <s v="Posiciones Propias"/>
    <n v="8.1"/>
    <s v="Renta Fija - Privados y BCRP"/>
    <s v="8.1.2"/>
    <s v="DPF Colocaciones"/>
    <s v="Gerencia de Finanzas"/>
    <x v="6"/>
    <s v="Finanzas"/>
    <n v="1"/>
  </r>
  <r>
    <n v="3"/>
    <s v="Negociación y Ventas"/>
    <n v="3.2"/>
    <s v="Posiciones Propias"/>
    <m/>
    <m/>
    <n v="8"/>
    <s v="Posiciones Propias"/>
    <n v="8.1999999999999993"/>
    <s v="Renta Variable"/>
    <s v="8.2.1"/>
    <s v="Fondos Mutuos"/>
    <s v="Gerencia de Finanzas"/>
    <x v="6"/>
    <s v="Finanzas"/>
    <n v="1"/>
  </r>
  <r>
    <n v="3"/>
    <s v="Negociación y Ventas"/>
    <n v="3.2"/>
    <s v="Posiciones Propias"/>
    <m/>
    <m/>
    <n v="8"/>
    <s v="Posiciones Propias"/>
    <n v="8.3000000000000007"/>
    <s v="Fondo Interbancario"/>
    <s v="8.3.1"/>
    <s v="Fondo Interbancario - Colocación"/>
    <s v="Gerencia de Finanzas"/>
    <x v="6"/>
    <s v="Finanzas"/>
    <n v="1"/>
  </r>
  <r>
    <n v="3"/>
    <s v="Negociación y Ventas"/>
    <n v="3.2"/>
    <s v="Posiciones Propias"/>
    <m/>
    <m/>
    <n v="8"/>
    <s v="Posiciones Propias"/>
    <n v="8.3000000000000007"/>
    <s v="Fondo Interbancario"/>
    <s v="8.3.2"/>
    <s v="Fondo Interbancario - Captación"/>
    <s v="Gerencia de Finanzas"/>
    <x v="6"/>
    <s v="Finanzas"/>
    <n v="1"/>
  </r>
  <r>
    <n v="3"/>
    <s v="Negociación y Ventas"/>
    <n v="3.2"/>
    <s v="Posiciones Propias"/>
    <m/>
    <m/>
    <n v="8"/>
    <s v="Posiciones Propias"/>
    <n v="8.4"/>
    <s v="Adeudados"/>
    <s v="8.4.1"/>
    <s v="Adeudados"/>
    <s v="Gerencia de Finanzas"/>
    <x v="7"/>
    <s v="Finanzas"/>
    <n v="3.5"/>
  </r>
  <r>
    <n v="3"/>
    <s v="Negociación y Ventas"/>
    <n v="3.2"/>
    <s v="Posiciones Propias"/>
    <m/>
    <m/>
    <n v="8"/>
    <s v="Posiciones Propias"/>
    <n v="8.4"/>
    <s v="Adeudados"/>
    <s v="8.4.2"/>
    <s v="Adeudados Subordinados"/>
    <s v="Gerencia de Finanzas"/>
    <x v="7"/>
    <s v="Finanzas"/>
    <n v="3.5"/>
  </r>
  <r>
    <n v="3"/>
    <s v="Negociación y Ventas"/>
    <n v="3.1"/>
    <s v="Posiciones Propias"/>
    <m/>
    <m/>
    <n v="8"/>
    <s v="Posiciones Propias"/>
    <n v="8.6999999999999993"/>
    <s v="Instrumentos adquiridos por SAB"/>
    <s v="8.7.1"/>
    <s v="Letras"/>
    <s v="Gerencia de Finanzas"/>
    <x v="6"/>
    <s v="Finanzas"/>
    <n v="15"/>
  </r>
  <r>
    <n v="3"/>
    <s v="Negociación y Ventas"/>
    <n v="3.1"/>
    <s v="Posiciones Propias"/>
    <m/>
    <m/>
    <n v="8"/>
    <s v="Posiciones Propias"/>
    <n v="8.6999999999999993"/>
    <s v="Instrumentos adquiridos por SAB"/>
    <s v="8.7.2"/>
    <s v="Bonos"/>
    <s v="Gerencia de Finanzas"/>
    <x v="6"/>
    <s v="Finanzas"/>
    <n v="15"/>
  </r>
  <r>
    <n v="3"/>
    <s v="Negociación y Ventas"/>
    <n v="3.1"/>
    <s v="Posiciones Propias"/>
    <m/>
    <m/>
    <n v="8"/>
    <s v="Posiciones Propias"/>
    <n v="8.6999999999999993"/>
    <s v="Instrumentos adquiridos por SAB"/>
    <s v="8.7.3"/>
    <s v="CD Institucionales - Papeles comerciales"/>
    <s v="Gerencia de Finanzas"/>
    <x v="6"/>
    <s v="Finanzas"/>
    <n v="15"/>
  </r>
  <r>
    <n v="3"/>
    <s v="Negociación y Ventas"/>
    <n v="3.1"/>
    <s v="Posiciones Propias"/>
    <m/>
    <m/>
    <n v="8"/>
    <s v="Posiciones Propias"/>
    <n v="8.6999999999999993"/>
    <s v="Instrumentos adquiridos por SAB"/>
    <s v="8.7.4"/>
    <s v="Operaciones de Reporte"/>
    <s v="Gerencia de Finanzas"/>
    <x v="6"/>
    <s v="Finanzas"/>
    <n v="15"/>
  </r>
  <r>
    <n v="3"/>
    <s v="Negociación y Ventas"/>
    <n v="3.1"/>
    <s v="Posiciones Propias"/>
    <m/>
    <m/>
    <n v="8"/>
    <s v="Posiciones Propias"/>
    <n v="8.8000000000000007"/>
    <s v="Instrumentos de deuda"/>
    <s v="8.8.1"/>
    <s v="Bonos Corporativos"/>
    <s v="Gerencia de Finanzas"/>
    <x v="7"/>
    <s v="Finanzas"/>
    <n v="15"/>
  </r>
  <r>
    <n v="3"/>
    <s v="Negociación y Ventas"/>
    <n v="3.1"/>
    <s v="Posiciones Propias"/>
    <m/>
    <m/>
    <n v="8"/>
    <s v="Posiciones Propias"/>
    <n v="8.8000000000000007"/>
    <s v="Instrumentos de deuda"/>
    <s v="8.8.2"/>
    <s v="Bonos Subordinados"/>
    <s v="Gerencia de Finanzas"/>
    <x v="7"/>
    <s v="Finanzas"/>
    <n v="15"/>
  </r>
  <r>
    <n v="3"/>
    <s v="Negociación y Ventas"/>
    <n v="3.1"/>
    <s v="Posiciones Propias"/>
    <m/>
    <m/>
    <n v="8"/>
    <s v="Posiciones Propias"/>
    <n v="8.8000000000000007"/>
    <s v="Instrumentos de deuda"/>
    <s v="8.8.3"/>
    <s v="Certificados de Depósito"/>
    <s v="Gerencia de Finanzas"/>
    <x v="7"/>
    <s v="Finanzas"/>
    <n v="15"/>
  </r>
  <r>
    <n v="4"/>
    <s v="Liquidación y Pagos"/>
    <n v="4.0999999999999996"/>
    <s v="Clientes Externos"/>
    <m/>
    <m/>
    <n v="9"/>
    <s v="Recaudación"/>
    <n v="9.1"/>
    <s v="Recaudación"/>
    <s v="9.1.1"/>
    <s v="Recaudación"/>
    <s v="Gerencia de Canales Alternativos"/>
    <x v="8"/>
    <s v="Servicios"/>
    <n v="7.5"/>
  </r>
  <r>
    <n v="5"/>
    <s v="Otros Servicios"/>
    <n v="5.0999999999999996"/>
    <s v="Otros Servicios"/>
    <m/>
    <m/>
    <n v="10"/>
    <s v="Seguros"/>
    <n v="10.1"/>
    <s v="Seguros Optativos"/>
    <s v="10.1.1"/>
    <s v="Vida Caja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"/>
    <s v="Seguros Optativos"/>
    <s v="10.1.2"/>
    <s v="Seguro vida Mi Familia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"/>
    <s v="Seguros Optativos"/>
    <s v="10.1.3"/>
    <s v="Protección de Tarjetas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"/>
    <s v="Seguros Optativos"/>
    <s v="10.1.4"/>
    <s v="Oncocaja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"/>
    <s v="Seguros Optativos"/>
    <s v="10.2.1"/>
    <s v="SOAT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"/>
    <s v="Seguros Optativos"/>
    <s v="10.2.2"/>
    <s v="Retiro Seguro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99999999999999"/>
    <s v="Seguros Vinculados"/>
    <s v="10.2.3"/>
    <s v="Vehicular"/>
    <s v="Gerencia de Estrategia de Negocios y Segmentos"/>
    <x v="9"/>
    <s v="Seguros"/>
    <n v="15"/>
  </r>
  <r>
    <n v="5"/>
    <s v="Otros Servicios"/>
    <n v="5.0999999999999996"/>
    <s v="Otros Servicios"/>
    <m/>
    <m/>
    <n v="10"/>
    <s v="Seguros"/>
    <n v="10.199999999999999"/>
    <s v="Seguros Vinculados"/>
    <s v="10.2.4"/>
    <s v="Desgravamen"/>
    <s v="Gerencia de Estrategia de Negocios y Segmentos"/>
    <x v="9"/>
    <s v="Seguros"/>
    <n v="15"/>
  </r>
  <r>
    <n v="6"/>
    <s v="Procesos de Soporte"/>
    <n v="6.1"/>
    <s v="Procesos de Soporte"/>
    <m/>
    <m/>
    <n v="11"/>
    <s v="Procesos de Soporte"/>
    <n v="11.1"/>
    <s v="Gestión Humana"/>
    <s v="11.1.1"/>
    <s v="Gestión Humana"/>
    <s v="Gerencia de Personas y Desarrollo Organizacional"/>
    <x v="10"/>
    <s v="Proceso soporte"/>
    <n v="1"/>
  </r>
  <r>
    <n v="6"/>
    <s v="Procesos de Soporte"/>
    <n v="6.1"/>
    <s v="Procesos de Soporte"/>
    <m/>
    <m/>
    <n v="11"/>
    <s v="Procesos de Soporte"/>
    <n v="11.2"/>
    <s v="Gestión Administrativa"/>
    <s v="11.2.1"/>
    <s v="Gestión Administrativa"/>
    <s v="Gerencia de Administración"/>
    <x v="11"/>
    <s v="Proceso soporte"/>
    <n v="1"/>
  </r>
  <r>
    <n v="6"/>
    <s v="Procesos de Soporte"/>
    <n v="6.1"/>
    <s v="Procesos de Soporte"/>
    <m/>
    <m/>
    <n v="11"/>
    <s v="Procesos de Soporte"/>
    <n v="11.3"/>
    <s v="Gestión de Canales Tradicionales"/>
    <s v="11.3.1"/>
    <s v="Gestión de Canales Tradicionales"/>
    <s v="Gerencia de Operaciones"/>
    <x v="12"/>
    <s v="Proceso soporte"/>
    <n v="1"/>
  </r>
  <r>
    <n v="6"/>
    <s v="Procesos de Soporte"/>
    <n v="6.1"/>
    <s v="Procesos de Soporte"/>
    <m/>
    <m/>
    <n v="11"/>
    <s v="Procesos de Soporte"/>
    <n v="11.4"/>
    <s v="Gestión Contable y Tributaria"/>
    <s v="11.4.1"/>
    <s v="Gestión Contable y Tributaria"/>
    <s v="Gerencia de Contabilidad y Tributaria"/>
    <x v="13"/>
    <s v="Proceso soporte"/>
    <n v="1"/>
  </r>
  <r>
    <n v="6"/>
    <s v="Procesos de Soporte"/>
    <n v="6.1"/>
    <s v="Procesos de Soporte"/>
    <m/>
    <m/>
    <n v="11"/>
    <s v="Procesos de Soporte"/>
    <n v="11.5"/>
    <s v="Gestión Legal"/>
    <s v="11.5.1"/>
    <s v="Gestión Legal"/>
    <s v="Gerencia Legal"/>
    <x v="14"/>
    <s v="Proceso soporte"/>
    <n v="1"/>
  </r>
  <r>
    <n v="6"/>
    <s v="Procesos de Soporte"/>
    <n v="6.1"/>
    <s v="Procesos de Soporte"/>
    <m/>
    <m/>
    <n v="11"/>
    <s v="Procesos de Soporte"/>
    <n v="11.6"/>
    <s v="Gestión de Canales Alternativos"/>
    <s v="11.6.1"/>
    <s v="Gestión de Canales Alternativos"/>
    <s v="Gerencia de Canales Alternativos"/>
    <x v="8"/>
    <s v="Canales"/>
    <n v="1"/>
  </r>
  <r>
    <n v="6"/>
    <s v="Procesos de Soporte"/>
    <n v="6.1"/>
    <s v="Procesos de Soporte"/>
    <m/>
    <m/>
    <n v="11"/>
    <s v="Procesos de Soporte"/>
    <n v="11.7"/>
    <s v="Gestión de TI"/>
    <s v="11.7.1"/>
    <s v="Gestión de TI"/>
    <s v="Gerencia de TI"/>
    <x v="15"/>
    <s v="Proceso soporte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s v="Banca Minorista"/>
    <n v="5"/>
    <n v="204105094.10999998"/>
    <n v="1279534113.4900002"/>
    <n v="200573"/>
    <n v="11290.136284153003"/>
    <n v="0.38461538461538464"/>
    <n v="0.19073034246099874"/>
    <n v="0.1033470189580986"/>
    <n v="0.10432605709369648"/>
    <n v="2.1986118353199698E-2"/>
    <s v="Si"/>
    <n v="2"/>
    <m/>
    <m/>
    <s v="No"/>
    <s v="Activo"/>
  </r>
  <r>
    <x v="1"/>
    <s v="Banca Minorista"/>
    <n v="5"/>
    <n v="272652376.43000001"/>
    <n v="1074706062.4600003"/>
    <n v="83397"/>
    <n v="60234.220678571415"/>
    <n v="0.38461538461538464"/>
    <n v="0.25478580706698384"/>
    <n v="8.6803209574845899E-2"/>
    <n v="4.337812259597755E-2"/>
    <n v="0.1172985579111786"/>
    <s v="Si"/>
    <n v="2"/>
    <m/>
    <m/>
    <s v="No"/>
    <s v="Activo"/>
  </r>
  <r>
    <x v="2"/>
    <s v="Banca Minorista"/>
    <n v="5"/>
    <n v="187553558.92999998"/>
    <n v="750145287.39999998"/>
    <n v="44575"/>
    <n v="39341.562323232312"/>
    <n v="0.38461538461538464"/>
    <n v="0.17526340868895232"/>
    <n v="6.0588677098105358E-2"/>
    <n v="2.3185244249981404E-2"/>
    <n v="7.6612737319428956E-2"/>
    <s v="Si"/>
    <m/>
    <m/>
    <m/>
    <s v="No"/>
    <s v="Ingresar información"/>
  </r>
  <r>
    <x v="3"/>
    <s v="Banca Minorista"/>
    <n v="4"/>
    <n v="76138607.590000004"/>
    <n v="551999297.88999999"/>
    <n v="21015"/>
    <n v="84845.966363636369"/>
    <n v="0.30769230769230771"/>
    <n v="7.1149339821562074E-2"/>
    <n v="4.4584572855423742E-2"/>
    <n v="1.0930743867938512E-2"/>
    <n v="0.1652268326362773"/>
    <s v="Si"/>
    <n v="2"/>
    <m/>
    <m/>
    <s v="No"/>
    <s v="Activo"/>
  </r>
  <r>
    <x v="4"/>
    <s v="Banca Minorista"/>
    <n v="4"/>
    <n v="121884260.92"/>
    <n v="573959400.70000005"/>
    <n v="77097"/>
    <n v="15931.437196969693"/>
    <n v="0.30769230769230771"/>
    <n v="0.11389733767913024"/>
    <n v="4.6358274031109203E-2"/>
    <n v="4.0101240065974569E-2"/>
    <n v="3.1024467281301853E-2"/>
    <s v="Si"/>
    <n v="2"/>
    <m/>
    <m/>
    <s v="No"/>
    <s v="Activo"/>
  </r>
  <r>
    <x v="5"/>
    <s v="Banca Minorista"/>
    <n v="5"/>
    <n v="0"/>
    <n v="1509934000"/>
    <n v="1203225"/>
    <n v="10048.805245901642"/>
    <n v="0.38461538461538464"/>
    <n v="0"/>
    <n v="0.12195624647931451"/>
    <n v="0.62584555272425968"/>
    <n v="1.9568782509273509E-2"/>
    <s v="Si"/>
    <n v="1"/>
    <m/>
    <m/>
    <s v="Si"/>
    <s v="Pasivo"/>
  </r>
  <r>
    <x v="6"/>
    <s v="Banca Minorista"/>
    <n v="5"/>
    <n v="36740790.82"/>
    <n v="200695381.83000001"/>
    <n v="11190"/>
    <n v="36754.194117647065"/>
    <n v="0.38461538461538464"/>
    <n v="3.4333212730152954E-2"/>
    <n v="1.6210016764785493E-2"/>
    <n v="5.8203675413862465E-3"/>
    <n v="7.1574163633551541E-2"/>
    <s v="Si"/>
    <n v="2"/>
    <m/>
    <m/>
    <s v="No"/>
    <s v="Activo"/>
  </r>
  <r>
    <x v="7"/>
    <s v="Banca Minorista"/>
    <n v="5"/>
    <n v="31054882.840000004"/>
    <n v="128276772.09"/>
    <n v="7553"/>
    <n v="25611.051851851851"/>
    <n v="0.38461538461538464"/>
    <n v="2.9019895191676134E-2"/>
    <n v="1.036081950242785E-2"/>
    <n v="3.9286180554146842E-3"/>
    <n v="4.9874297616327889E-2"/>
    <s v="Si"/>
    <n v="2"/>
    <m/>
    <m/>
    <s v="No"/>
    <s v="Activo"/>
  </r>
  <r>
    <x v="8"/>
    <s v="Banca Minorista"/>
    <n v="4"/>
    <n v="26944203.220000003"/>
    <n v="194908213.10999998"/>
    <n v="3090"/>
    <n v="12222.263333333334"/>
    <n v="0.30769230769230771"/>
    <n v="2.5178583268086887E-2"/>
    <n v="1.5742591450279227E-2"/>
    <n v="1.6072328599538428E-3"/>
    <n v="2.3801318374501747E-2"/>
    <s v="Si"/>
    <n v="2"/>
    <m/>
    <m/>
    <s v="No"/>
    <s v="Activo"/>
  </r>
  <r>
    <x v="9"/>
    <s v="Banca Comercial"/>
    <n v="4"/>
    <n v="18652146.559999999"/>
    <n v="161254698.60999998"/>
    <n v="280"/>
    <n v="30600.57"/>
    <n v="0.30769230769230771"/>
    <n v="1.742989471445652E-2"/>
    <n v="1.3024422106945557E-2"/>
    <n v="1.4563922355568802E-4"/>
    <n v="5.9590755750194672E-2"/>
    <s v="Si"/>
    <n v="3"/>
    <m/>
    <m/>
    <s v="No"/>
    <s v="Activo"/>
  </r>
  <r>
    <x v="10"/>
    <s v="Banca Minorista"/>
    <n v="5"/>
    <n v="0"/>
    <n v="2455111000"/>
    <n v="67477"/>
    <n v="81186.671428571426"/>
    <n v="0.38461538461538464"/>
    <n v="0"/>
    <n v="0.19829748998967922"/>
    <n v="3.5097492456668433E-2"/>
    <n v="0.15810081666032066"/>
    <s v="Si"/>
    <n v="1"/>
    <m/>
    <m/>
    <s v="Si"/>
    <s v="Pasivo"/>
  </r>
  <r>
    <x v="11"/>
    <s v="Banca Minorista"/>
    <n v="5"/>
    <n v="0"/>
    <n v="579357000"/>
    <n v="60440"/>
    <n v="3916.8672727272728"/>
    <n v="0.38461538461538464"/>
    <n v="0"/>
    <n v="4.6794234113223636E-2"/>
    <n v="3.1437266684663512E-2"/>
    <n v="7.6276056607776279E-3"/>
    <s v="Si"/>
    <n v="2"/>
    <m/>
    <m/>
    <s v="Si"/>
    <s v="Pasivo"/>
  </r>
  <r>
    <x v="12"/>
    <s v="Banca Minorista"/>
    <n v="5"/>
    <n v="34742789.959999979"/>
    <n v="277439319.18999982"/>
    <n v="1638"/>
    <n v="28024.928000000004"/>
    <n v="0.38461538461538464"/>
    <n v="3.2466138368648798E-2"/>
    <n v="2.2408567522943935E-2"/>
    <n v="8.5198945780077487E-4"/>
    <n v="5.4575017372708805E-2"/>
    <s v="Si"/>
    <n v="2"/>
    <m/>
    <m/>
    <s v="No"/>
    <s v="Activo"/>
  </r>
  <r>
    <x v="13"/>
    <s v="Negociación y Ventas"/>
    <n v="1"/>
    <n v="6989876.9900000002"/>
    <n v="684657467.78999996"/>
    <n v="6"/>
    <n v="0"/>
    <n v="7.6923076923076927E-2"/>
    <n v="6.5318390894469926E-3"/>
    <n v="5.5299274601208113E-2"/>
    <n v="3.1208405047647431E-6"/>
    <n v="0"/>
    <s v="Si"/>
    <n v="2"/>
    <m/>
    <m/>
    <s v="No"/>
    <s v="Finanzas"/>
  </r>
  <r>
    <x v="14"/>
    <s v="Negociación y Ventas"/>
    <n v="1"/>
    <n v="2687079.68"/>
    <n v="456601001.19"/>
    <n v="1"/>
    <n v="0"/>
    <n v="7.6923076923076927E-2"/>
    <n v="2.5109987079018278E-3"/>
    <n v="3.6879323363689681E-2"/>
    <n v="5.2014008412745721E-7"/>
    <n v="0"/>
    <m/>
    <m/>
    <m/>
    <m/>
    <s v="No"/>
    <s v="Ingresar información"/>
  </r>
  <r>
    <x v="15"/>
    <s v="Liquidación y Pagos"/>
    <n v="1"/>
    <n v="3869642.24"/>
    <n v="68536830.829999998"/>
    <n v="416"/>
    <n v="0"/>
    <n v="7.6923076923076927E-2"/>
    <n v="3.6160694217606281E-3"/>
    <n v="5.5356688660660406E-3"/>
    <n v="2.163782749970222E-4"/>
    <n v="0"/>
    <s v="Si"/>
    <n v="6"/>
    <m/>
    <m/>
    <s v="No"/>
    <s v="Servicios"/>
  </r>
  <r>
    <x v="16"/>
    <s v="Banca Comercial"/>
    <n v="4"/>
    <n v="0"/>
    <n v="300581000"/>
    <n v="25348"/>
    <n v="5059"/>
    <n v="0.30769230769230771"/>
    <n v="0"/>
    <n v="2.4277703875135493E-2"/>
    <n v="1.3184510852462786E-2"/>
    <n v="9.8517652886934738E-3"/>
    <s v="Si"/>
    <n v="1"/>
    <m/>
    <m/>
    <s v="No"/>
    <s v="Pasivo"/>
  </r>
  <r>
    <x v="17"/>
    <s v="Otros Servicios"/>
    <n v="2"/>
    <n v="19917030.91"/>
    <n v="0"/>
    <n v="70416"/>
    <n v="0"/>
    <n v="0.15384615384615385"/>
    <n v="1.8611892774333644E-2"/>
    <n v="0"/>
    <n v="3.6626184163919023E-2"/>
    <n v="0"/>
    <s v="Si"/>
    <n v="18"/>
    <m/>
    <m/>
    <s v="No"/>
    <s v="Ingresar información"/>
  </r>
  <r>
    <x v="18"/>
    <s v="Negociación y Ventas"/>
    <n v="1"/>
    <n v="5483124.2799999714"/>
    <n v="0"/>
    <n v="18820"/>
    <n v="0"/>
    <n v="7.6923076923076927E-2"/>
    <n v="5.1238220008217499E-3"/>
    <n v="0"/>
    <n v="9.7890363832787448E-3"/>
    <n v="0"/>
    <s v="Si"/>
    <n v="6"/>
    <m/>
    <m/>
    <s v="No"/>
    <s v="Finanzas"/>
  </r>
  <r>
    <x v="19"/>
    <s v="Negociación y Ventas"/>
    <n v="1"/>
    <n v="0"/>
    <n v="381887885.22000003"/>
    <n v="4"/>
    <n v="0"/>
    <n v="7.6923076923076927E-2"/>
    <n v="0"/>
    <n v="3.0844800539198726E-2"/>
    <n v="2.0805603365098289E-6"/>
    <n v="0"/>
    <m/>
    <m/>
    <m/>
    <m/>
    <s v="No"/>
    <s v="Finanzas"/>
  </r>
  <r>
    <x v="20"/>
    <s v="Negociación y Ventas"/>
    <n v="1"/>
    <n v="0"/>
    <n v="467927789.47000003"/>
    <n v="1"/>
    <n v="0"/>
    <n v="7.6923076923076927E-2"/>
    <n v="0"/>
    <n v="3.7794179631112423E-2"/>
    <n v="5.2014008412745721E-7"/>
    <n v="0"/>
    <s v="Si"/>
    <n v="1"/>
    <m/>
    <m/>
    <s v="No"/>
    <s v="Finanzas"/>
  </r>
  <r>
    <x v="21"/>
    <s v="Banca Minorista"/>
    <n v="4"/>
    <n v="1490151.5199999998"/>
    <n v="10194690.939999999"/>
    <n v="218"/>
    <n v="21151.690000000002"/>
    <n v="0.30769230769230771"/>
    <n v="1.3925037538514466E-3"/>
    <n v="8.2341760703386665E-4"/>
    <n v="1.1339053833978567E-4"/>
    <n v="4.1190252093141901E-2"/>
    <s v="Si"/>
    <n v="2"/>
    <m/>
    <m/>
    <s v="No"/>
    <s v="Activo"/>
  </r>
  <r>
    <x v="22"/>
    <s v="Banca Comercial"/>
    <n v="1"/>
    <n v="3995022.71"/>
    <n v="25000000"/>
    <n v="1"/>
    <n v="0"/>
    <n v="7.6923076923076927E-2"/>
    <n v="3.733233866309635E-3"/>
    <n v="2.0192314114278256E-3"/>
    <n v="5.2014008412745721E-7"/>
    <n v="0"/>
    <m/>
    <m/>
    <m/>
    <m/>
    <s v="No"/>
    <s v="Pasivo"/>
  </r>
  <r>
    <x v="23"/>
    <s v="Banca Minorista"/>
    <n v="4"/>
    <n v="2502639.86"/>
    <n v="4487462.04"/>
    <n v="2909"/>
    <n v="771.79"/>
    <n v="0.30769230769230771"/>
    <n v="2.3386449987235253E-3"/>
    <n v="3.6244897235031959E-4"/>
    <n v="1.5130875047267729E-3"/>
    <n v="1.5029638134336303E-3"/>
    <s v="Si"/>
    <n v="2"/>
    <m/>
    <m/>
    <s v="No"/>
    <s v="Activo"/>
  </r>
  <r>
    <x v="24"/>
    <s v="Banca Minorista"/>
    <n v="4"/>
    <n v="3624143.98"/>
    <n v="24428007.68"/>
    <n v="2670"/>
    <n v="0"/>
    <n v="0.30769230769230771"/>
    <n v="3.3866583558215088E-3"/>
    <n v="1.9730320170422465E-3"/>
    <n v="1.3887740246203107E-3"/>
    <n v="0"/>
    <m/>
    <m/>
    <m/>
    <m/>
    <s v="No"/>
    <s v="Ingresar información"/>
  </r>
  <r>
    <x v="25"/>
    <s v="Banca Comercial"/>
    <n v="4"/>
    <n v="1232554.2"/>
    <n v="46981623.109999999"/>
    <n v="277"/>
    <n v="0"/>
    <n v="0.30769230769230771"/>
    <n v="1.1517864641881295E-3"/>
    <n v="3.794670765743018E-3"/>
    <n v="1.4407880330330564E-4"/>
    <n v="0"/>
    <s v="Si"/>
    <n v="3"/>
    <m/>
    <m/>
    <s v="No"/>
    <s v="Activo"/>
  </r>
  <r>
    <x v="26"/>
    <s v="Banca Comercial"/>
    <n v="4"/>
    <n v="1572882.65"/>
    <n v="12373170.84"/>
    <n v="128"/>
    <n v="0"/>
    <n v="0.30769230769230771"/>
    <n v="1.4698136163313186E-3"/>
    <n v="9.9937180876363265E-4"/>
    <n v="6.6577930768314523E-5"/>
    <n v="0"/>
    <s v="Si"/>
    <n v="3"/>
    <m/>
    <m/>
    <s v="No"/>
    <s v="Activo"/>
  </r>
  <r>
    <x v="27"/>
    <s v="Negociación y Ventas"/>
    <n v="1"/>
    <n v="1268781.4699999976"/>
    <n v="0"/>
    <n v="7"/>
    <n v="0"/>
    <n v="7.6923076923076927E-2"/>
    <n v="1.1856398064756216E-3"/>
    <n v="0"/>
    <n v="3.6409805888922004E-6"/>
    <n v="0"/>
    <s v="Si"/>
    <n v="2"/>
    <m/>
    <m/>
    <s v="No"/>
    <s v="Finanzas"/>
  </r>
  <r>
    <x v="28"/>
    <s v="Negociación y Ventas"/>
    <n v="1"/>
    <n v="1904256.96"/>
    <n v="0"/>
    <n v="5"/>
    <n v="0"/>
    <n v="7.6923076923076927E-2"/>
    <n v="1.7794733820744243E-3"/>
    <n v="0"/>
    <n v="2.6007004206372862E-6"/>
    <n v="0"/>
    <s v="Si"/>
    <n v="3"/>
    <m/>
    <m/>
    <s v="No"/>
    <s v="Finanzas"/>
  </r>
  <r>
    <x v="29"/>
    <s v="Banca Comercial"/>
    <n v="4"/>
    <n v="0"/>
    <n v="59627000"/>
    <n v="129"/>
    <n v="0"/>
    <n v="0.30769230769230771"/>
    <n v="0"/>
    <n v="4.8160284547682786E-3"/>
    <n v="6.7098070852441983E-5"/>
    <n v="0"/>
    <s v="Si"/>
    <n v="1"/>
    <m/>
    <m/>
    <s v="No"/>
    <s v="Pasivo"/>
  </r>
  <r>
    <x v="30"/>
    <s v="Negociación y Ventas"/>
    <n v="1"/>
    <n v="0"/>
    <n v="77640000"/>
    <n v="3"/>
    <n v="0"/>
    <n v="7.6923076923076927E-2"/>
    <n v="0"/>
    <n v="6.270925071330256E-3"/>
    <n v="1.5604202523823715E-6"/>
    <n v="0"/>
    <m/>
    <m/>
    <m/>
    <m/>
    <s v="No"/>
    <s v="Finanzas"/>
  </r>
  <r>
    <x v="31"/>
    <s v="Otros Servicios"/>
    <n v="3"/>
    <n v="1214555.8899999999"/>
    <n v="0"/>
    <n v="19535"/>
    <n v="0"/>
    <n v="0.23076923076923078"/>
    <n v="1.1349675609413092E-3"/>
    <n v="0"/>
    <n v="1.0160936543429876E-2"/>
    <n v="0"/>
    <m/>
    <m/>
    <m/>
    <m/>
    <s v="No"/>
    <s v="Ingresar información"/>
  </r>
  <r>
    <x v="32"/>
    <s v="Negociación y Ventas"/>
    <n v="1"/>
    <n v="41734.53"/>
    <n v="0"/>
    <n v="5"/>
    <n v="42521.880000000005"/>
    <n v="7.6923076923076927E-2"/>
    <n v="3.8999718424758456E-5"/>
    <n v="0"/>
    <n v="2.6007004206372862E-6"/>
    <n v="8.2806005414902017E-2"/>
    <m/>
    <m/>
    <m/>
    <m/>
    <s v="No"/>
    <s v="Finanzas"/>
  </r>
  <r>
    <x v="33"/>
    <s v="Banca Minorista"/>
    <n v="4"/>
    <n v="788955.93"/>
    <n v="3691476.96"/>
    <n v="65"/>
    <n v="3998.9966666666664"/>
    <n v="0.30769230769230771"/>
    <n v="7.3725663424371727E-4"/>
    <n v="2.9815784928776399E-4"/>
    <n v="3.3809105468284721E-5"/>
    <n v="7.7875423107862368E-3"/>
    <s v="Si"/>
    <n v="2"/>
    <m/>
    <m/>
    <s v="No"/>
    <s v="Activo"/>
  </r>
  <r>
    <x v="34"/>
    <s v="Banca Minorista"/>
    <n v="5"/>
    <n v="85094.57"/>
    <n v="2630550.4499999997"/>
    <n v="30"/>
    <n v="0"/>
    <n v="0.38461538461538464"/>
    <n v="7.9518429211396385E-5"/>
    <n v="2.1246760391942406E-4"/>
    <n v="1.5604202523823715E-5"/>
    <n v="0"/>
    <s v="Si"/>
    <n v="3"/>
    <m/>
    <m/>
    <s v="No"/>
    <s v="Activo"/>
  </r>
  <r>
    <x v="35"/>
    <s v="Banca Comercial"/>
    <n v="4"/>
    <n v="153346.92000000001"/>
    <n v="784232.91"/>
    <n v="4"/>
    <n v="0"/>
    <n v="0.30769230769230771"/>
    <n v="1.4329828804359273E-4"/>
    <n v="6.3341909029898043E-5"/>
    <n v="2.0805603365098289E-6"/>
    <n v="0"/>
    <s v="Si"/>
    <n v="3"/>
    <m/>
    <m/>
    <s v="No"/>
    <s v="Activo"/>
  </r>
  <r>
    <x v="36"/>
    <s v="Negociación y Ventas"/>
    <n v="1"/>
    <n v="834293.34"/>
    <n v="14682404.609999999"/>
    <n v="5"/>
    <n v="0"/>
    <n v="7.6923076923076927E-2"/>
    <n v="7.7962314044632277E-4"/>
    <n v="1.1858869033521886E-3"/>
    <n v="2.6007004206372862E-6"/>
    <n v="0"/>
    <s v="Si"/>
    <n v="2"/>
    <m/>
    <m/>
    <s v="No"/>
    <s v="Finanzas"/>
  </r>
  <r>
    <x v="37"/>
    <s v="Banca Comercial"/>
    <n v="4"/>
    <n v="0"/>
    <n v="915302.5"/>
    <n v="6"/>
    <n v="0"/>
    <n v="0.30769230769230771"/>
    <n v="0"/>
    <n v="7.3928302358336692E-5"/>
    <n v="3.1208405047647431E-6"/>
    <n v="0"/>
    <s v="Si"/>
    <n v="3"/>
    <m/>
    <m/>
    <s v="No"/>
    <s v="Activo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Procesos de Soporte"/>
    <n v="3"/>
    <n v="4771576.55"/>
    <n v="47"/>
    <n v="3958"/>
    <n v="17743.363269230769"/>
    <n v="0.25"/>
    <n v="3.7196446051604069E-2"/>
    <n v="1"/>
    <n v="1"/>
    <n v="6.6831264210403488E-2"/>
    <s v="No"/>
    <m/>
    <m/>
    <m/>
    <s v="Si"/>
  </r>
  <r>
    <x v="1"/>
    <s v="Procesos de Soporte"/>
    <n v="4"/>
    <n v="10375716.93"/>
    <n v="47"/>
    <n v="487"/>
    <n v="63521.365384615368"/>
    <n v="0.33333333333333331"/>
    <n v="8.0883077320316701E-2"/>
    <n v="1"/>
    <n v="0.12304194037392623"/>
    <n v="0.23925639624290077"/>
    <s v="No"/>
    <m/>
    <m/>
    <m/>
    <s v="Si"/>
  </r>
  <r>
    <x v="2"/>
    <s v="Procesos de Soporte"/>
    <n v="4"/>
    <n v="86359390.399999961"/>
    <n v="35"/>
    <n v="982"/>
    <n v="45263.288499999988"/>
    <n v="0.33333333333333331"/>
    <n v="0.67320776946626015"/>
    <n v="0.74468085106382975"/>
    <n v="0.24810510358767054"/>
    <n v="0.17048643748510484"/>
    <s v="Si"/>
    <n v="4"/>
    <m/>
    <m/>
    <s v="No"/>
  </r>
  <r>
    <x v="3"/>
    <s v="Procesos de Soporte"/>
    <n v="5"/>
    <n v="2160049.65"/>
    <n v="32"/>
    <n v="916"/>
    <n v="7765.7714285714255"/>
    <n v="0.41666666666666669"/>
    <n v="1.6838495502081226E-2"/>
    <n v="0.68085106382978722"/>
    <n v="0.2314300151591713"/>
    <n v="2.9250166062961953E-2"/>
    <s v="Si"/>
    <n v="4"/>
    <m/>
    <m/>
    <s v="No"/>
  </r>
  <r>
    <x v="4"/>
    <s v="Procesos de Soporte"/>
    <n v="4"/>
    <n v="1150044.8099999996"/>
    <n v="47"/>
    <n v="468"/>
    <n v="116322.07034482757"/>
    <n v="0.33333333333333331"/>
    <n v="8.9650829833364479E-3"/>
    <n v="1"/>
    <n v="0.11824153612935827"/>
    <n v="0.43813288939404876"/>
    <s v="No"/>
    <m/>
    <m/>
    <m/>
    <s v="No"/>
  </r>
  <r>
    <x v="5"/>
    <s v="Procesos de Soporte"/>
    <n v="4"/>
    <n v="1415774.23"/>
    <n v="37"/>
    <n v="507"/>
    <n v="14879.092857142856"/>
    <n v="0.33333333333333331"/>
    <n v="1.1036555573533929E-2"/>
    <n v="0.78723404255319152"/>
    <n v="0.12809499747347144"/>
    <n v="5.6042846604580136E-2"/>
    <s v="No"/>
    <m/>
    <m/>
    <m/>
    <s v="No"/>
  </r>
  <r>
    <x v="6"/>
    <s v="Procesos de Soporte"/>
    <n v="5"/>
    <n v="10533947.210000001"/>
    <n v="47"/>
    <n v="3958"/>
    <n v="0"/>
    <n v="0.41666666666666669"/>
    <n v="8.2116548901894959E-2"/>
    <n v="1"/>
    <n v="1"/>
    <n v="0"/>
    <s v="Si"/>
    <n v="1"/>
    <m/>
    <m/>
    <s v="No"/>
  </r>
  <r>
    <x v="7"/>
    <s v="Procesos de Soporte"/>
    <n v="3"/>
    <n v="3127898.7"/>
    <n v="40"/>
    <n v="3883"/>
    <n v="0"/>
    <n v="0.25"/>
    <n v="2.4383285907764073E-2"/>
    <n v="0.85106382978723405"/>
    <n v="0.98105103587670539"/>
    <n v="0"/>
    <s v="No"/>
    <m/>
    <m/>
    <m/>
    <s v="No"/>
  </r>
  <r>
    <x v="8"/>
    <s v="Procesos de Soporte"/>
    <n v="3"/>
    <n v="8386043.7800000003"/>
    <n v="33"/>
    <n v="3599"/>
    <n v="0"/>
    <n v="0.25"/>
    <n v="6.5372738293208332E-2"/>
    <n v="0.7021276595744681"/>
    <n v="0.90929762506316325"/>
    <n v="0"/>
    <s v="No"/>
    <m/>
    <m/>
    <m/>
    <s v="Si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">
  <r>
    <n v="3"/>
    <n v="73"/>
    <x v="0"/>
    <s v="Jr. 25 de Diciembre Nº 601 Esq. Jirón Cusco - Plaza de Armas"/>
    <s v="PUNO"/>
    <s v="MELGAR"/>
    <s v="AYAVIRI"/>
    <s v="210801"/>
    <x v="0"/>
  </r>
  <r>
    <n v="3"/>
    <n v="103"/>
    <x v="1"/>
    <s v="Jr. Puno Nº 289 - Plaza de Armas"/>
    <s v="PUNO"/>
    <s v="AZANGARO"/>
    <s v="AZANGARO"/>
    <s v="210201"/>
    <x v="0"/>
  </r>
  <r>
    <n v="3"/>
    <n v="121"/>
    <x v="2"/>
    <s v="Jr. Noriega N° 321 - 325"/>
    <s v="PUNO"/>
    <s v="SAN ROMAN"/>
    <s v="JULIACA"/>
    <s v="211101"/>
    <x v="0"/>
  </r>
  <r>
    <n v="3"/>
    <n v="70"/>
    <x v="3"/>
    <s v="Av. Panamericana N° 149"/>
    <s v="PUNO"/>
    <s v="CHUCUITO"/>
    <s v="DESAGUADERO"/>
    <s v="210402"/>
    <x v="0"/>
  </r>
  <r>
    <n v="3"/>
    <n v="20"/>
    <x v="4"/>
    <s v="Av. El Sol N° 270"/>
    <s v="PUNO"/>
    <s v="PUNO"/>
    <s v="PUNO"/>
    <s v="210101"/>
    <x v="0"/>
  </r>
  <r>
    <n v="3"/>
    <n v="97"/>
    <x v="5"/>
    <s v="Jr. Lima Nº 648 - 650"/>
    <s v="PUNO"/>
    <s v="HUANCANE"/>
    <s v="HUANCANE"/>
    <s v="210601"/>
    <x v="0"/>
  </r>
  <r>
    <n v="3"/>
    <n v="85"/>
    <x v="6"/>
    <s v="Jr. Atahualpa Nº 625 "/>
    <s v="PUNO"/>
    <s v="EL COLLAO"/>
    <s v="ILAVE"/>
    <s v="210501"/>
    <x v="0"/>
  </r>
  <r>
    <n v="3"/>
    <n v="8"/>
    <x v="7"/>
    <s v="Jr. 2 de Mayo Nº 203 Esq San Roman "/>
    <s v="PUNO"/>
    <s v="SAN ROMAN"/>
    <s v="JULIACA"/>
    <s v="211101"/>
    <x v="0"/>
  </r>
  <r>
    <n v="3"/>
    <n v="37"/>
    <x v="8"/>
    <s v="Av. Normal Nº 463 Esq. Jr. San Juan de Dios Nº 309"/>
    <s v="PUNO"/>
    <s v="SAN ROMAN"/>
    <s v="JULIACA"/>
    <s v="211101"/>
    <x v="0"/>
  </r>
  <r>
    <n v="5"/>
    <n v="86"/>
    <x v="9"/>
    <s v="Av. El Sol Nº 1369 -1371"/>
    <s v="PUNO"/>
    <s v="PUNO"/>
    <s v="PUNO"/>
    <s v="210101"/>
    <x v="0"/>
  </r>
  <r>
    <n v="3"/>
    <n v="90"/>
    <x v="10"/>
    <s v="Jr. 28 de Julio N° 300 Esq. Jr. Arequipa N° 101 - Plaza de Armas"/>
    <s v="PUNO"/>
    <s v="CARABAYA"/>
    <s v="MACUSANI"/>
    <s v="210301"/>
    <x v="0"/>
  </r>
  <r>
    <n v="3"/>
    <n v="76"/>
    <x v="11"/>
    <s v="Av. Circunvalación  N°101 / Esquina con Jirón Cahuide 1197 -1199"/>
    <s v="PUNO"/>
    <s v="SAN ROMAN"/>
    <s v="JULIACA"/>
    <s v="211101"/>
    <x v="0"/>
  </r>
  <r>
    <n v="3"/>
    <n v="13"/>
    <x v="12"/>
    <s v="Jr. Arequipa N° 385 Esq. Jr. Libertad N° 246"/>
    <s v="PUNO"/>
    <s v="PUNO"/>
    <s v="PUNO"/>
    <s v="210101"/>
    <x v="0"/>
  </r>
  <r>
    <n v="3"/>
    <n v="32"/>
    <x v="13"/>
    <s v="Jr. Raul Porras Barrenechea Nº 1213 Esq. Jr. Ayaviri"/>
    <s v="PUNO"/>
    <s v="SAN ROMAN"/>
    <s v="JULIACA"/>
    <s v="211101"/>
    <x v="0"/>
  </r>
  <r>
    <n v="3"/>
    <n v="146"/>
    <x v="14"/>
    <s v="Jr. 28 de Julio con Jr. Puno"/>
    <s v="PUNO"/>
    <s v="SANDIA"/>
    <s v="SANDIA"/>
    <s v="211201"/>
    <x v="0"/>
  </r>
  <r>
    <n v="3"/>
    <n v="19"/>
    <x v="15"/>
    <s v="Jr. Túpac Amaru Nº 895 - 897"/>
    <s v="PUNO"/>
    <s v="SAN ROMAN"/>
    <s v="JULIACA"/>
    <s v="211101"/>
    <x v="0"/>
  </r>
  <r>
    <n v="3"/>
    <n v="25"/>
    <x v="16"/>
    <s v=" Jr. San Martín 424"/>
    <s v="PUNO"/>
    <s v="YUNGUYO"/>
    <s v="YUNGUYO"/>
    <s v="211301"/>
    <x v="0"/>
  </r>
  <r>
    <n v="3"/>
    <n v="125"/>
    <x v="17"/>
    <s v="Av. Ramón Castilla N°1204 PPJJ Francisco Bolognesi Mz. N Lt. 3 Zn. B"/>
    <s v="AREQUIPA"/>
    <s v="AREQUIPA"/>
    <s v="CAYMA"/>
    <s v="040103"/>
    <x v="0"/>
  </r>
  <r>
    <n v="3"/>
    <n v="24"/>
    <x v="18"/>
    <s v="Av. Perú Nº 406 cruce con Av. Los Incas PP.JJ. Alto Libertad Mz. 16 Lte. 2-C  Zna. A"/>
    <s v="AREQUIPA"/>
    <s v="AREQUIPA"/>
    <s v="CERRO COLORADO"/>
    <s v="040104"/>
    <x v="0"/>
  </r>
  <r>
    <n v="3"/>
    <n v="135"/>
    <x v="19"/>
    <s v="Av. Tarapacá 1901"/>
    <s v="AREQUIPA"/>
    <s v="AREQUIPA"/>
    <s v="MIRAFLORES"/>
    <s v="040110"/>
    <x v="0"/>
  </r>
  <r>
    <n v="3"/>
    <n v="79"/>
    <x v="20"/>
    <s v="Av. Las Torres Cuadra 9 Coop. Los Eucaliptos Mz. A Lte.11 - Pampas de Polanco "/>
    <s v="AREQUIPA"/>
    <s v="AREQUIPA"/>
    <s v="ALTO SELVA ALEGRE"/>
    <s v="040102"/>
    <x v="0"/>
  </r>
  <r>
    <n v="3"/>
    <n v="4"/>
    <x v="21"/>
    <s v="Av. Ejército Nº 1002"/>
    <s v="AREQUIPA"/>
    <s v="AREQUIPA"/>
    <s v="CAYMA"/>
    <s v="040103"/>
    <x v="0"/>
  </r>
  <r>
    <n v="3"/>
    <n v="141"/>
    <x v="22"/>
    <s v="Av. Aviación N°606 B"/>
    <s v="AREQUIPA"/>
    <s v="AREQUIPA"/>
    <s v="CERRO COLORADO"/>
    <s v="040104"/>
    <x v="0"/>
  </r>
  <r>
    <n v="3"/>
    <n v="130"/>
    <x v="23"/>
    <s v="Asoc. Pro Vivienda Villa Aviación Mz G. Lt 11 Yura"/>
    <s v="AREQUIPA"/>
    <s v="AREQUIPA"/>
    <s v="YURA"/>
    <s v="040128"/>
    <x v="0"/>
  </r>
  <r>
    <n v="3"/>
    <n v="11"/>
    <x v="24"/>
    <s v="Calle La Merced Nº 100 - 106"/>
    <s v="AREQUIPA"/>
    <s v="AREQUIPA"/>
    <s v="AREQUIPA"/>
    <s v="040101"/>
    <x v="1"/>
  </r>
  <r>
    <n v="3"/>
    <n v="1"/>
    <x v="25"/>
    <s v="Calle Mercaderes Nº 241 Esq. Rivero Nº 101 - 103"/>
    <s v="AREQUIPA"/>
    <s v="AREQUIPA"/>
    <s v="AREQUIPA"/>
    <s v="040101"/>
    <x v="0"/>
  </r>
  <r>
    <n v="5"/>
    <n v="3"/>
    <x v="26"/>
    <s v="Av. Mariscal Castilla Nº 602 - 604 - 606"/>
    <s v="AREQUIPA"/>
    <s v="AREQUIPA"/>
    <s v="AREQUIPA"/>
    <s v="040101"/>
    <x v="0"/>
  </r>
  <r>
    <n v="3"/>
    <n v="30"/>
    <x v="27"/>
    <s v="Av. Aviación Km 9 Sub Lote 07 Vía Yura – Rio Seco"/>
    <s v="AREQUIPA"/>
    <s v="AREQUIPA"/>
    <s v="CERRO COLORADO"/>
    <s v="040104"/>
    <x v="0"/>
  </r>
  <r>
    <n v="3"/>
    <n v="7"/>
    <x v="28"/>
    <s v="Calle San Camilo Nº 118"/>
    <s v="AREQUIPA"/>
    <s v="AREQUIPA"/>
    <s v="AREQUIPA"/>
    <s v="040101"/>
    <x v="0"/>
  </r>
  <r>
    <n v="3"/>
    <n v="67"/>
    <x v="29"/>
    <s v="Av. Siglo XX Nº 112"/>
    <s v="AREQUIPA"/>
    <s v="AREQUIPA"/>
    <s v="AREQUIPA"/>
    <s v="040101"/>
    <x v="0"/>
  </r>
  <r>
    <n v="3"/>
    <n v="56"/>
    <x v="30"/>
    <s v="Calle Teniente Ferré Nº 210"/>
    <s v="AREQUIPA"/>
    <s v="AREQUIPA"/>
    <s v="MIRAFLORES"/>
    <s v="040110"/>
    <x v="0"/>
  </r>
  <r>
    <n v="3"/>
    <n v="140"/>
    <x v="31"/>
    <s v="Urb. Valencia Mz. C Lt.15 Umacollo Yanahuara - Arequipa"/>
    <s v="AREQUIPA"/>
    <s v="AREQUIPA"/>
    <s v="YANAHUARA"/>
    <s v="040126"/>
    <x v="1"/>
  </r>
  <r>
    <n v="5"/>
    <n v="160"/>
    <x v="32"/>
    <s v="Asentamiento Poblacional Cuidad de Dios Mz S Lt 1C Zona 3 Sector A - Yura"/>
    <s v="AREQUIPA"/>
    <s v="AREQUIPA"/>
    <s v="YURA"/>
    <s v="040128"/>
    <x v="0"/>
  </r>
  <r>
    <n v="3"/>
    <n v="164"/>
    <x v="33"/>
    <s v="Calle Francisco Ramirez S/N lote 1 Mza 116 "/>
    <s v="AREQUIPA"/>
    <s v="CARAVELI"/>
    <s v="ATICO"/>
    <s v="040303"/>
    <x v="0"/>
  </r>
  <r>
    <n v="3"/>
    <n v="71"/>
    <x v="34"/>
    <s v="Av. Vidaurrazaga s/n Fundo El Rosario Sub Lt. 3"/>
    <s v="AREQUIPA"/>
    <s v="AREQUIPA"/>
    <s v="JOSE LUIS BUSTAMANTE Y RIVERO"/>
    <s v="040129"/>
    <x v="0"/>
  </r>
  <r>
    <n v="3"/>
    <n v="5"/>
    <x v="35"/>
    <s v="Jr. Nicolás de Piérola Nº 112-114"/>
    <s v="AREQUIPA"/>
    <s v="CAMANA"/>
    <s v="CAMANA"/>
    <s v="040201"/>
    <x v="0"/>
  </r>
  <r>
    <n v="3"/>
    <n v="60"/>
    <x v="36"/>
    <s v="Urb. Manuel Prado Mz. 51 Lt. 9 "/>
    <s v="AREQUIPA"/>
    <s v="CARAVELI"/>
    <s v="CHALA"/>
    <s v="040307"/>
    <x v="0"/>
  </r>
  <r>
    <n v="3"/>
    <n v="59"/>
    <x v="37"/>
    <s v="Calle Miguel Grau Q-19 Plaza de Armas"/>
    <s v="AREQUIPA"/>
    <s v="CAYLLOMA"/>
    <s v="CHIVAY"/>
    <s v="040501"/>
    <x v="0"/>
  </r>
  <r>
    <n v="3"/>
    <n v="165"/>
    <x v="38"/>
    <s v="Calle Arequipa N° 113"/>
    <s v="AREQUIPA"/>
    <s v="LA UNION"/>
    <s v="COTAHUASI"/>
    <s v="040801"/>
    <x v="0"/>
  </r>
  <r>
    <n v="5"/>
    <n v="119"/>
    <x v="39"/>
    <s v="Urb. La Colina I Mz. A Lte. 22"/>
    <s v="AREQUIPA"/>
    <s v="AREQUIPA"/>
    <s v="JACOBO HUNTER"/>
    <s v="040107"/>
    <x v="0"/>
  </r>
  <r>
    <n v="3"/>
    <n v="136"/>
    <x v="40"/>
    <s v="Pueblo Joven Ciudad Israel Mz. A Lote 3 Zona A - Frente a Mercado Inmaculada Concepción"/>
    <s v="AREQUIPA"/>
    <s v="AREQUIPA"/>
    <s v="PAUCARPATA"/>
    <s v="040112"/>
    <x v="0"/>
  </r>
  <r>
    <n v="3"/>
    <n v="55"/>
    <x v="41"/>
    <s v="Av. Jesus N° 602 Esq. con Av. Argentina N° 100 - Urb 15 de Enero "/>
    <s v="AREQUIPA"/>
    <s v="AREQUIPA"/>
    <s v="PAUCARPATA"/>
    <s v="040112"/>
    <x v="0"/>
  </r>
  <r>
    <n v="3"/>
    <n v="42"/>
    <x v="42"/>
    <s v="AA. HH. El Triunfo Mz. F Lt. 1 Sector 1 Zn. A - Carretera Panamericana Sur"/>
    <s v="AREQUIPA"/>
    <s v="AREQUIPA"/>
    <s v="LA JOYA"/>
    <s v="040108"/>
    <x v="0"/>
  </r>
  <r>
    <n v="3"/>
    <n v="2"/>
    <x v="43"/>
    <s v="Av. Daniel Alcides Carrión Nº 271 - 273 - J.L.B. y Rivero"/>
    <s v="AREQUIPA"/>
    <s v="AREQUIPA"/>
    <s v="JOSE LUIS BUSTAMANTE Y RIVERO"/>
    <s v="040129"/>
    <x v="1"/>
  </r>
  <r>
    <n v="5"/>
    <n v="142"/>
    <x v="44"/>
    <s v="Av. Andres Avelino Cáceres N° 320"/>
    <s v="AREQUIPA"/>
    <s v="AREQUIPA"/>
    <s v="JOSE LUIS BUSTAMANTE Y RIVERO"/>
    <s v="040129"/>
    <x v="0"/>
  </r>
  <r>
    <n v="3"/>
    <n v="62"/>
    <x v="45"/>
    <s v="Av. Porongoche s/n Oficina LF-6 "/>
    <s v="AREQUIPA"/>
    <s v="AREQUIPA"/>
    <s v="PAUCARPATA"/>
    <s v="040112"/>
    <x v="0"/>
  </r>
  <r>
    <n v="3"/>
    <n v="38"/>
    <x v="46"/>
    <s v="Av. Jesús Nº 2510 Urb. Ampliacion Paucarpata Mz. P Lt. 12"/>
    <s v="AREQUIPA"/>
    <s v="AREQUIPA"/>
    <s v="PAUCARPATA"/>
    <s v="040112"/>
    <x v="0"/>
  </r>
  <r>
    <n v="3"/>
    <n v="75"/>
    <x v="47"/>
    <s v="Av. Socabaya N° 325 Urb. San Martin de Socabaya Zn. A"/>
    <s v="AREQUIPA"/>
    <s v="AREQUIPA"/>
    <s v="SOCABAYA"/>
    <s v="040122"/>
    <x v="0"/>
  </r>
  <r>
    <n v="3"/>
    <n v="84"/>
    <x v="48"/>
    <s v="Av. Los Próceres intersección con Agustín Gamarra N° 100 Urb. San Juan"/>
    <s v="PASCO"/>
    <s v="PASCO"/>
    <s v="YANACANCHA"/>
    <s v="190113"/>
    <x v="0"/>
  </r>
  <r>
    <n v="3"/>
    <n v="82"/>
    <x v="49"/>
    <s v="Jirón Tarma Nº 209 211 y 215 "/>
    <s v="JUNIN"/>
    <s v="CHANCHAMAYO"/>
    <s v="CHANCHAMAYO"/>
    <s v="120301"/>
    <x v="0"/>
  </r>
  <r>
    <n v="3"/>
    <n v="57"/>
    <x v="50"/>
    <s v="Av. Real N° 695 - Chilca"/>
    <s v="JUNIN"/>
    <s v="HUANCAYO"/>
    <s v="CHILCA"/>
    <s v="120107"/>
    <x v="0"/>
  </r>
  <r>
    <n v="3"/>
    <n v="104"/>
    <x v="51"/>
    <s v="Jr. Andrea Arauco N° 157, en el Centro Poblado Chupaca, Sector B, Mz 4, lote 18"/>
    <s v="JUNIN"/>
    <s v="CHUPACA"/>
    <s v="CHUPACA"/>
    <s v="120901"/>
    <x v="0"/>
  </r>
  <r>
    <n v="3"/>
    <n v="129"/>
    <x v="52"/>
    <s v="AA. HH. La Victoria Lote Nº 06 Manzana 36 Sector C "/>
    <s v="JUNIN"/>
    <s v="HUANCAYO"/>
    <s v="EL TAMBO"/>
    <s v="120114"/>
    <x v="0"/>
  </r>
  <r>
    <n v="3"/>
    <n v="52"/>
    <x v="53"/>
    <s v="Av. Mariscal Castilla N° 1201 Esq. Jirón Bolognesi Nº 106"/>
    <s v="JUNIN"/>
    <s v="HUANCAYO"/>
    <s v="EL TAMBO"/>
    <s v="120114"/>
    <x v="0"/>
  </r>
  <r>
    <n v="3"/>
    <n v="27"/>
    <x v="54"/>
    <s v="Jr.Lima Nº 133"/>
    <s v="AYACUCHO"/>
    <s v="HUAMANGA"/>
    <s v="AYACUCHO"/>
    <s v="050101"/>
    <x v="0"/>
  </r>
  <r>
    <n v="3"/>
    <n v="89"/>
    <x v="55"/>
    <s v="Jr. Virrey Toledo N° 358"/>
    <s v="HUANCAVELICA"/>
    <s v="HUANCAVELICA"/>
    <s v="HUANCAVELICA"/>
    <s v="090101"/>
    <x v="0"/>
  </r>
  <r>
    <n v="3"/>
    <n v="81"/>
    <x v="56"/>
    <s v="Centro Poblado Jauja, Sector 4, Mz. D, Lote 8"/>
    <s v="JUNIN"/>
    <s v="JAUJA"/>
    <s v="JAUJA"/>
    <s v="120401"/>
    <x v="0"/>
  </r>
  <r>
    <n v="3"/>
    <n v="45"/>
    <x v="57"/>
    <s v="Av. Almirante Grau Nº 101 Sector Santa Anita A-4 - Marcavalle"/>
    <s v="JUNIN"/>
    <s v="YAULI"/>
    <s v="LA OROYA"/>
    <s v="120801"/>
    <x v="0"/>
  </r>
  <r>
    <n v="3"/>
    <n v="133"/>
    <x v="58"/>
    <s v="Jirón Mariscal Castilla 129 - Oxapampa"/>
    <s v="PASCO"/>
    <s v="OXAPAMPA"/>
    <s v="OXAPAMPA"/>
    <s v="190301"/>
    <x v="0"/>
  </r>
  <r>
    <n v="3"/>
    <n v="96"/>
    <x v="59"/>
    <s v="Av. Marginal Nº 531 - 537"/>
    <s v="JUNIN"/>
    <s v="CHANCHAMAYO"/>
    <s v="PICHANAQUI"/>
    <s v="120303"/>
    <x v="0"/>
  </r>
  <r>
    <n v="3"/>
    <n v="54"/>
    <x v="60"/>
    <s v="Calle. Real Nº 1112 - 1120 - Cercado"/>
    <s v="JUNIN"/>
    <s v="HUANCAYO"/>
    <s v="HUANCAYO"/>
    <s v="120101"/>
    <x v="0"/>
  </r>
  <r>
    <n v="3"/>
    <n v="154"/>
    <x v="61"/>
    <s v="Av. Ramón Castilla N° 530, Asentamiento Humano San Juan Bautista Sector I, manzana A, Lote 23A"/>
    <s v="AYACUCHO"/>
    <s v="HUAMANGA"/>
    <s v="San Juan Bautista"/>
    <s v="050110"/>
    <x v="0"/>
  </r>
  <r>
    <n v="3"/>
    <n v="83"/>
    <x v="62"/>
    <s v="Jr. Lima N° 656 - 666"/>
    <s v="JUNIN"/>
    <s v="TARMA"/>
    <s v="TARMA"/>
    <s v="120701"/>
    <x v="0"/>
  </r>
  <r>
    <n v="3"/>
    <n v="29"/>
    <x v="63"/>
    <s v="Jr. 28 de Julio 433"/>
    <s v="LIMA"/>
    <s v="CAÑETE"/>
    <s v="IMPERIAL"/>
    <s v="150507"/>
    <x v="0"/>
  </r>
  <r>
    <n v="3"/>
    <n v="51"/>
    <x v="64"/>
    <s v="Av. Oscar Benavides N° 200 - Chincha Alta"/>
    <s v="ICA"/>
    <s v="CHINCHA"/>
    <s v="CHINCHA ALTA"/>
    <s v="110201"/>
    <x v="0"/>
  </r>
  <r>
    <n v="3"/>
    <n v="137"/>
    <x v="65"/>
    <s v="Av. Guardia Civil N°388-390-392 Urb. La Campiña - C.C. Viamix Local N° 108"/>
    <s v="LIMA"/>
    <s v="LIMA"/>
    <s v="CHORRILLOS"/>
    <s v="150108"/>
    <x v="0"/>
  </r>
  <r>
    <n v="3"/>
    <n v="162"/>
    <x v="66"/>
    <s v="Centro Poblado Guadalupe Mz. G Lote 15"/>
    <s v="ICA"/>
    <s v="ICA"/>
    <s v="SALAS"/>
    <s v="110108"/>
    <x v="0"/>
  </r>
  <r>
    <n v="5"/>
    <n v="50"/>
    <x v="67"/>
    <s v="Calle Libertad N° 103 - Plaza de Armas"/>
    <s v="ICA"/>
    <s v="ICA"/>
    <s v="ICA"/>
    <s v="110101"/>
    <x v="0"/>
  </r>
  <r>
    <n v="3"/>
    <n v="118"/>
    <x v="68"/>
    <s v="Esquina Av. Grau N° 300 con Av. La Mar "/>
    <s v="ICA"/>
    <s v="ICA"/>
    <s v="ICA"/>
    <s v="110101"/>
    <x v="0"/>
  </r>
  <r>
    <n v="3"/>
    <n v="116"/>
    <x v="69"/>
    <s v="Av. San Martin Nº 1368 - Urb San Isidro"/>
    <s v="ICA"/>
    <s v="ICA"/>
    <s v="ICA"/>
    <s v="110101"/>
    <x v="0"/>
  </r>
  <r>
    <n v="3"/>
    <n v="117"/>
    <x v="70"/>
    <s v="CC. PP. Santiago Mz. G Lt. 14 Sector II - Panamericana Sur - Km 317"/>
    <s v="ICA"/>
    <s v="ICA"/>
    <s v="SANTIAGO"/>
    <s v="110111"/>
    <x v="0"/>
  </r>
  <r>
    <n v="3"/>
    <n v="172"/>
    <x v="71"/>
    <s v="PUEBLO JOVEN VILLA POETA JOSE GÁLVEZ-PARCELA ´B´, MZ 22, LOTE 6 (ACTUALMENTE ESQUINA JR. JOSÉ GALVEZ N° 895 CON AV. LIMA N° 713)"/>
    <s v="LIMA"/>
    <s v="LIMA"/>
    <s v="Villa Maria de Triunfo"/>
    <s v="150143"/>
    <x v="0"/>
  </r>
  <r>
    <n v="3"/>
    <n v="110"/>
    <x v="72"/>
    <s v="Urb. Las Virreynas Mz. B Lt. 5 - Antigua Panamericana Sur"/>
    <s v="LIMA"/>
    <s v="LIMA"/>
    <s v="LURIN"/>
    <s v="150119"/>
    <x v="0"/>
  </r>
  <r>
    <n v="1"/>
    <n v="175"/>
    <x v="73"/>
    <s v="ANTIGUA PANAMERICANA SUR 346"/>
    <s v="LIMA"/>
    <s v="CAÑETE"/>
    <s v="MALA"/>
    <s v="150509"/>
    <x v="0"/>
  </r>
  <r>
    <n v="3"/>
    <n v="171"/>
    <x v="74"/>
    <s v="Agrupamiento Pachacamac Mz. A_x000a_Lt.. 24 Et 2 Sector IV"/>
    <s v="LIMA"/>
    <s v="LIMA"/>
    <s v="VILLA EL SALVADOR"/>
    <s v="150142"/>
    <x v="0"/>
  </r>
  <r>
    <n v="3"/>
    <n v="16"/>
    <x v="75"/>
    <s v="Calle Fermín del Castillo N° 263"/>
    <s v="ICA"/>
    <s v="NAZCA"/>
    <s v="NAZCA"/>
    <s v="110301"/>
    <x v="0"/>
  </r>
  <r>
    <n v="3"/>
    <n v="168"/>
    <x v="76"/>
    <s v="Av. 200 millas Mz-N, lote 11, dist. De Villa El Salvador"/>
    <s v="LIMA"/>
    <s v="LIMA"/>
    <s v="VILLA EL SALVADOR"/>
    <s v="150142"/>
    <x v="0"/>
  </r>
  <r>
    <n v="3"/>
    <n v="108"/>
    <x v="77"/>
    <s v="Calle Portal de Botoneros Nº 134"/>
    <s v="ICA"/>
    <s v="PALPA"/>
    <s v="PALPA"/>
    <s v="110401"/>
    <x v="0"/>
  </r>
  <r>
    <n v="3"/>
    <n v="91"/>
    <x v="78"/>
    <s v="Calle Ramón Castilla N° 182-A Mz R. Lt. 25"/>
    <s v="ICA"/>
    <s v="ICA"/>
    <s v="PARCONA"/>
    <s v="110106"/>
    <x v="0"/>
  </r>
  <r>
    <n v="3"/>
    <n v="109"/>
    <x v="79"/>
    <s v="Calle Progreso Nº 201 Esq Bolognesi N° 100 - 104"/>
    <s v="ICA"/>
    <s v="PISCO"/>
    <s v="PISCO"/>
    <s v="110501"/>
    <x v="0"/>
  </r>
  <r>
    <n v="3"/>
    <n v="185"/>
    <x v="80"/>
    <s v="AV. 24 DE OCTUBRE MZ. D-04 LT. 18  AA.HH. TUPAC AMARU DE VILLA"/>
    <s v="LIMA"/>
    <s v="LIMA"/>
    <s v="CHORRILLOS"/>
    <s v="150108"/>
    <x v="0"/>
  </r>
  <r>
    <n v="3"/>
    <n v="92"/>
    <x v="81"/>
    <s v="Av. Revolución Mz. A Lt. 14 Sector 3 Grupo 3 Esq. Av. César Vallejo Sector 3"/>
    <s v="LIMA"/>
    <s v="LIMA"/>
    <s v="VILLA EL SALVADOR"/>
    <s v="150142"/>
    <x v="0"/>
  </r>
  <r>
    <n v="5"/>
    <n v="149"/>
    <x v="82"/>
    <s v="Asentamiento Humano Villa Maria del Triunfo Av. Nicolás de Pierola N° 596 (Mz. E1 Lt. 10A) Sector Villa Maria del Triunfo"/>
    <s v="LIMA"/>
    <s v="LIMA"/>
    <s v="Villa Maria del Triunfo"/>
    <s v="150143"/>
    <x v="0"/>
  </r>
  <r>
    <n v="3"/>
    <n v="15"/>
    <x v="83"/>
    <s v="Avenida Arenas Nº 161"/>
    <s v="APURIMAC"/>
    <s v="ABANCAY"/>
    <s v="ABANCAY"/>
    <s v="030101"/>
    <x v="0"/>
  </r>
  <r>
    <n v="3"/>
    <n v="28"/>
    <x v="84"/>
    <s v="Jr. Ramon Castilla Nº 427"/>
    <s v="APURIMAC"/>
    <s v="ANDAHUAYLAS"/>
    <s v="ANDAHUAYLAS"/>
    <s v="030201"/>
    <x v="0"/>
  </r>
  <r>
    <n v="3"/>
    <n v="94"/>
    <x v="85"/>
    <s v="Jr. Jaquijahuana Nº 416 - Izcuchaca"/>
    <s v="CUSCO"/>
    <s v="ANTA"/>
    <s v="ANTA"/>
    <s v="080301"/>
    <x v="0"/>
  </r>
  <r>
    <n v="3"/>
    <n v="53"/>
    <x v="86"/>
    <s v="P.J. Manco Cápac Mz. G Lote 10 - Santiago"/>
    <s v="CUSCO"/>
    <s v="CUSCO"/>
    <s v="SANTIAGO"/>
    <s v="080106"/>
    <x v="0"/>
  </r>
  <r>
    <n v="3"/>
    <n v="98"/>
    <x v="87"/>
    <s v="Av. San Martin 325"/>
    <s v="CUSCO"/>
    <s v="ESPINAR"/>
    <s v="ESPINAR"/>
    <s v="080801"/>
    <x v="0"/>
  </r>
  <r>
    <n v="3"/>
    <n v="36"/>
    <x v="88"/>
    <s v="Av. Andres Avelino Caceres Nº 811"/>
    <s v="MADRE DE DIOS"/>
    <s v="TAMBOPATA"/>
    <s v="TAMBOPATA"/>
    <s v="170101"/>
    <x v="0"/>
  </r>
  <r>
    <n v="3"/>
    <n v="77"/>
    <x v="89"/>
    <s v="Av. Inambari Mz. LL Lt. 16 II Et. Centro Poblado de Mazuko - Tambopata"/>
    <s v="MADRE DE DIOS"/>
    <s v="TAMBOPATA"/>
    <s v="INAMBARI"/>
    <s v="170102"/>
    <x v="0"/>
  </r>
  <r>
    <n v="3"/>
    <n v="14"/>
    <x v="90"/>
    <s v="Av. Ernesto Rivero N° 771"/>
    <s v="MADRE DE DIOS"/>
    <s v="TAMBOPATA"/>
    <s v="TAMBOPATA"/>
    <s v="170101"/>
    <x v="0"/>
  </r>
  <r>
    <n v="3"/>
    <n v="144"/>
    <x v="91"/>
    <s v="Av. El Sol N° 627 B"/>
    <s v="CUSCO"/>
    <s v="CUSCO"/>
    <s v="CUSCO"/>
    <s v="080101"/>
    <x v="0"/>
  </r>
  <r>
    <n v="3"/>
    <n v="34"/>
    <x v="92"/>
    <s v="Av. San Martin Nº 403 Esq. Edgar De La Torre Nº 200 - 206"/>
    <s v="CUSCO"/>
    <s v="LA CONVENCION"/>
    <s v="SANTA ANA"/>
    <s v="080901"/>
    <x v="0"/>
  </r>
  <r>
    <n v="3"/>
    <n v="63"/>
    <x v="93"/>
    <s v="Av.Llocllapata  Urb. Los Retamales Mz. G Lt. 10 - Prolongación calle Perú"/>
    <s v="CUSCO"/>
    <s v="CUSCO"/>
    <s v="SAN JERONIMO"/>
    <s v="080104"/>
    <x v="0"/>
  </r>
  <r>
    <n v="3"/>
    <n v="99"/>
    <x v="94"/>
    <s v="Calle tres cruces de oro N° 325 - 327"/>
    <s v="CUSCO"/>
    <s v="CUSCO"/>
    <s v="CUSCO"/>
    <s v="080101"/>
    <x v="0"/>
  </r>
  <r>
    <n v="3"/>
    <n v="61"/>
    <x v="95"/>
    <s v="Prolongacion Av. La Cultura Nº 2838 - 2844 Esq. de Acceso Urb. Tupac Amaru"/>
    <s v="CUSCO"/>
    <s v="CUSCO"/>
    <s v="SAN SEBASTIAN"/>
    <s v="080105"/>
    <x v="0"/>
  </r>
  <r>
    <n v="3"/>
    <n v="134"/>
    <x v="96"/>
    <s v="Prolongacion Av. La Cultura R-202A"/>
    <s v="CUSCO"/>
    <s v="CUSCO"/>
    <s v="SAN SEBASTIAN"/>
    <s v="080105"/>
    <x v="0"/>
  </r>
  <r>
    <n v="3"/>
    <n v="17"/>
    <x v="97"/>
    <s v="Av. Arequipa Nº 103 Esq. Av. Centenario Nº 143"/>
    <s v="CUSCO"/>
    <s v="CANCHIS"/>
    <s v="SICUANI"/>
    <s v="080601"/>
    <x v="0"/>
  </r>
  <r>
    <n v="5"/>
    <n v="187"/>
    <x v="98"/>
    <s v="Av. Fitzcarrald Mz. 10H, Lote 7, fracción B, AAHH La Selva "/>
    <s v="MADRE DE DIOS"/>
    <s v="TAMBOPATA"/>
    <s v="TAMBOPATA"/>
    <s v="170101"/>
    <x v="0"/>
  </r>
  <r>
    <n v="5"/>
    <n v="161"/>
    <x v="99"/>
    <s v="Cooperativa de Vivienda Miraflores Mz F Lote 3, Sector Tica Tica"/>
    <s v="CUSCO"/>
    <s v="CUSCO"/>
    <s v="CUSCO"/>
    <s v="080101"/>
    <x v="0"/>
  </r>
  <r>
    <n v="3"/>
    <n v="31"/>
    <x v="100"/>
    <s v="Jr. Grau N° 521 - Plaza de Armas"/>
    <s v="CUSCO"/>
    <s v="URUBAMBA"/>
    <s v="URUBAMBA"/>
    <s v="081301"/>
    <x v="0"/>
  </r>
  <r>
    <n v="3"/>
    <n v="47"/>
    <x v="101"/>
    <s v="Av. Ramon Zavaleta Nº 106-B"/>
    <s v="CUSCO"/>
    <s v="CUSCO"/>
    <s v="WANCHAQ"/>
    <s v="080108"/>
    <x v="0"/>
  </r>
  <r>
    <n v="3"/>
    <n v="66"/>
    <x v="102"/>
    <s v="Av. Alfredo Mendiola Nº 3663 - 3665 Panamericana Norte - Los Olivos"/>
    <s v="LIMA"/>
    <s v="LIMA"/>
    <s v="LOS OLIVOS"/>
    <s v="150117"/>
    <x v="0"/>
  </r>
  <r>
    <n v="3"/>
    <n v="170"/>
    <x v="103"/>
    <s v="Av Antunez de Mayolo 1236 Los Olivos - Lima"/>
    <s v="LIMA"/>
    <s v="LIMA"/>
    <s v="LOS OLIVOS"/>
    <s v="150117"/>
    <x v="0"/>
  </r>
  <r>
    <n v="5"/>
    <n v="33"/>
    <x v="104"/>
    <s v="Av. Universitaria Nº 489 Urb. Tungasuca I Etapa"/>
    <s v="LIMA"/>
    <s v="LIMA"/>
    <s v="CARABAYLLO"/>
    <s v="150106"/>
    <x v="0"/>
  </r>
  <r>
    <n v="3"/>
    <n v="147"/>
    <x v="105"/>
    <s v="Av. Libertad N°667"/>
    <s v="AMAZONAS"/>
    <s v="CHACHAPOYAS"/>
    <s v="CHACHAPOYAS"/>
    <s v="010101"/>
    <x v="0"/>
  </r>
  <r>
    <n v="3"/>
    <n v="58"/>
    <x v="106"/>
    <s v="Av. Tupac Amaru N° 2945 - 2949 Urb. Huaquillay - 1/2 cdra. Av. Belaunde"/>
    <s v="LIMA"/>
    <s v="LIMA"/>
    <s v="COMAS"/>
    <s v="150110"/>
    <x v="0"/>
  </r>
  <r>
    <n v="3"/>
    <n v="152"/>
    <x v="107"/>
    <s v="Avenida Huandoy Mz. G-3, Lt. 11; Urbanización Parque del Naranjal II Etapa"/>
    <s v="LIMA"/>
    <s v="LIMA"/>
    <s v="Los Olivos"/>
    <s v="150117"/>
    <x v="0"/>
  </r>
  <r>
    <n v="3"/>
    <n v="111"/>
    <x v="108"/>
    <s v="Jr. Julián de Morales Nº 530"/>
    <s v="ANCASH"/>
    <s v="HUARAZ"/>
    <s v="HUARAZ"/>
    <s v="020101"/>
    <x v="0"/>
  </r>
  <r>
    <n v="3"/>
    <n v="87"/>
    <x v="109"/>
    <s v="Urb. Popular Tahuantinsuyo Parcela A Lt. C Tda. 25 - Mercado Los Incas"/>
    <s v="LIMA"/>
    <s v="LIMA"/>
    <s v="INDEPENDENCIA"/>
    <s v="150112"/>
    <x v="0"/>
  </r>
  <r>
    <n v="3"/>
    <n v="21"/>
    <x v="110"/>
    <s v="Av. Alfredo Mendiola Nº 7893 - Urb. Pro"/>
    <s v="LIMA"/>
    <s v="LIMA"/>
    <s v="LOS OLIVOS"/>
    <s v="150117"/>
    <x v="0"/>
  </r>
  <r>
    <n v="3"/>
    <n v="95"/>
    <x v="111"/>
    <s v="Urb. Enrique Montenegro Mz. Z-1 Lt. 23 - San Juan de Lurigancho"/>
    <s v="LIMA"/>
    <s v="LIMA"/>
    <s v="SAN JUAN DE LURIGANCHO"/>
    <s v="150132"/>
    <x v="0"/>
  </r>
  <r>
    <n v="3"/>
    <n v="174"/>
    <x v="112"/>
    <s v="Nuevo Pachacútec Mz H Lote 16 Sector D , Grupo Residencial D3 (Actualmente Prol. Av. 225)"/>
    <s v="LIMA"/>
    <s v="CALLAO"/>
    <s v="VENTANILLA"/>
    <s v="070106"/>
    <x v="0"/>
  </r>
  <r>
    <n v="3"/>
    <n v="74"/>
    <x v="113"/>
    <s v="Av. Próceres de la Independencia Nº 1939 - San Juan de Lurigancho"/>
    <s v="LIMA"/>
    <s v="LIMA"/>
    <s v="SAN JUAN DE LURIGANCHO"/>
    <s v="150132"/>
    <x v="0"/>
  </r>
  <r>
    <n v="3"/>
    <n v="26"/>
    <x v="114"/>
    <s v="Urb. Cto. Grande 2° Unidad, Av Cto. Grande y Alameda Machupicchu Mz C Lt 5"/>
    <s v="LIMA"/>
    <s v="LIMA"/>
    <s v="SAN JUAN DE LURIGANCHO"/>
    <s v="150132"/>
    <x v="0"/>
  </r>
  <r>
    <n v="3"/>
    <n v="88"/>
    <x v="115"/>
    <s v="Av. Perú Nº 3217 - 3221 - Urb. Perú Mz. 30 Lt. 3-3A Zn. 3"/>
    <s v="LIMA"/>
    <s v="LIMA"/>
    <s v="SAN MARTIN DE PORRES"/>
    <s v="150135"/>
    <x v="0"/>
  </r>
  <r>
    <n v="3"/>
    <n v="143"/>
    <x v="116"/>
    <s v="Urb. ex Zona Comercial e Industrial de Ventanilla Mz C2 lote 12"/>
    <s v="LIMA"/>
    <s v="LIMA"/>
    <s v="Ventanilla"/>
    <s v="070106"/>
    <x v="0"/>
  </r>
  <r>
    <n v="3"/>
    <n v="148"/>
    <x v="117"/>
    <s v="Lote 4 de la Manzana I-1 de la parcelación Zapallal (Actualmente Av. Leoncio Prado N° 556)"/>
    <s v="LIMA"/>
    <s v="LIMA"/>
    <s v="Puente Piedra"/>
    <s v="150125"/>
    <x v="0"/>
  </r>
  <r>
    <n v="3"/>
    <n v="167"/>
    <x v="118"/>
    <s v="AV. Gran Chimu N° 621 Zarate SJL"/>
    <s v="LIMA"/>
    <s v="LIMA"/>
    <s v="SAN JUAN DE LURIGANCHO"/>
    <s v="150132"/>
    <x v="0"/>
  </r>
  <r>
    <n v="3"/>
    <n v="65"/>
    <x v="119"/>
    <s v="Av. Nicolás Ayllon Carretera Central km 6.5 Asociación El Porvenir Mz. D Lt. 7"/>
    <s v="LIMA"/>
    <s v="LIMA"/>
    <s v="ATE"/>
    <s v="150103"/>
    <x v="0"/>
  </r>
  <r>
    <n v="3"/>
    <n v="46"/>
    <x v="120"/>
    <s v="Av. 28 de Julio N° 239 Esq. Jirón Ica"/>
    <s v="LIMA"/>
    <s v="LIMA"/>
    <s v="LURIGANCHO"/>
    <s v="150118"/>
    <x v="0"/>
  </r>
  <r>
    <n v="3"/>
    <n v="173"/>
    <x v="121"/>
    <s v="AV. DE LA RIVA AGÜERO NO 1306 MZ. D LOTE 13 ZONA A URB. POPULAR EL AGUSTINO"/>
    <s v="LIMA"/>
    <s v="LIMA"/>
    <s v="AGUSTINO"/>
    <s v="150111"/>
    <x v="0"/>
  </r>
  <r>
    <n v="3"/>
    <n v="138"/>
    <x v="122"/>
    <s v="Urb. El Paraíso del Puente de Huachipa Mz. A Lt. 15 - Ate"/>
    <s v="LIMA"/>
    <s v="LIMA"/>
    <s v="ATE"/>
    <s v="150103"/>
    <x v="0"/>
  </r>
  <r>
    <n v="5"/>
    <n v="64"/>
    <x v="123"/>
    <s v="Av. 15 de Julio Lote 11 Zona A Huaycan"/>
    <s v="LIMA"/>
    <s v="LIMA"/>
    <s v="ATE"/>
    <s v="150103"/>
    <x v="0"/>
  </r>
  <r>
    <n v="3"/>
    <n v="124"/>
    <x v="124"/>
    <s v="Av. Unión Jicamarca Mz.M Lt. 23 Sector Norte Anexo 08 - San Antonio"/>
    <s v="LIMA"/>
    <s v="HUAROCHIRI"/>
    <s v="SAN ANTONIO"/>
    <s v="150716"/>
    <x v="0"/>
  </r>
  <r>
    <n v="3"/>
    <n v="186"/>
    <x v="125"/>
    <s v="Av. Larco 952"/>
    <s v="LIMA"/>
    <s v="LIMA"/>
    <s v="MIRAFLORES"/>
    <s v="150122"/>
    <x v="0"/>
  </r>
  <r>
    <n v="3"/>
    <n v="18"/>
    <x v="126"/>
    <s v="Jirón Carabaya Calle Coca N° 451 - 459 Pasaje Santiago Acuña 103 - 14 - Cercado"/>
    <s v="LIMA"/>
    <s v="LIMA"/>
    <s v="LIMA"/>
    <s v="150101"/>
    <x v="0"/>
  </r>
  <r>
    <n v="5"/>
    <n v="159"/>
    <x v="127"/>
    <s v="Jr. Echenique N° 781, Fundo Orbea"/>
    <s v="LIMA"/>
    <s v="LIMA"/>
    <s v="MAGDALENA DEL MAR"/>
    <s v="150120"/>
    <x v="0"/>
  </r>
  <r>
    <n v="3"/>
    <n v="123"/>
    <x v="128"/>
    <s v="Carretera a Cieneguilla Mz. E - Lote 2 Asentamiento Humano Paul Poblet Lind de la Zona 2"/>
    <s v="LIMA"/>
    <s v="LIMA"/>
    <s v="PACHACAMAC"/>
    <s v="150123"/>
    <x v="0"/>
  </r>
  <r>
    <n v="3"/>
    <n v="184"/>
    <x v="129"/>
    <s v="Av. Miguel Iglesias  A - 1 Lote 12, esquina  con calle las Violetas , PPJJ Buens Aires - San Juan de Miraflores - Lima  "/>
    <s v="LIMA"/>
    <s v="LIMA"/>
    <s v="SAN JUAN DE MIRAFLORES"/>
    <s v="150133"/>
    <x v="0"/>
  </r>
  <r>
    <n v="3"/>
    <n v="183"/>
    <x v="130"/>
    <s v="AV. SAMUEL ALCAZAR N° 941, 943 DISTRITO DE RIMAC - LIMA "/>
    <s v="LIMA"/>
    <s v="LIMA"/>
    <s v="RIMAC"/>
    <s v="150128"/>
    <x v="0"/>
  </r>
  <r>
    <n v="3"/>
    <n v="22"/>
    <x v="131"/>
    <s v="Av. San Juan Nº 857"/>
    <s v="LIMA"/>
    <s v="LIMA"/>
    <s v="SAN JUAN DE MIRAFLORES"/>
    <s v="150133"/>
    <x v="0"/>
  </r>
  <r>
    <n v="3"/>
    <n v="101"/>
    <x v="132"/>
    <s v="Av. Los Ruiseñores N° 248 Mz. Q1 Lt. 17 "/>
    <s v="LIMA"/>
    <s v="LIMA"/>
    <s v="SANTA ANITA"/>
    <s v="150137"/>
    <x v="0"/>
  </r>
  <r>
    <n v="3"/>
    <n v="178"/>
    <x v="133"/>
    <s v="CALLE PARQUE CIVICO 271 SANTA CLARA"/>
    <s v="LIMA"/>
    <s v="LIMA"/>
    <s v="ATE"/>
    <s v="150103"/>
    <x v="0"/>
  </r>
  <r>
    <n v="5"/>
    <n v="35"/>
    <x v="134"/>
    <s v="República de Panamá 4519 – 4521 – esquina con Jr. Barbieri Surquillo"/>
    <s v="LIMA"/>
    <s v="LIMA"/>
    <s v="SURQUILLO"/>
    <s v="150141"/>
    <x v="0"/>
  </r>
  <r>
    <n v="3"/>
    <n v="179"/>
    <x v="135"/>
    <s v="Jirón Coronel Arguedas N° 567 – Bambamarca- CAJAMARCA "/>
    <s v="CAJAMARCA"/>
    <s v="HUALGAYOC"/>
    <s v="BAMBAMARCA"/>
    <s v="060701"/>
    <x v="0"/>
  </r>
  <r>
    <n v="3"/>
    <n v="139"/>
    <x v="136"/>
    <s v="Jr. Del Batán N° 212 con Jr. Amazonas s/n - 02 de Mayo"/>
    <s v="CAJAMARCA"/>
    <s v="CAJAMARCA"/>
    <s v="CAJAMARCA"/>
    <s v="060101"/>
    <x v="0"/>
  </r>
  <r>
    <n v="3"/>
    <n v="122"/>
    <x v="137"/>
    <s v="Av. César Vallejo N° 335 - 339 "/>
    <s v="LA LIBERTAD"/>
    <s v="TRUJILLO"/>
    <s v="TRUJILLO"/>
    <s v="130101"/>
    <x v="0"/>
  </r>
  <r>
    <n v="3"/>
    <n v="113"/>
    <x v="138"/>
    <s v="Calle Alfredo Lapoint Nº 885"/>
    <s v="LAMBAYEQUE"/>
    <s v="CHICLAYO"/>
    <s v="CHICLAYO"/>
    <s v="140101"/>
    <x v="0"/>
  </r>
  <r>
    <n v="3"/>
    <n v="112"/>
    <x v="139"/>
    <s v="Esq. Jr. Bolognesi N° 382-392 y Jr. Enrique Palacios 215 Mz. 15 "/>
    <s v="ANCASH"/>
    <s v="SANTA"/>
    <s v="CHIMBOTE"/>
    <s v="021801"/>
    <x v="0"/>
  </r>
  <r>
    <n v="5"/>
    <n v="176"/>
    <x v="140"/>
    <s v="Jr. 30 de Agosto Nro. 426"/>
    <s v="CAJAMARCA"/>
    <s v="CHOTA"/>
    <s v="CHOTA"/>
    <s v="060401"/>
    <x v="0"/>
  </r>
  <r>
    <n v="3"/>
    <n v="158"/>
    <x v="141"/>
    <s v=" Av. Sanchez Carrión N° 635"/>
    <s v="LA LIBERTAD"/>
    <s v="TRUJILLO"/>
    <s v="EL PORVENIR"/>
    <s v="130102"/>
    <x v="0"/>
  </r>
  <r>
    <n v="3"/>
    <n v="169"/>
    <x v="142"/>
    <s v="Calle Simon Bolivar  1245 Jaen -Cajamarca"/>
    <s v="CAJAMARCA"/>
    <s v="JAEN"/>
    <s v="JAEN"/>
    <s v="060801"/>
    <x v="0"/>
  </r>
  <r>
    <n v="3"/>
    <n v="126"/>
    <x v="143"/>
    <s v="Av. América Norte 1289 - Urb. Las Quintanas - Trujillo"/>
    <s v="LA LIBERTAD"/>
    <s v="TRUJILLO"/>
    <s v="TRUJILLO"/>
    <s v="130101"/>
    <x v="0"/>
  </r>
  <r>
    <n v="3"/>
    <n v="181"/>
    <x v="144"/>
    <s v="Av. Lima 725 distrito de la Union - Piura "/>
    <s v="PIURA"/>
    <s v="PIURA"/>
    <s v="LA UNION"/>
    <s v="200110"/>
    <x v="0"/>
  </r>
  <r>
    <n v="3"/>
    <n v="163"/>
    <x v="145"/>
    <s v="Av. Balta 1635 - Chiclayo"/>
    <s v="LAMBAYEQUE"/>
    <s v="CHICLAYO"/>
    <s v="CHICLAYO"/>
    <s v="140101"/>
    <x v="0"/>
  </r>
  <r>
    <n v="3"/>
    <n v="127"/>
    <x v="146"/>
    <s v="AV. El Dorado 1225 – Frente al Mercado "/>
    <s v="LAMBAYEQUE"/>
    <s v="CHICLAYO"/>
    <s v="JOSE LEONARDO ORTIZ"/>
    <s v="140105"/>
    <x v="0"/>
  </r>
  <r>
    <n v="3"/>
    <n v="156"/>
    <x v="147"/>
    <s v="Av. Jose de Lama N° 1784, Mz 119, Lote 9, Urbanización Santa Rosa"/>
    <s v="PIURA"/>
    <s v="SULLANA"/>
    <s v="SULLANA"/>
    <s v="200601"/>
    <x v="0"/>
  </r>
  <r>
    <n v="3"/>
    <n v="131"/>
    <x v="148"/>
    <s v="Av. Sánchez Cerro N° 1313 - Piura"/>
    <s v="PIURA"/>
    <s v="PIURA"/>
    <s v="PIURA"/>
    <s v="200101"/>
    <x v="0"/>
  </r>
  <r>
    <n v="3"/>
    <n v="155"/>
    <x v="149"/>
    <s v="Calle Libertad 597 esquina con Calle Callao S/N"/>
    <s v="PIURA"/>
    <s v="PIURA"/>
    <s v="PIURA"/>
    <s v="200101"/>
    <x v="0"/>
  </r>
  <r>
    <n v="3"/>
    <n v="128"/>
    <x v="150"/>
    <s v="Calle San Martín 597 C. P. Barrio Norte Mz. 22 Lote-1A - Sullana "/>
    <s v="PIURA"/>
    <s v="SULLANA"/>
    <s v="SULLANA"/>
    <s v="200601"/>
    <x v="0"/>
  </r>
  <r>
    <n v="3"/>
    <n v="180"/>
    <x v="151"/>
    <s v="Av. Mariscal Castilla D10, Centro Habitacional Talara- Piura "/>
    <s v="PIURA"/>
    <s v="TALARA"/>
    <s v="PARIÑAS"/>
    <s v="200701"/>
    <x v="0"/>
  </r>
  <r>
    <n v="3"/>
    <n v="157"/>
    <x v="152"/>
    <s v="Jirón Ayacucho N° 688"/>
    <s v="LA LIBERTAD"/>
    <s v="TRUJILLO"/>
    <s v="Trujillo"/>
    <s v="130101"/>
    <x v="0"/>
  </r>
  <r>
    <n v="3"/>
    <n v="150"/>
    <x v="153"/>
    <s v="AV MARISCAL CASTILLA 303 – TUMBES "/>
    <s v="TUMBES"/>
    <s v="TUMBES"/>
    <s v="TUMBES"/>
    <s v="240101"/>
    <x v="0"/>
  </r>
  <r>
    <n v="3"/>
    <n v="120"/>
    <x v="154"/>
    <s v="Jr. Dos de Mayo N° 981 - 985"/>
    <s v="HUANUCO"/>
    <s v="HUANUCO"/>
    <s v="HUANUCO"/>
    <s v="100101"/>
    <x v="0"/>
  </r>
  <r>
    <n v="3"/>
    <n v="100"/>
    <x v="155"/>
    <s v="Jr. Progreso Nº 234 - Padre Abad"/>
    <s v="UCAYALI"/>
    <s v="PADRE ABAD"/>
    <s v="PADRE ABAD"/>
    <s v="250301"/>
    <x v="0"/>
  </r>
  <r>
    <n v="3"/>
    <n v="151"/>
    <x v="156"/>
    <s v="Av. Habilitación Urbana Municipal MZ E Lot 8"/>
    <s v="UCAYALI"/>
    <s v="CORONEL PORTILLO"/>
    <s v="CALLERIA"/>
    <s v="250101"/>
    <x v="0"/>
  </r>
  <r>
    <n v="3"/>
    <n v="39"/>
    <x v="157"/>
    <s v="Jr. Huallayco Nº 985"/>
    <s v="HUANUCO"/>
    <s v="HUANUCO"/>
    <s v="HUANUCO"/>
    <s v="100101"/>
    <x v="0"/>
  </r>
  <r>
    <n v="3"/>
    <n v="145"/>
    <x v="158"/>
    <s v="Jr. Próspero N°776-778"/>
    <s v="LORETO"/>
    <s v="MAYNAS"/>
    <s v="IQUITOS"/>
    <s v="160101"/>
    <x v="0"/>
  </r>
  <r>
    <n v="3"/>
    <n v="182"/>
    <x v="159"/>
    <s v="JR. ALFONSO UGARTE N° 1319 - SAN MARTIN - TARAPOTO"/>
    <s v="SAN MARTIN"/>
    <s v="SAN MARTIN"/>
    <s v="TARAPOTO"/>
    <s v="220901"/>
    <x v="0"/>
  </r>
  <r>
    <n v="3"/>
    <n v="153"/>
    <x v="160"/>
    <s v="Pueblo Tradicional Cercado de Moyobamba Mz. 5080, Lote 14 (Actualmente Jirón San Martin N° 481)"/>
    <s v="SAN MARTIN"/>
    <s v="MOYOBAMBA"/>
    <s v="MOYOBAMBA"/>
    <s v="220101"/>
    <x v="0"/>
  </r>
  <r>
    <m/>
    <n v="41"/>
    <x v="161"/>
    <s v="Jr. Tarapaca N° 398 Esq. Jr. Progreso Mz. 62-A  Lt. 5"/>
    <s v="UCAYALI"/>
    <s v="CORONEL PORTILLO"/>
    <s v="CALLERIA"/>
    <s v="250101"/>
    <x v="0"/>
  </r>
  <r>
    <m/>
    <n v="114"/>
    <x v="162"/>
    <s v="Jr. San Pablo de la Cruz Nº 124"/>
    <s v="SAN MARTIN"/>
    <s v="SAN MARTIN"/>
    <s v="TARAPOTO"/>
    <s v="220901"/>
    <x v="0"/>
  </r>
  <r>
    <m/>
    <n v="40"/>
    <x v="163"/>
    <s v="Av. Antonio Raymondi Nº 514-520"/>
    <s v="HUANUCO"/>
    <s v="LEONCIO PRADO"/>
    <s v="RUPA-RUPA"/>
    <s v="100601"/>
    <x v="0"/>
  </r>
  <r>
    <m/>
    <n v="115"/>
    <x v="164"/>
    <s v="Jr. Tocache N° 427 Cdra.-04 Mz. A2 Lote 12"/>
    <s v="SAN MARTIN"/>
    <s v="TOCACHE"/>
    <s v="TOCACHE"/>
    <s v="221001"/>
    <x v="0"/>
  </r>
  <r>
    <m/>
    <n v="177"/>
    <x v="165"/>
    <s v="CAL ATANASIO JAUREGUI 318 - YURIMAGUAS-ALTO AMAZONAS- LORETO "/>
    <s v="LORETO"/>
    <s v="ALTO AMAZONAS"/>
    <s v="YURIMAGUAS"/>
    <s v="160201"/>
    <x v="0"/>
  </r>
  <r>
    <m/>
    <n v="102"/>
    <x v="166"/>
    <s v="Av. Internacional Mz 55 Sub Lote 1-B - AA.HH. Ciudad Nueva"/>
    <s v="TACNA"/>
    <s v="TACNA"/>
    <s v="CIUDAD NUEVA"/>
    <s v="230104"/>
    <x v="0"/>
  </r>
  <r>
    <m/>
    <n v="69"/>
    <x v="167"/>
    <s v="Av. Libertad N°407"/>
    <s v="AREQUIPA"/>
    <s v="ISLAY"/>
    <s v="COCACHACRA"/>
    <s v="040702"/>
    <x v="0"/>
  </r>
  <r>
    <m/>
    <n v="23"/>
    <x v="168"/>
    <s v="Plaza 28 de Julio Mz. F Lte. 4 - Uraca"/>
    <s v="AREQUIPA"/>
    <s v="CASTILLA"/>
    <s v="URACA"/>
    <s v="040413"/>
    <x v="0"/>
  </r>
  <r>
    <m/>
    <n v="93"/>
    <x v="169"/>
    <s v="Av. Coronel Mendoza Nº 1674"/>
    <s v="TACNA"/>
    <s v="TACNA"/>
    <s v="TACNA"/>
    <s v="230101"/>
    <x v="0"/>
  </r>
  <r>
    <m/>
    <n v="10"/>
    <x v="170"/>
    <s v="Jr. Zepita Nº 301-311 Esq. 2 de Mayo Nº 219"/>
    <s v="MOQUEGUA"/>
    <s v="ILO"/>
    <s v="ILO"/>
    <s v="180301"/>
    <x v="0"/>
  </r>
  <r>
    <m/>
    <n v="188"/>
    <x v="171"/>
    <s v="Parque Industrial Majes de Villa El Pedregal Mz. I Lte. 03 "/>
    <s v="AREQUIPA"/>
    <s v="CAYLLOMA"/>
    <s v="MAJES"/>
    <s v="040520"/>
    <x v="0"/>
  </r>
  <r>
    <m/>
    <n v="6"/>
    <x v="172"/>
    <s v="Plaza Bolognesi 101 - 115 esquina con calle Comercio "/>
    <s v="AREQUIPA"/>
    <s v="ISLAY"/>
    <s v="MOLLENDO"/>
    <s v="040701"/>
    <x v="0"/>
  </r>
  <r>
    <m/>
    <n v="9"/>
    <x v="173"/>
    <s v="Jr. Ancash Nº 380"/>
    <s v="MOQUEGUA"/>
    <s v="MARISCAL NIETO"/>
    <s v="MOQUEGUA"/>
    <s v="180101"/>
    <x v="0"/>
  </r>
  <r>
    <m/>
    <n v="166"/>
    <x v="174"/>
    <s v="Cl. Moquegua a 2 casas con 3 de abril"/>
    <s v="MOQUEGUA"/>
    <s v="GRAL. SANCHEZ CERRO"/>
    <s v="OMATE"/>
    <s v="180201"/>
    <x v="0"/>
  </r>
  <r>
    <m/>
    <n v="72"/>
    <x v="175"/>
    <s v="Av. Balta Nº 148"/>
    <s v="MOQUEGUA"/>
    <s v="MARISCAL NIETO"/>
    <s v="MOQUEGUA"/>
    <s v="180101"/>
    <x v="0"/>
  </r>
  <r>
    <m/>
    <n v="80"/>
    <x v="176"/>
    <s v="Av. Eje Urbano Mz. O Sub-LT 66-A Zn. 1 - CC. PP. El Pedregal Norte "/>
    <s v="AREQUIPA"/>
    <s v="CAYLLOMA"/>
    <s v="MAJES"/>
    <s v="040520"/>
    <x v="0"/>
  </r>
  <r>
    <m/>
    <n v="68"/>
    <x v="177"/>
    <s v="AA.HH. José Carlos Mariategui Mz. L Lt. 2-B - Ovalo de Nuevo Ilo "/>
    <s v="MOQUEGUA"/>
    <s v="ILO"/>
    <s v="ILO"/>
    <s v="180301"/>
    <x v="0"/>
  </r>
  <r>
    <m/>
    <n v="12"/>
    <x v="178"/>
    <s v="CC. PP. El Pedregal Mz. G Lt . 04"/>
    <s v="AREQUIPA"/>
    <s v="CAYLLOMA"/>
    <s v="MAJES"/>
    <s v="040520"/>
    <x v="0"/>
  </r>
  <r>
    <m/>
    <n v="44"/>
    <x v="179"/>
    <s v="Av. Pinto Nº 1475 Esq. Av. Industrial Nº 1495"/>
    <s v="TACNA"/>
    <s v="TACNA"/>
    <s v="TACNA"/>
    <s v="230101"/>
    <x v="0"/>
  </r>
  <r>
    <m/>
    <n v="132"/>
    <x v="180"/>
    <s v="Av. Santa Fortunata Sector A2B Lote 06 13ª Moquegua"/>
    <s v="MOQUEGUA"/>
    <s v="MARISCAL NIETO"/>
    <s v="MOQUEGUA"/>
    <s v="180107"/>
    <x v="0"/>
  </r>
  <r>
    <m/>
    <n v="43"/>
    <x v="181"/>
    <s v="Av. San Martin Nº 872 - Cercado"/>
    <s v="TACNA"/>
    <s v="TACNA"/>
    <s v="TACNA"/>
    <s v="230101"/>
    <x v="0"/>
  </r>
  <r>
    <m/>
    <n v="49"/>
    <x v="182"/>
    <s v="Asociación San Francisco Mz 14 Lote 16 - Cono Sur"/>
    <s v="TACNA"/>
    <s v="TACNA"/>
    <s v="CORONEL GREGORIO ALBARRACIN"/>
    <s v="230110"/>
    <x v="0"/>
  </r>
  <r>
    <m/>
    <n v="0"/>
    <x v="183"/>
    <s v="Calle las orquídeas 585 "/>
    <s v="LIMA                "/>
    <s v="LIMA                          "/>
    <s v="SAN ISIDRO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TablaDinámica9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Agencias Rating">
  <location ref="Q3:Q9" firstHeaderRow="1" firstDataRow="1" firstDataCol="1" rowPageCount="1" colPageCount="1"/>
  <pivotFields count="7">
    <pivotField subtotalTop="0" showAll="0" defaultSubtotal="0"/>
    <pivotField axis="axisRow" subtotalTop="0" showAll="0" defaultSubtotal="0">
      <items count="17">
        <item x="12"/>
        <item x="14"/>
        <item x="7"/>
        <item x="6"/>
        <item x="8"/>
        <item x="9"/>
        <item x="1"/>
        <item x="15"/>
        <item x="5"/>
        <item x="13"/>
        <item x="11"/>
        <item x="10"/>
        <item x="4"/>
        <item x="3"/>
        <item x="2"/>
        <item x="0"/>
        <item x="16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Page" subtotalTop="0" showAll="0" defaultSubtotal="0">
      <items count="4">
        <item x="1"/>
        <item x="0"/>
        <item x="3"/>
        <item x="2"/>
      </items>
    </pivotField>
  </pivotFields>
  <rowFields count="1">
    <field x="1"/>
  </rowFields>
  <rowItems count="6">
    <i>
      <x v="2"/>
    </i>
    <i>
      <x v="3"/>
    </i>
    <i>
      <x v="4"/>
    </i>
    <i>
      <x v="8"/>
    </i>
    <i>
      <x v="12"/>
    </i>
    <i>
      <x v="16"/>
    </i>
  </rowItems>
  <colItems count="1">
    <i/>
  </colItems>
  <pageFields count="1">
    <pageField fld="6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3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Digital Rating">
  <location ref="N3:N5" firstHeaderRow="1" firstDataRow="1" firstDataCol="1" rowPageCount="1" colPageCount="1"/>
  <pivotFields count="7">
    <pivotField subtotalTop="0" showAll="0" defaultSubtotal="0"/>
    <pivotField axis="axisRow" subtotalTop="0" showAll="0" defaultSubtotal="0">
      <items count="17">
        <item x="12"/>
        <item x="14"/>
        <item x="7"/>
        <item x="6"/>
        <item x="8"/>
        <item x="9"/>
        <item x="1"/>
        <item x="15"/>
        <item x="5"/>
        <item x="13"/>
        <item x="11"/>
        <item x="10"/>
        <item x="4"/>
        <item x="3"/>
        <item x="2"/>
        <item x="0"/>
        <item x="16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Page" subtotalTop="0" showAll="0" defaultSubtotal="0">
      <items count="4">
        <item x="1"/>
        <item x="0"/>
        <item x="3"/>
        <item x="2"/>
      </items>
    </pivotField>
  </pivotFields>
  <rowFields count="1">
    <field x="1"/>
  </rowFields>
  <rowItems count="2">
    <i>
      <x v="1"/>
    </i>
    <i>
      <x v="7"/>
    </i>
  </rowItems>
  <colItems count="1">
    <i/>
  </colItems>
  <pageFields count="1">
    <pageField fld="6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Dinámica1" cacheId="1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compact="0" compactData="0" multipleFieldFilters="0" rowHeaderCaption="Familia Producto/ Servicio" fieldListSortAscending="1">
  <location ref="W1:X101" firstHeaderRow="1" firstDataRow="1" firstDataCol="2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00">
    <i>
      <x/>
      <x/>
    </i>
    <i>
      <x v="1"/>
      <x v="1"/>
    </i>
    <i>
      <x v="2"/>
      <x v="2"/>
    </i>
    <i r="1">
      <x v="3"/>
    </i>
    <i>
      <x v="3"/>
      <x v="4"/>
    </i>
    <i r="1">
      <x v="5"/>
    </i>
    <i r="1">
      <x v="6"/>
    </i>
    <i r="1">
      <x v="7"/>
    </i>
    <i>
      <x v="4"/>
      <x/>
    </i>
    <i r="1">
      <x v="8"/>
    </i>
    <i>
      <x v="5"/>
      <x v="7"/>
    </i>
    <i r="1">
      <x v="9"/>
    </i>
    <i>
      <x v="6"/>
      <x/>
    </i>
    <i r="1">
      <x v="7"/>
    </i>
    <i r="1">
      <x v="8"/>
    </i>
    <i>
      <x v="7"/>
      <x v="7"/>
    </i>
    <i>
      <x v="8"/>
      <x v="3"/>
    </i>
    <i r="1">
      <x v="10"/>
    </i>
    <i>
      <x v="9"/>
      <x v="1"/>
    </i>
    <i>
      <x v="10"/>
      <x v="8"/>
    </i>
    <i>
      <x v="11"/>
      <x/>
    </i>
    <i r="1">
      <x v="1"/>
    </i>
    <i r="1">
      <x v="7"/>
    </i>
    <i r="1">
      <x v="8"/>
    </i>
    <i r="1">
      <x v="11"/>
    </i>
    <i>
      <x v="12"/>
      <x/>
    </i>
    <i r="1">
      <x v="1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>
      <x v="13"/>
      <x/>
    </i>
    <i r="1">
      <x v="1"/>
    </i>
    <i r="1">
      <x v="14"/>
    </i>
    <i r="1">
      <x v="15"/>
    </i>
    <i r="1">
      <x v="16"/>
    </i>
    <i r="1">
      <x v="17"/>
    </i>
    <i r="1">
      <x v="18"/>
    </i>
    <i>
      <x v="14"/>
      <x/>
    </i>
    <i r="1">
      <x v="7"/>
    </i>
    <i r="1">
      <x v="11"/>
    </i>
    <i>
      <x v="15"/>
      <x v="11"/>
    </i>
    <i>
      <x v="16"/>
      <x v="11"/>
    </i>
    <i r="1">
      <x v="19"/>
    </i>
    <i r="1">
      <x v="20"/>
    </i>
    <i r="1">
      <x v="21"/>
    </i>
    <i r="1">
      <x v="22"/>
    </i>
    <i r="1">
      <x v="23"/>
    </i>
    <i>
      <x v="17"/>
      <x v="11"/>
    </i>
    <i>
      <x v="18"/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>
      <x v="19"/>
      <x v="7"/>
    </i>
    <i r="1">
      <x v="43"/>
    </i>
    <i r="1">
      <x v="44"/>
    </i>
    <i>
      <x v="20"/>
      <x/>
    </i>
    <i r="1">
      <x v="3"/>
    </i>
    <i r="1">
      <x v="5"/>
    </i>
    <i r="1">
      <x v="7"/>
    </i>
    <i r="1">
      <x v="9"/>
    </i>
    <i r="1">
      <x v="10"/>
    </i>
    <i r="1">
      <x v="12"/>
    </i>
    <i r="1">
      <x v="13"/>
    </i>
    <i r="1">
      <x v="45"/>
    </i>
    <i>
      <x v="21"/>
      <x v="46"/>
    </i>
    <i>
      <x v="22"/>
      <x v="9"/>
    </i>
    <i>
      <x v="23"/>
      <x/>
    </i>
    <i r="1"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Familia_P_S" cacheId="1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Familia Producto/ Servicio" fieldListSortAscending="1">
  <location ref="A1:A25" firstHeaderRow="1" firstDataRow="1" firstDataCol="1"/>
  <pivotFields count="7">
    <pivotField showAll="0" defaultSubtotal="0"/>
    <pivotField axis="axisRow" showAll="0" includeNewItemsInFilter="1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Dinámica2" cacheId="3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Agencias">
  <location ref="AM3:AM7" firstHeaderRow="1" firstDataRow="1" firstDataCol="1" rowPageCount="1" colPageCount="1"/>
  <pivotFields count="9">
    <pivotField subtotalTop="0" showAll="0" defaultSubtotal="0"/>
    <pivotField subtotalTop="0" showAll="0" defaultSubtotal="0"/>
    <pivotField axis="axisRow" subtotalTop="0" showAll="0" defaultSubtotal="0">
      <items count="1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9"/>
        <item x="180"/>
        <item x="181"/>
        <item x="182"/>
        <item x="178"/>
        <item x="183"/>
      </items>
    </pivotField>
    <pivotField subtotalTop="0" showAll="0" defaultSubtotal="0"/>
    <pivotField subtotalTop="0" showAll="0" defaultSubtotal="0"/>
    <pivotField subtotalTop="0" showAll="0" defaultSubtotal="0"/>
    <pivotField showAll="0" defaultSubtotal="0"/>
    <pivotField subtotalTop="0" showAll="0" defaultSubtotal="0"/>
    <pivotField axis="axisPage" subtotalTop="0" multipleItemSelectionAllowed="1" showAll="0" defaultSubtotal="0">
      <items count="2">
        <item h="1" x="0"/>
        <item x="1"/>
      </items>
    </pivotField>
  </pivotFields>
  <rowFields count="1">
    <field x="2"/>
  </rowFields>
  <rowItems count="4">
    <i>
      <x v="24"/>
    </i>
    <i>
      <x v="31"/>
    </i>
    <i>
      <x v="43"/>
    </i>
    <i>
      <x v="183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TablaDinámica8" cacheId="3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Agencias">
  <location ref="AI1:AI185" firstHeaderRow="1" firstDataRow="1" firstDataCol="1"/>
  <pivotFields count="9">
    <pivotField subtotalTop="0" showAll="0" defaultSubtotal="0"/>
    <pivotField subtotalTop="0" showAll="0" defaultSubtotal="0"/>
    <pivotField axis="axisRow" subtotalTop="0" showAll="0" defaultSubtotal="0">
      <items count="1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9"/>
        <item x="180"/>
        <item x="181"/>
        <item x="182"/>
        <item x="178"/>
        <item x="183"/>
      </items>
    </pivotField>
    <pivotField subtotalTop="0" showAll="0" defaultSubtotal="0"/>
    <pivotField subtotalTop="0" showAll="0" defaultSubtotal="0"/>
    <pivotField subtotalTop="0" showAll="0" defaultSubtotal="0"/>
    <pivotField showAll="0" defaultSubtotal="0"/>
    <pivotField subtotalTop="0" showAll="0" defaultSubtotal="0"/>
    <pivotField subtotalTop="0" showAll="0" defaultSubtotal="0"/>
  </pivotFields>
  <rowFields count="1">
    <field x="2"/>
  </rowFields>
  <rowItems count="1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laDinámica4" cacheId="1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Coordinador de riesgo">
  <location ref="E1:E17" firstHeaderRow="1" firstDataRow="1" firstDataCol="1"/>
  <pivotFields count="16"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16">
        <item x="8"/>
        <item x="9"/>
        <item x="10"/>
        <item x="11"/>
        <item x="13"/>
        <item x="7"/>
        <item x="12"/>
        <item x="3"/>
        <item x="4"/>
        <item x="5"/>
        <item x="2"/>
        <item x="1"/>
        <item x="0"/>
        <item x="6"/>
        <item x="14"/>
        <item x="15"/>
      </items>
    </pivotField>
    <pivotField subtotalTop="0" showAll="0" defaultSubtotal="0"/>
    <pivotField subtotalTop="0" showAll="0" defaultSubtotal="0"/>
  </pivotFields>
  <rowFields count="1">
    <field x="13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ablaDinámica5" cacheId="2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Productos">
  <location ref="G1:G39" firstHeaderRow="1" firstDataRow="1" firstDataCol="1"/>
  <pivotFields count="18">
    <pivotField axis="axisRow" showAll="0" defaultSubtotal="0">
      <items count="38">
        <item x="12"/>
        <item x="1"/>
        <item x="9"/>
        <item x="19"/>
        <item x="7"/>
        <item x="35"/>
        <item x="16"/>
        <item x="5"/>
        <item x="0"/>
        <item x="25"/>
        <item x="34"/>
        <item x="37"/>
        <item x="18"/>
        <item x="3"/>
        <item x="21"/>
        <item x="11"/>
        <item x="27"/>
        <item x="32"/>
        <item x="8"/>
        <item x="22"/>
        <item x="36"/>
        <item x="30"/>
        <item x="6"/>
        <item x="24"/>
        <item x="26"/>
        <item x="4"/>
        <item x="29"/>
        <item x="10"/>
        <item x="23"/>
        <item x="15"/>
        <item x="13"/>
        <item x="28"/>
        <item x="20"/>
        <item x="17"/>
        <item x="31"/>
        <item x="33"/>
        <item x="2"/>
        <item x="14"/>
      </items>
    </pivotField>
    <pivotField showAll="0" defaultSubtotal="0"/>
    <pivotField numFmtId="167" showAll="0" defaultSubtotal="0"/>
    <pivotField numFmtId="166" showAll="0" defaultSubtotal="0"/>
    <pivotField showAll="0" defaultSubtotal="0"/>
    <pivotField numFmtId="167" showAll="0" defaultSubtotal="0"/>
    <pivotField numFmtId="167" showAll="0" defaultSubtotal="0"/>
    <pivotField numFmtId="10" showAll="0" defaultSubtotal="0"/>
    <pivotField numFmtId="10" showAll="0" defaultSubtotal="0"/>
    <pivotField numFmtId="10" showAll="0" defaultSubtotal="0"/>
    <pivotField numFmtId="10" showAll="0" defaultSubtotal="0"/>
    <pivotField numFmtId="10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0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7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ATM's y agentes Rating">
  <location ref="K3:K9" firstHeaderRow="1" firstDataRow="1" firstDataCol="1" rowPageCount="1" colPageCount="1"/>
  <pivotFields count="7">
    <pivotField subtotalTop="0" showAll="0" defaultSubtotal="0"/>
    <pivotField axis="axisRow" subtotalTop="0" showAll="0" defaultSubtotal="0">
      <items count="17">
        <item x="12"/>
        <item x="14"/>
        <item x="7"/>
        <item x="6"/>
        <item x="8"/>
        <item x="9"/>
        <item x="1"/>
        <item x="15"/>
        <item x="5"/>
        <item x="13"/>
        <item x="11"/>
        <item x="10"/>
        <item x="4"/>
        <item x="3"/>
        <item x="2"/>
        <item x="0"/>
        <item x="16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Page" subtotalTop="0" showAll="0" defaultSubtotal="0">
      <items count="4">
        <item x="1"/>
        <item x="0"/>
        <item x="3"/>
        <item x="2"/>
      </items>
    </pivotField>
  </pivotFields>
  <rowFields count="1">
    <field x="1"/>
  </rowFields>
  <rowItems count="6">
    <i>
      <x/>
    </i>
    <i>
      <x v="6"/>
    </i>
    <i>
      <x v="9"/>
    </i>
    <i>
      <x v="13"/>
    </i>
    <i>
      <x v="14"/>
    </i>
    <i>
      <x v="15"/>
    </i>
  </rowItems>
  <colItems count="1">
    <i/>
  </colItems>
  <pageFields count="1">
    <pageField fld="6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6" cacheId="2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 rowHeaderCaption="Procesos de Soporte">
  <location ref="I1:I10" firstHeaderRow="1" firstDataRow="1" firstDataCol="1"/>
  <pivotFields count="17">
    <pivotField axis="axisRow" showAll="0" defaultSubtotal="0">
      <items count="9">
        <item x="1"/>
        <item x="4"/>
        <item x="3"/>
        <item x="2"/>
        <item x="6"/>
        <item x="0"/>
        <item x="5"/>
        <item x="8"/>
        <item x="7"/>
      </items>
    </pivotField>
    <pivotField showAll="0" defaultSubtotal="0"/>
    <pivotField numFmtId="2" showAll="0" defaultSubtotal="0"/>
    <pivotField numFmtId="44" showAll="0" defaultSubtotal="0"/>
    <pivotField showAll="0" defaultSubtotal="0"/>
    <pivotField showAll="0" defaultSubtotal="0"/>
    <pivotField numFmtId="44" showAll="0" defaultSubtotal="0"/>
    <pivotField numFmtId="169" showAll="0" defaultSubtotal="0"/>
    <pivotField numFmtId="10" showAll="0" defaultSubtotal="0"/>
    <pivotField numFmtId="10" showAll="0" defaultSubtotal="0"/>
    <pivotField numFmtId="10" showAll="0" defaultSubtotal="0"/>
    <pivotField numFmtId="10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Relacion_Prod_Tab" displayName="Relacion_Prod_Tab" ref="U1:V7" totalsRowShown="0">
  <autoFilter ref="U1:V7" xr:uid="{00000000-0009-0000-0100-000007000000}"/>
  <tableColumns count="2">
    <tableColumn id="1" xr3:uid="{00000000-0010-0000-0000-000001000000}" name="Matriz"/>
    <tableColumn id="2" xr3:uid="{00000000-0010-0000-0000-000002000000}" name="Tabla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Z1:AD9" totalsRowShown="0">
  <autoFilter ref="Z1:AD9" xr:uid="{00000000-0009-0000-0100-000008000000}"/>
  <tableColumns count="5">
    <tableColumn id="1" xr3:uid="{00000000-0010-0000-0100-000001000000}" name="Criterio Significativo (Dic 2020)"/>
    <tableColumn id="2" xr3:uid="{00000000-0010-0000-0100-000002000000}" name="1"/>
    <tableColumn id="3" xr3:uid="{00000000-0010-0000-0100-000003000000}" name="2"/>
    <tableColumn id="4" xr3:uid="{00000000-0010-0000-0100-000004000000}" name="3"/>
    <tableColumn id="5" xr3:uid="{00000000-0010-0000-0100-000005000000}" name="4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_Productos" displayName="Tab_Productos" ref="A1:R40" totalsRowCount="1" tableBorderDxfId="133">
  <autoFilter ref="A1:R39" xr:uid="{00000000-0009-0000-0100-000003000000}"/>
  <tableColumns count="18">
    <tableColumn id="2" xr3:uid="{00000000-0010-0000-0200-000002000000}" name="Producto" totalsRowLabel="Total" dataDxfId="132" totalsRowDxfId="131"/>
    <tableColumn id="1" xr3:uid="{00000000-0010-0000-0200-000001000000}" name="Línea de Negocio" totalsRowFunction="custom" dataDxfId="130" totalsRowDxfId="129">
      <totalsRowFormula>+Tab_Productos[[#Totals],[Producto]]</totalsRowFormula>
    </tableColumn>
    <tableColumn id="3" xr3:uid="{00000000-0010-0000-0200-000003000000}" name="N° Objetivos Estrategicos" totalsRowLabel="13" dataDxfId="128" totalsRowDxfId="127"/>
    <tableColumn id="5" xr3:uid="{00000000-0010-0000-0200-000005000000}" name="Ingresos" totalsRowFunction="sum" dataDxfId="126" totalsRowDxfId="125"/>
    <tableColumn id="4" xr3:uid="{00000000-0010-0000-0200-000004000000}" name="Cartera / Saldo" totalsRowFunction="sum" dataDxfId="124" totalsRowDxfId="123"/>
    <tableColumn id="6" xr3:uid="{00000000-0010-0000-0200-000006000000}" name="N° clientes" totalsRowFunction="sum" dataDxfId="122" totalsRowDxfId="121"/>
    <tableColumn id="7" xr3:uid="{00000000-0010-0000-0200-000007000000}" name="Pérdida RO" totalsRowFunction="sum" dataDxfId="120" totalsRowDxfId="119"/>
    <tableColumn id="8" xr3:uid="{00000000-0010-0000-0200-000008000000}" name="N° Objetivos Estrategicos (%)" dataDxfId="118" totalsRowDxfId="117">
      <calculatedColumnFormula>Tab_Productos[[#This Row],[N° Objetivos Estrategicos]]/Tab_Productos[[#Totals],[N° Objetivos Estrategicos]]</calculatedColumnFormula>
    </tableColumn>
    <tableColumn id="10" xr3:uid="{00000000-0010-0000-0200-00000A000000}" name="Ingresos (%)" totalsRowFunction="sum" dataDxfId="116" totalsRowDxfId="115">
      <calculatedColumnFormula>Tab_Productos[[#This Row],[Ingresos]]/Tab_Productos[[#Totals],[Ingresos]]</calculatedColumnFormula>
    </tableColumn>
    <tableColumn id="9" xr3:uid="{00000000-0010-0000-0200-000009000000}" name="Cartera / Saldo (%)" totalsRowFunction="sum" dataDxfId="114" totalsRowDxfId="113">
      <calculatedColumnFormula>Tab_Productos[[#This Row],[Cartera / Saldo]]/Tab_Productos[[#Totals],[Cartera / Saldo]]</calculatedColumnFormula>
    </tableColumn>
    <tableColumn id="11" xr3:uid="{00000000-0010-0000-0200-00000B000000}" name="N° clientes (%)" totalsRowFunction="sum" dataDxfId="112" totalsRowDxfId="111">
      <calculatedColumnFormula>Tab_Productos[[#This Row],[N° clientes]]/Tab_Productos[[#Totals],[N° clientes]]</calculatedColumnFormula>
    </tableColumn>
    <tableColumn id="12" xr3:uid="{00000000-0010-0000-0200-00000C000000}" name="Pérdida RO (%)" totalsRowFunction="sum" dataDxfId="110" totalsRowDxfId="109">
      <calculatedColumnFormula>Tab_Productos[[#This Row],[Pérdida RO]]/Tab_Productos[[#Totals],[Pérdida RO]]</calculatedColumnFormula>
    </tableColumn>
    <tableColumn id="13" xr3:uid="{00000000-0010-0000-0200-00000D000000}" name="Parte del Plan" totalsRowFunction="custom" dataDxfId="108" totalsRowDxfId="107">
      <totalsRowFormula>COUNTIFS(Tab_Productos[Parte del Plan],"Si")</totalsRowFormula>
    </tableColumn>
    <tableColumn id="14" xr3:uid="{00000000-0010-0000-0200-00000E000000}" name="RTO PCN" totalsRowFunction="custom" dataDxfId="106" totalsRowDxfId="105">
      <totalsRowFormula>COUNTIFS(Tab_Productos[Parte del Plan],"Si",Tab_Productos[RTO PCN],"&lt;=4")</totalsRowFormula>
    </tableColumn>
    <tableColumn id="15" xr3:uid="{00000000-0010-0000-0200-00000F000000}" name="Procesos RTO mínimo" dataDxfId="104" totalsRowDxfId="103"/>
    <tableColumn id="16" xr3:uid="{00000000-0010-0000-0200-000010000000}" name="% procesos PCN" dataDxfId="102" totalsRowDxfId="101"/>
    <tableColumn id="17" xr3:uid="{00000000-0010-0000-0200-000011000000}" name="PCI - directo" totalsRowFunction="custom" dataDxfId="100" totalsRowDxfId="99">
      <totalsRowFormula>COUNTA(Tab_Productos[PCI - directo])</totalsRowFormula>
    </tableColumn>
    <tableColumn id="20" xr3:uid="{00000000-0010-0000-0200-000014000000}" name="Tipo Cartera" totalsRowFunction="count" dataDxfId="98" totalsRowDxfId="97">
      <calculatedColumnFormula>IFERROR(VLOOKUP(Tab_Productos[[#This Row],[Producto]],Tab_Productos_RO_Detalle[[Producto AQP]:[Tipo de Cartera]],6,FALSE),"Ingresar información")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_Proc_soporte" displayName="Tab_Proc_soporte" ref="A1:Q11" totalsRowCount="1" dataDxfId="96" tableBorderDxfId="95">
  <autoFilter ref="A1:Q10" xr:uid="{00000000-0009-0000-0100-000004000000}"/>
  <tableColumns count="17">
    <tableColumn id="3" xr3:uid="{00000000-0010-0000-0300-000003000000}" name="Nivel 2 - Producto AQP" totalsRowLabel="Total" dataDxfId="94" totalsRowDxfId="93"/>
    <tableColumn id="1" xr3:uid="{00000000-0010-0000-0300-000001000000}" name="Nivel 1 - SBS" totalsRowFunction="custom" dataDxfId="92" totalsRowDxfId="91">
      <totalsRowFormula>Tab_Proc_soporte[[#Totals],[Nivel 2 - Producto AQP]]</totalsRowFormula>
    </tableColumn>
    <tableColumn id="4" xr3:uid="{00000000-0010-0000-0300-000004000000}" name="N° Objetivos Estrategicos" totalsRowLabel="12" dataDxfId="90"/>
    <tableColumn id="5" xr3:uid="{00000000-0010-0000-0300-000005000000}" name="Gasto Real" totalsRowFunction="sum" dataDxfId="89" totalsRowDxfId="88"/>
    <tableColumn id="6" xr3:uid="{00000000-0010-0000-0300-000006000000}" name="N° productos RO" totalsRowLabel="47" dataDxfId="87" totalsRowDxfId="86"/>
    <tableColumn id="7" xr3:uid="{00000000-0010-0000-0300-000007000000}" name="N° personas (colaboradores)" totalsRowFunction="custom">
      <totalsRowFormula>MAX(Tab_Proc_soporte[N° personas (colaboradores)])</totalsRowFormula>
    </tableColumn>
    <tableColumn id="8" xr3:uid="{00000000-0010-0000-0300-000008000000}" name="Pérdida RO" totalsRowFunction="sum" dataDxfId="85" totalsRowDxfId="84"/>
    <tableColumn id="9" xr3:uid="{00000000-0010-0000-0300-000009000000}" name="N° Objetivos Estrategicos (%)" dataDxfId="83" totalsRowDxfId="82">
      <calculatedColumnFormula>Tab_Proc_soporte[[#This Row],[N° Objetivos Estrategicos]]/Tab_Proc_soporte[[#Totals],[N° Objetivos Estrategicos]]</calculatedColumnFormula>
    </tableColumn>
    <tableColumn id="10" xr3:uid="{00000000-0010-0000-0300-00000A000000}" name="Gasto Real (%)" totalsRowFunction="sum" dataDxfId="81" totalsRowDxfId="80">
      <calculatedColumnFormula>Tab_Proc_soporte[[#This Row],[Gasto Real]]/Tab_Proc_soporte[[#Totals],[Gasto Real]]</calculatedColumnFormula>
    </tableColumn>
    <tableColumn id="11" xr3:uid="{00000000-0010-0000-0300-00000B000000}" name="N° productos RO (%)" dataDxfId="79" totalsRowDxfId="78">
      <calculatedColumnFormula>Tab_Proc_soporte[[#This Row],[N° productos RO]]/Tab_Proc_soporte[[#Totals],[N° productos RO]]</calculatedColumnFormula>
    </tableColumn>
    <tableColumn id="12" xr3:uid="{00000000-0010-0000-0300-00000C000000}" name="N° personas (colaboradores) (%)" dataDxfId="77" totalsRowDxfId="76">
      <calculatedColumnFormula>Tab_Proc_soporte[[#This Row],[N° personas (colaboradores)]]/Tab_Proc_soporte[[#Totals],[N° personas (colaboradores)]]</calculatedColumnFormula>
    </tableColumn>
    <tableColumn id="13" xr3:uid="{00000000-0010-0000-0300-00000D000000}" name="Pérdida RO (%)" totalsRowFunction="sum" dataDxfId="75" totalsRowDxfId="74">
      <calculatedColumnFormula>Tab_Proc_soporte[[#This Row],[Pérdida RO]]/Tab_Proc_soporte[[#Totals],[Pérdida RO]]</calculatedColumnFormula>
    </tableColumn>
    <tableColumn id="14" xr3:uid="{00000000-0010-0000-0300-00000E000000}" name="Parte del Plan" totalsRowFunction="custom" dataDxfId="73" totalsRowDxfId="72">
      <totalsRowFormula>COUNTIFS(Tab_Proc_soporte[Parte del Plan],"Si")</totalsRowFormula>
    </tableColumn>
    <tableColumn id="15" xr3:uid="{00000000-0010-0000-0300-00000F000000}" name="RTO PCN" totalsRowFunction="custom" dataDxfId="71" totalsRowDxfId="70">
      <totalsRowFormula>COUNTIFS(Tab_Proc_soporte[Parte del Plan],"Si",Tab_Proc_soporte[RTO PCN],"&lt;=4")</totalsRowFormula>
    </tableColumn>
    <tableColumn id="16" xr3:uid="{00000000-0010-0000-0300-000010000000}" name="Productos RTO mínimo" dataDxfId="69" totalsRowDxfId="68"/>
    <tableColumn id="17" xr3:uid="{00000000-0010-0000-0300-000011000000}" name="% procesos PCN" dataDxfId="67" totalsRowDxfId="66"/>
    <tableColumn id="18" xr3:uid="{00000000-0010-0000-0300-000012000000}" name="Afecto a LPDP" totalsRowFunction="custom" dataDxfId="65" totalsRowDxfId="64">
      <totalsRowFormula>COUNTA(Tab_Proc_soporte[Afecto a LPDP])</totalsRow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_Canales" displayName="Tab_Canales" ref="A1:G18" totalsRowShown="0" headerRowDxfId="63" dataDxfId="61" headerRowBorderDxfId="62" tableBorderDxfId="60" totalsRowBorderDxfId="59">
  <autoFilter ref="A1:G18" xr:uid="{00000000-0009-0000-0100-000005000000}"/>
  <tableColumns count="7">
    <tableColumn id="1" xr3:uid="{00000000-0010-0000-0400-000001000000}" name="Línea de Negocio" dataDxfId="58"/>
    <tableColumn id="2" xr3:uid="{00000000-0010-0000-0400-000002000000}" name="Canal" dataDxfId="57"/>
    <tableColumn id="3" xr3:uid="{00000000-0010-0000-0400-000003000000}" name="Local Caja" dataDxfId="56"/>
    <tableColumn id="4" xr3:uid="{00000000-0010-0000-0400-000004000000}" name="Plan Continuidad" dataDxfId="55"/>
    <tableColumn id="5" xr3:uid="{00000000-0010-0000-0400-000005000000}" name="Tipo Canal" dataDxfId="54"/>
    <tableColumn id="6" xr3:uid="{00000000-0010-0000-0400-000006000000}" name="Servicios TI 504" dataDxfId="53"/>
    <tableColumn id="7" xr3:uid="{00000000-0010-0000-0400-000007000000}" name="Tipo Canal Rating" dataDxfId="52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a911" displayName="Tabla911" ref="A1:J24" totalsRowShown="0" headerRowDxfId="46" dataDxfId="45" tableBorderDxfId="44">
  <autoFilter ref="A1:J24" xr:uid="{00000000-0009-0000-0100-00000A000000}"/>
  <tableColumns count="10">
    <tableColumn id="1" xr3:uid="{00000000-0010-0000-0500-000001000000}" name="COD" dataDxfId="43"/>
    <tableColumn id="2" xr3:uid="{00000000-0010-0000-0500-000002000000}" name="RUC" dataDxfId="42"/>
    <tableColumn id="3" xr3:uid="{00000000-0010-0000-0500-000003000000}" name="Proveedor" dataDxfId="41"/>
    <tableColumn id="4" xr3:uid="{00000000-0010-0000-0500-000004000000}" name="Servicio" dataDxfId="40"/>
    <tableColumn id="5" xr3:uid="{00000000-0010-0000-0500-000005000000}" name="Significativo - previamente" dataDxfId="39"/>
    <tableColumn id="6" xr3:uid="{00000000-0010-0000-0500-000006000000}" name="Subcontratación" dataDxfId="38"/>
    <tableColumn id="7" xr3:uid="{00000000-0010-0000-0500-000007000000}" name="Oficinas - Agencias " dataDxfId="37"/>
    <tableColumn id="8" xr3:uid="{00000000-0010-0000-0500-000008000000}" name="Cuidad" dataDxfId="36"/>
    <tableColumn id="9" xr3:uid="{00000000-0010-0000-0500-000009000000}" name="RTO PCN" dataDxfId="35"/>
    <tableColumn id="10" xr3:uid="{00000000-0010-0000-0500-00000A000000}" name="BIA Vigente" dataDxfId="34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_B_S_Compras" displayName="Tab_B_S_Compras" ref="A1:G205" totalsRowShown="0" headerRowDxfId="33" headerRowBorderDxfId="32" tableBorderDxfId="31">
  <autoFilter ref="A1:G205" xr:uid="{00000000-0009-0000-0100-000002000000}">
    <filterColumn colId="1">
      <filters>
        <filter val="ATENCIONES A CLIENTES"/>
        <filter val="ATENCIONES AL PERSONAL"/>
      </filters>
    </filterColumn>
  </autoFilter>
  <tableColumns count="7">
    <tableColumn id="1" xr3:uid="{00000000-0010-0000-0600-000001000000}" name="COD_FAMILIA"/>
    <tableColumn id="2" xr3:uid="{00000000-0010-0000-0600-000002000000}" name="FAMILIA" dataDxfId="30"/>
    <tableColumn id="3" xr3:uid="{00000000-0010-0000-0600-000003000000}" name="COD_SUBFAM" dataDxfId="29"/>
    <tableColumn id="4" xr3:uid="{00000000-0010-0000-0600-000004000000}" name="SUBFAMILIA" dataDxfId="28"/>
    <tableColumn id="7" xr3:uid="{00000000-0010-0000-0600-000007000000}" name="COMPRADOR" dataDxfId="27"/>
    <tableColumn id="8" xr3:uid="{00000000-0010-0000-0600-000008000000}" name="PCN"/>
    <tableColumn id="9" xr3:uid="{00000000-0010-0000-0600-000009000000}" name="Servicios TI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_Agencias" displayName="Tab_Agencias" ref="A1:I185" totalsRowShown="0" headerRowDxfId="25">
  <autoFilter ref="A1:I185" xr:uid="{00000000-0009-0000-0100-000006000000}"/>
  <tableColumns count="9">
    <tableColumn id="1" xr3:uid="{00000000-0010-0000-0700-000001000000}" name="TIPO_AGENCIA" dataDxfId="24"/>
    <tableColumn id="2" xr3:uid="{00000000-0010-0000-0700-000002000000}" name="COD_AGENCIA" dataDxfId="23"/>
    <tableColumn id="3" xr3:uid="{00000000-0010-0000-0700-000003000000}" name="NOMBRE_AGENCIA/OFICINA" dataDxfId="22"/>
    <tableColumn id="4" xr3:uid="{00000000-0010-0000-0700-000004000000}" name="DIRECCION" dataDxfId="21"/>
    <tableColumn id="5" xr3:uid="{00000000-0010-0000-0700-000005000000}" name="DPTO" dataDxfId="20"/>
    <tableColumn id="6" xr3:uid="{00000000-0010-0000-0700-000006000000}" name="PROVINCIA" dataDxfId="19"/>
    <tableColumn id="7" xr3:uid="{00000000-0010-0000-0700-000007000000}" name="DISTRITO" dataDxfId="18"/>
    <tableColumn id="8" xr3:uid="{00000000-0010-0000-0700-000008000000}" name="UBIGEO" dataDxfId="17"/>
    <tableColumn id="9" xr3:uid="{00000000-0010-0000-0700-000009000000}" name="¿Prioritaria/Critica?" dataDxfId="16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8000000}" name="Tab_Productos_RO_Detalle" displayName="Tab_Productos_RO_Detalle" ref="A1:P88" totalsRowShown="0">
  <autoFilter ref="A1:P88" xr:uid="{00000000-0009-0000-0100-000001000000}"/>
  <tableColumns count="16">
    <tableColumn id="1" xr3:uid="{00000000-0010-0000-0800-000001000000}" name="N1" dataDxfId="15"/>
    <tableColumn id="2" xr3:uid="{00000000-0010-0000-0800-000002000000}" name="Nivel 1 - SBS" dataDxfId="14"/>
    <tableColumn id="3" xr3:uid="{00000000-0010-0000-0800-000003000000}" name="N2" dataDxfId="13"/>
    <tableColumn id="4" xr3:uid="{00000000-0010-0000-0800-000004000000}" name="Nivel 2 - SBS" dataDxfId="12"/>
    <tableColumn id="5" xr3:uid="{00000000-0010-0000-0800-000005000000}" name="N3" dataDxfId="11"/>
    <tableColumn id="6" xr3:uid="{00000000-0010-0000-0800-000006000000}" name="Nivel 3 - SBS" dataDxfId="10"/>
    <tableColumn id="7" xr3:uid="{00000000-0010-0000-0800-000007000000}" name="N1P" dataDxfId="9"/>
    <tableColumn id="8" xr3:uid="{00000000-0010-0000-0800-000008000000}" name="Nivel 1 - Tipo de Producto" dataDxfId="8"/>
    <tableColumn id="9" xr3:uid="{00000000-0010-0000-0800-000009000000}" name="Nivel 2" dataDxfId="7"/>
    <tableColumn id="10" xr3:uid="{00000000-0010-0000-0800-00000A000000}" name="Producto AQP" dataDxfId="6"/>
    <tableColumn id="11" xr3:uid="{00000000-0010-0000-0800-00000B000000}" name="N3SP" dataDxfId="5"/>
    <tableColumn id="12" xr3:uid="{00000000-0010-0000-0800-00000C000000}" name="Nivel 3 - Sub Producto AQP" dataDxfId="4"/>
    <tableColumn id="13" xr3:uid="{00000000-0010-0000-0800-00000D000000}" name="Dueño del Riesgo" dataDxfId="3"/>
    <tableColumn id="14" xr3:uid="{00000000-0010-0000-0800-00000E000000}" name="Coordinador de Riesgo" dataDxfId="2"/>
    <tableColumn id="15" xr3:uid="{00000000-0010-0000-0800-00000F000000}" name="Tipo de Cartera" dataDxfId="1"/>
    <tableColumn id="16" xr3:uid="{00000000-0010-0000-0800-000010000000}" name="RTO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>
    <pageSetUpPr fitToPage="1"/>
  </sheetPr>
  <dimension ref="A1:M82"/>
  <sheetViews>
    <sheetView showGridLines="0" tabSelected="1" topLeftCell="A22" zoomScale="70" zoomScaleNormal="70" workbookViewId="0">
      <selection activeCell="D24" sqref="D24"/>
    </sheetView>
  </sheetViews>
  <sheetFormatPr baseColWidth="10" defaultColWidth="10.88671875" defaultRowHeight="15" x14ac:dyDescent="0.3"/>
  <cols>
    <col min="1" max="1" width="10.88671875" style="142"/>
    <col min="2" max="2" width="2.6640625" style="142" customWidth="1"/>
    <col min="3" max="3" width="29" style="143" customWidth="1"/>
    <col min="4" max="4" width="32.6640625" style="142" customWidth="1"/>
    <col min="5" max="5" width="32.33203125" style="142" customWidth="1"/>
    <col min="6" max="6" width="40.109375" style="142" bestFit="1" customWidth="1"/>
    <col min="7" max="8" width="39.88671875" style="142" customWidth="1"/>
    <col min="9" max="9" width="31.33203125" style="142" customWidth="1"/>
    <col min="10" max="10" width="4.109375" style="142" customWidth="1"/>
    <col min="11" max="11" width="12.33203125" style="142" bestFit="1" customWidth="1"/>
    <col min="12" max="13" width="10.88671875" style="142"/>
    <col min="14" max="14" width="14.109375" style="142" bestFit="1" customWidth="1"/>
    <col min="15" max="16384" width="10.88671875" style="142"/>
  </cols>
  <sheetData>
    <row r="1" spans="2:10" ht="15.6" thickBot="1" x14ac:dyDescent="0.35"/>
    <row r="2" spans="2:10" ht="19.95" customHeight="1" x14ac:dyDescent="0.3">
      <c r="B2" s="144"/>
      <c r="C2" s="145"/>
      <c r="D2" s="146"/>
      <c r="E2" s="146"/>
      <c r="F2" s="146"/>
      <c r="G2" s="146"/>
      <c r="H2" s="146"/>
      <c r="I2" s="146"/>
      <c r="J2" s="147"/>
    </row>
    <row r="3" spans="2:10" ht="37.5" customHeight="1" x14ac:dyDescent="0.3">
      <c r="B3" s="148"/>
      <c r="C3" s="354" t="s">
        <v>1428</v>
      </c>
      <c r="D3" s="354"/>
      <c r="E3" s="354"/>
      <c r="F3" s="354"/>
      <c r="G3" s="354"/>
      <c r="H3" s="354"/>
      <c r="I3" s="354"/>
      <c r="J3" s="149"/>
    </row>
    <row r="4" spans="2:10" ht="19.95" customHeight="1" thickBot="1" x14ac:dyDescent="0.35">
      <c r="B4" s="148"/>
      <c r="J4" s="149"/>
    </row>
    <row r="5" spans="2:10" ht="33.450000000000003" customHeight="1" thickBot="1" x14ac:dyDescent="0.35">
      <c r="B5" s="148"/>
      <c r="C5" s="150" t="s">
        <v>6</v>
      </c>
      <c r="D5" s="355" t="s">
        <v>823</v>
      </c>
      <c r="E5" s="356"/>
      <c r="F5" s="357"/>
      <c r="H5" s="151" t="s">
        <v>52</v>
      </c>
      <c r="I5" s="152" t="s">
        <v>448</v>
      </c>
      <c r="J5" s="149"/>
    </row>
    <row r="6" spans="2:10" ht="33.450000000000003" customHeight="1" thickBot="1" x14ac:dyDescent="0.35">
      <c r="B6" s="148"/>
      <c r="C6" s="150" t="s">
        <v>451</v>
      </c>
      <c r="D6" s="358" t="str">
        <f>IF(AND(D7="",E7=""),"",IF(D7&lt;&gt;"",IF(E7="","COMPLETAR SUBFAMILIA",VLOOKUP(E7,'Bien Servicio compras'!D:E,2,FALSE)),"COMPLETAR FAMILIA"))</f>
        <v>CONTRERAS MENDOZA, AMANDA PIERINA</v>
      </c>
      <c r="E6" s="359"/>
      <c r="F6" s="360"/>
      <c r="H6" s="151" t="s">
        <v>51</v>
      </c>
      <c r="I6" s="153">
        <v>52000</v>
      </c>
      <c r="J6" s="149"/>
    </row>
    <row r="7" spans="2:10" ht="33.450000000000003" customHeight="1" thickBot="1" x14ac:dyDescent="0.35">
      <c r="B7" s="148"/>
      <c r="C7" s="150" t="s">
        <v>477</v>
      </c>
      <c r="D7" s="154" t="s">
        <v>388</v>
      </c>
      <c r="E7" s="367" t="s">
        <v>1334</v>
      </c>
      <c r="F7" s="368"/>
      <c r="G7" s="155"/>
      <c r="H7" s="151" t="s">
        <v>775</v>
      </c>
      <c r="I7" s="156" t="s">
        <v>1432</v>
      </c>
      <c r="J7" s="149"/>
    </row>
    <row r="8" spans="2:10" ht="33.450000000000003" customHeight="1" thickBot="1" x14ac:dyDescent="0.35">
      <c r="B8" s="148"/>
      <c r="C8" s="150" t="s">
        <v>1386</v>
      </c>
      <c r="D8" s="361" t="s">
        <v>1431</v>
      </c>
      <c r="E8" s="362"/>
      <c r="F8" s="363"/>
      <c r="H8" s="151" t="s">
        <v>348</v>
      </c>
      <c r="I8" s="156" t="s">
        <v>1433</v>
      </c>
      <c r="J8" s="149"/>
    </row>
    <row r="9" spans="2:10" ht="33.450000000000003" customHeight="1" thickBot="1" x14ac:dyDescent="0.35">
      <c r="B9" s="148"/>
      <c r="C9" s="157" t="s">
        <v>340</v>
      </c>
      <c r="D9" s="364" t="s">
        <v>811</v>
      </c>
      <c r="E9" s="365"/>
      <c r="F9" s="366"/>
      <c r="H9" s="158" t="s">
        <v>776</v>
      </c>
      <c r="I9" s="307"/>
      <c r="J9" s="149"/>
    </row>
    <row r="10" spans="2:10" ht="33.450000000000003" customHeight="1" thickBot="1" x14ac:dyDescent="0.35">
      <c r="B10" s="148"/>
      <c r="C10" s="157" t="s">
        <v>441</v>
      </c>
      <c r="D10" s="159">
        <v>20539570219</v>
      </c>
      <c r="E10" s="367" t="str">
        <f>IFERROR(IF(D10="","",VLOOKUP(D10,'Proveedores PCN'!B:C,2,FALSE)),"Ingresar información")</f>
        <v>Ingresar información</v>
      </c>
      <c r="F10" s="368"/>
      <c r="G10" s="155" t="str">
        <f>IFERROR(IF(E10="Ingresar información","Proveedor no forma parte de PCN",""),"")</f>
        <v>Proveedor no forma parte de PCN</v>
      </c>
      <c r="J10" s="149"/>
    </row>
    <row r="11" spans="2:10" x14ac:dyDescent="0.3">
      <c r="B11" s="148"/>
      <c r="C11" s="142"/>
      <c r="J11" s="149"/>
    </row>
    <row r="12" spans="2:10" ht="30" customHeight="1" x14ac:dyDescent="0.3">
      <c r="B12" s="148"/>
      <c r="C12" s="374" t="s">
        <v>1424</v>
      </c>
      <c r="D12" s="374"/>
      <c r="E12" s="374"/>
      <c r="F12" s="374"/>
      <c r="G12" s="374"/>
      <c r="H12" s="374"/>
      <c r="I12" s="374"/>
      <c r="J12" s="149"/>
    </row>
    <row r="13" spans="2:10" ht="52.8" x14ac:dyDescent="0.3">
      <c r="B13" s="148"/>
      <c r="C13" s="372" t="s">
        <v>1425</v>
      </c>
      <c r="D13" s="372"/>
      <c r="E13" s="372"/>
      <c r="F13" s="372"/>
      <c r="G13" s="305" t="s">
        <v>1423</v>
      </c>
      <c r="H13" s="305" t="s">
        <v>1426</v>
      </c>
      <c r="I13" s="305" t="s">
        <v>1427</v>
      </c>
      <c r="J13" s="149"/>
    </row>
    <row r="14" spans="2:10" ht="94.95" customHeight="1" x14ac:dyDescent="0.3">
      <c r="B14" s="148"/>
      <c r="C14" s="373" t="s">
        <v>1434</v>
      </c>
      <c r="D14" s="373"/>
      <c r="E14" s="373"/>
      <c r="F14" s="373"/>
      <c r="G14" s="303" t="s">
        <v>1435</v>
      </c>
      <c r="H14" s="303" t="s">
        <v>395</v>
      </c>
      <c r="I14" s="303" t="s">
        <v>356</v>
      </c>
      <c r="J14" s="149"/>
    </row>
    <row r="15" spans="2:10" ht="30" customHeight="1" x14ac:dyDescent="0.3">
      <c r="B15" s="148"/>
      <c r="C15" s="374" t="s">
        <v>1330</v>
      </c>
      <c r="D15" s="374"/>
      <c r="E15" s="374"/>
      <c r="F15" s="374"/>
      <c r="G15" s="374"/>
      <c r="H15" s="374"/>
      <c r="I15" s="374"/>
      <c r="J15" s="149"/>
    </row>
    <row r="16" spans="2:10" ht="30" customHeight="1" x14ac:dyDescent="0.3">
      <c r="B16" s="148"/>
      <c r="C16" s="369" t="s">
        <v>1329</v>
      </c>
      <c r="D16" s="370"/>
      <c r="E16" s="370"/>
      <c r="F16" s="370"/>
      <c r="G16" s="376" t="s">
        <v>1331</v>
      </c>
      <c r="H16" s="376"/>
      <c r="I16" s="306" t="s">
        <v>1414</v>
      </c>
      <c r="J16" s="149"/>
    </row>
    <row r="17" spans="2:11" ht="40.5" customHeight="1" x14ac:dyDescent="0.3">
      <c r="B17" s="148"/>
      <c r="C17" s="284" t="s">
        <v>1332</v>
      </c>
      <c r="D17" s="371" t="s">
        <v>1417</v>
      </c>
      <c r="E17" s="371"/>
      <c r="F17" s="371"/>
      <c r="G17" s="304" t="s">
        <v>355</v>
      </c>
      <c r="H17" s="331" t="str">
        <f>IF(G17="Si",HYPERLINK(VLOOKUP(C17,INFO!$B:$C,2,FALSE),"Ingresar aquí"),"")</f>
        <v/>
      </c>
      <c r="I17" s="285" t="s">
        <v>1420</v>
      </c>
      <c r="J17" s="149"/>
    </row>
    <row r="18" spans="2:11" ht="52.8" x14ac:dyDescent="0.3">
      <c r="B18" s="148"/>
      <c r="C18" s="286" t="s">
        <v>1387</v>
      </c>
      <c r="D18" s="371" t="s">
        <v>1418</v>
      </c>
      <c r="E18" s="371"/>
      <c r="F18" s="371"/>
      <c r="G18" s="304" t="s">
        <v>355</v>
      </c>
      <c r="H18" s="331" t="str">
        <f>IF(G18="Si",HYPERLINK(VLOOKUP(C18,INFO!$B:$C,2,FALSE),"Ingresar aquí"),"")</f>
        <v/>
      </c>
      <c r="I18" s="285" t="s">
        <v>1421</v>
      </c>
      <c r="J18" s="149"/>
    </row>
    <row r="19" spans="2:11" ht="30" customHeight="1" thickBot="1" x14ac:dyDescent="0.35">
      <c r="B19" s="148"/>
      <c r="C19" s="375" t="s">
        <v>1388</v>
      </c>
      <c r="D19" s="351"/>
      <c r="E19" s="351"/>
      <c r="F19" s="351"/>
      <c r="G19" s="351"/>
      <c r="H19" s="351"/>
      <c r="I19" s="351"/>
      <c r="J19" s="149"/>
    </row>
    <row r="20" spans="2:11" ht="30" customHeight="1" thickBot="1" x14ac:dyDescent="0.35">
      <c r="B20" s="148"/>
      <c r="C20" s="308"/>
      <c r="D20" s="309"/>
      <c r="E20" s="309"/>
      <c r="F20" s="309"/>
      <c r="G20" s="339" t="s">
        <v>33</v>
      </c>
      <c r="H20" s="340"/>
      <c r="I20" s="340"/>
      <c r="J20" s="149"/>
    </row>
    <row r="21" spans="2:11" s="162" customFormat="1" ht="43.95" customHeight="1" thickBot="1" x14ac:dyDescent="0.35">
      <c r="B21" s="160"/>
      <c r="C21" s="5" t="s">
        <v>21</v>
      </c>
      <c r="D21" s="5" t="s">
        <v>12</v>
      </c>
      <c r="E21" s="6" t="s">
        <v>351</v>
      </c>
      <c r="F21" s="6" t="s">
        <v>35</v>
      </c>
      <c r="G21" s="6" t="s">
        <v>13</v>
      </c>
      <c r="H21" s="6" t="s">
        <v>15</v>
      </c>
      <c r="I21" s="310" t="s">
        <v>14</v>
      </c>
      <c r="J21" s="161"/>
    </row>
    <row r="22" spans="2:11" s="166" customFormat="1" ht="46.5" customHeight="1" x14ac:dyDescent="0.3">
      <c r="B22" s="163"/>
      <c r="C22" s="311" t="s">
        <v>1419</v>
      </c>
      <c r="D22" s="332">
        <f>IF(OR(D23="Si",AND(D24="No",COUNTA(D25:D29)=0),COUNTA(D23:D29)=0),0,IF(OR(SUM(G22:I22)=3,AND(D24="SI",COUNTA(D25:D29)=0)),1,2))</f>
        <v>1</v>
      </c>
      <c r="E22" s="332">
        <f>IF(OR(E23="Si",COUNTA(E23:E29)=0,AND(E24="No",COUNTA(E25:E29)=0)),0,IF(OR(SUM(H22:J22)=3,AND(E24="SI",COUNTA(E25:E29)=0)),1,2))</f>
        <v>2</v>
      </c>
      <c r="F22" s="333"/>
      <c r="G22" s="332">
        <f>IF(OR(G23="Si",COUNTA(G23:G29)=0),0,IF(AND(OR(G24="CAJA AQP",G24="SI"),COUNTA(G25:G29)=0),1,COUNTA(G25:G29)/(COUNTA(Parámetros!AI:AI)-1)))</f>
        <v>5.434782608695652E-3</v>
      </c>
      <c r="H22" s="332">
        <f>IF(OR(H23="Si",COUNTA(H23:H29)=0),0,IF(AND(H24="SI",COUNTA(H25:H29)=0),1,COUNTA(H25:H29)/(COUNTA(Parámetros!K:K)-2)))</f>
        <v>0.16666666666666666</v>
      </c>
      <c r="I22" s="332">
        <f>IF(OR(I23="Si",COUNTA(I23:I29)=0),0,IF(AND(I24="SI",COUNTA(I25:I29)=0),1,COUNTA(I25:I29)/(COUNTA(Parámetros!N:N)-2)))</f>
        <v>0.5</v>
      </c>
      <c r="J22" s="165"/>
    </row>
    <row r="23" spans="2:11" ht="31.2" x14ac:dyDescent="0.3">
      <c r="B23" s="148"/>
      <c r="C23" s="167" t="s">
        <v>1404</v>
      </c>
      <c r="D23" s="168" t="s">
        <v>355</v>
      </c>
      <c r="E23" s="168" t="s">
        <v>355</v>
      </c>
      <c r="F23" s="168" t="s">
        <v>355</v>
      </c>
      <c r="G23" s="168" t="s">
        <v>355</v>
      </c>
      <c r="H23" s="168" t="s">
        <v>355</v>
      </c>
      <c r="I23" s="168" t="s">
        <v>355</v>
      </c>
      <c r="J23" s="149"/>
    </row>
    <row r="24" spans="2:11" ht="31.2" x14ac:dyDescent="0.3">
      <c r="B24" s="148"/>
      <c r="C24" s="167" t="s">
        <v>1405</v>
      </c>
      <c r="D24" s="168" t="s">
        <v>356</v>
      </c>
      <c r="E24" s="168" t="s">
        <v>355</v>
      </c>
      <c r="F24" s="168" t="s">
        <v>355</v>
      </c>
      <c r="G24" s="168" t="s">
        <v>355</v>
      </c>
      <c r="H24" s="168" t="s">
        <v>355</v>
      </c>
      <c r="I24" s="168" t="s">
        <v>355</v>
      </c>
      <c r="J24" s="149"/>
    </row>
    <row r="25" spans="2:11" ht="21.45" customHeight="1" x14ac:dyDescent="0.3">
      <c r="B25" s="148"/>
      <c r="C25" s="169" t="s">
        <v>27</v>
      </c>
      <c r="D25" s="167"/>
      <c r="E25" s="167" t="s">
        <v>292</v>
      </c>
      <c r="F25" s="167" t="s">
        <v>931</v>
      </c>
      <c r="G25" s="167" t="s">
        <v>845</v>
      </c>
      <c r="H25" s="167" t="s">
        <v>422</v>
      </c>
      <c r="I25" s="167" t="s">
        <v>440</v>
      </c>
      <c r="J25" s="149"/>
      <c r="K25" s="188"/>
    </row>
    <row r="26" spans="2:11" ht="21.45" customHeight="1" x14ac:dyDescent="0.3">
      <c r="B26" s="148"/>
      <c r="C26" s="169" t="s">
        <v>28</v>
      </c>
      <c r="D26" s="167"/>
      <c r="E26" s="167" t="s">
        <v>308</v>
      </c>
      <c r="F26" s="167"/>
      <c r="G26" s="167"/>
      <c r="H26" s="167"/>
      <c r="I26" s="167"/>
      <c r="J26" s="149"/>
    </row>
    <row r="27" spans="2:11" ht="21.45" customHeight="1" x14ac:dyDescent="0.3">
      <c r="B27" s="148"/>
      <c r="C27" s="169" t="s">
        <v>29</v>
      </c>
      <c r="D27" s="167"/>
      <c r="E27" s="167"/>
      <c r="F27" s="167"/>
      <c r="G27" s="167"/>
      <c r="H27" s="167"/>
      <c r="I27" s="167"/>
      <c r="J27" s="149"/>
    </row>
    <row r="28" spans="2:11" ht="21.45" customHeight="1" x14ac:dyDescent="0.3">
      <c r="B28" s="148"/>
      <c r="C28" s="169" t="s">
        <v>30</v>
      </c>
      <c r="D28" s="167"/>
      <c r="E28" s="167"/>
      <c r="F28" s="167"/>
      <c r="G28" s="167"/>
      <c r="H28" s="167"/>
      <c r="I28" s="167"/>
      <c r="J28" s="149"/>
    </row>
    <row r="29" spans="2:11" ht="21.45" customHeight="1" x14ac:dyDescent="0.3">
      <c r="B29" s="148"/>
      <c r="C29" s="169" t="s">
        <v>31</v>
      </c>
      <c r="D29" s="167"/>
      <c r="E29" s="167"/>
      <c r="F29" s="167"/>
      <c r="G29" s="167"/>
      <c r="H29" s="167"/>
      <c r="I29" s="167"/>
      <c r="J29" s="149"/>
    </row>
    <row r="30" spans="2:11" ht="30" customHeight="1" thickBot="1" x14ac:dyDescent="0.35">
      <c r="B30" s="148"/>
      <c r="C30" s="345" t="s">
        <v>34</v>
      </c>
      <c r="D30" s="346"/>
      <c r="E30" s="346"/>
      <c r="F30" s="346"/>
      <c r="G30" s="346"/>
      <c r="H30" s="346"/>
      <c r="I30" s="312"/>
      <c r="J30" s="149"/>
    </row>
    <row r="31" spans="2:11" s="162" customFormat="1" ht="25.2" customHeight="1" thickBot="1" x14ac:dyDescent="0.35">
      <c r="B31" s="160"/>
      <c r="C31" s="5" t="s">
        <v>9</v>
      </c>
      <c r="D31" s="6" t="s">
        <v>40</v>
      </c>
      <c r="E31" s="6" t="s">
        <v>50</v>
      </c>
      <c r="F31" s="6" t="s">
        <v>24</v>
      </c>
      <c r="G31" s="6" t="s">
        <v>25</v>
      </c>
      <c r="H31" s="6"/>
      <c r="I31" s="6" t="s">
        <v>32</v>
      </c>
      <c r="J31" s="161"/>
    </row>
    <row r="32" spans="2:11" s="166" customFormat="1" ht="15.6" x14ac:dyDescent="0.3">
      <c r="B32" s="163"/>
      <c r="C32" s="21"/>
      <c r="D32" s="21"/>
      <c r="E32" s="21"/>
      <c r="F32" s="21"/>
      <c r="G32" s="21"/>
      <c r="H32" s="313"/>
      <c r="I32" s="314"/>
      <c r="J32" s="165"/>
    </row>
    <row r="33" spans="1:13" s="166" customFormat="1" ht="27" customHeight="1" x14ac:dyDescent="0.3">
      <c r="A33" s="302"/>
      <c r="B33" s="163"/>
      <c r="C33" s="315" t="s">
        <v>20</v>
      </c>
      <c r="D33" s="21" t="s">
        <v>17</v>
      </c>
      <c r="E33" s="21" t="s">
        <v>44</v>
      </c>
      <c r="F33" s="316">
        <f>IF(SUM($D$22:$E$22)=0,"",(IF($D$22=1,VLOOKUP("Total",Productos,3,FALSE),IF($D$22=2,MAX(IFERROR(VLOOKUP(D25,Productos,3,FALSE),0),IFERROR(VLOOKUP($D$26,Productos,3,FALSE),0),IFERROR(VLOOKUP($D$27,Productos,3,FALSE),0),IFERROR(VLOOKUP($D$28,Productos,3,FALSE),0),IFERROR(VLOOKUP($D$29,Productos,3,FALSE),0)),IF($E$22=1,VLOOKUP("Total",Proc_soporte,3,FALSE),IF($E$22=2,MAX(IFERROR(VLOOKUP($E$25,Proc_soporte,3,FALSE),0),IFERROR(VLOOKUP($E$26,Proc_soporte,3,FALSE),0),IFERROR(VLOOKUP($E$27,Proc_soporte,3,FALSE),0),IFERROR(VLOOKUP($E$28,Proc_soporte,3,FALSE),0),IFERROR(VLOOKUP($E$29,Proc_soporte,3,FALSE),0)))))))*IF(AND(OR($D$22=2,$E$22=2),G22&gt;0),G22,1))</f>
        <v>7.0652173913043473E-2</v>
      </c>
      <c r="G33" s="317">
        <f>IF(OR(SUM($D$22:$E$22)=0,F33=""),"",IF(AND($D$22=1,F33&gt;VLOOKUP("Total",Productos,3,FALSE)),1,IF(AND($D$22=1,F33&lt;VLOOKUP("Total",Productos,3,FALSE)),F33/VLOOKUP("Total",Productos,3,FALSE),IF(AND($E$22=1,F33&gt;=VLOOKUP("Total",Proc_soporte,3,FALSE)),1,F33/VLOOKUP("Total",Proc_soporte,3,FALSE)))))</f>
        <v>5.434782608695652E-3</v>
      </c>
      <c r="H33" s="313"/>
      <c r="I33" s="314">
        <f>IF(G33="","",IFERROR(IF(G33&lt;=VLOOKUP(C33,Criterios_rating,2,FALSE),1,IF(G33&lt;=VLOOKUP(C33,Criterios_rating,3,FALSE),2,IF(G33&lt;=VLOOKUP(C33,Criterios_rating,4,FALSE),3,4))),""))</f>
        <v>1</v>
      </c>
      <c r="J33" s="165"/>
    </row>
    <row r="34" spans="1:13" s="166" customFormat="1" ht="27" customHeight="1" x14ac:dyDescent="0.3">
      <c r="B34" s="163"/>
      <c r="C34" s="315" t="s">
        <v>344</v>
      </c>
      <c r="D34" s="21" t="s">
        <v>41</v>
      </c>
      <c r="E34" s="21" t="s">
        <v>336</v>
      </c>
      <c r="F34" s="318">
        <f>IF($D$22=0,"",(IF($D$22=1,SUMIF(Productos!$R:$R,"Activo",Productos!$E:$E),IF($D$22=2,SUM(IFERROR(IF(VLOOKUP($D$25,Productos,18,FALSE)="Activo",VLOOKUP($D$25,Productos,5,FALSE),0),0),IFERROR(IF(VLOOKUP($D$26,Productos,18,FALSE)="Activo",VLOOKUP($D$26,Productos,5,FALSE),0),0),IFERROR(IF(VLOOKUP($D$27,Productos,18,FALSE)="Activo",VLOOKUP($D$27,Productos,5,FALSE),0),0),IFERROR(IF(VLOOKUP($D$28,Productos,18,FALSE)="Activo",VLOOKUP($D$28,Productos,5,FALSE),0),0),IFERROR(IF(VLOOKUP($D$29,Productos,18,FALSE)="Activo",VLOOKUP($D$29,Productos,5,FALSE),0),0)),"")))*IF(AND(OR($D$22=2,$E$22=2),G22&gt;0),G22,1))</f>
        <v>24591477.006086957</v>
      </c>
      <c r="G34" s="317">
        <f>IF(OR($F$34="",$D$22=0),"",IF(AND($D$22=1,(F34&gt;SUMIF(Productos!$R:$R,"Activo",Productos!$E:$E))),1,F34/SUMIF(Productos!$R:$R,"Activo",Productos!$E:$E)))</f>
        <v>5.434782608695652E-3</v>
      </c>
      <c r="H34" s="319"/>
      <c r="I34" s="314">
        <f>IF(G34="","",IFERROR(IF(G34&lt;=VLOOKUP(LEFT(C34,7),Criterios_rating,2,FALSE),1,IF(G34&lt;=VLOOKUP(LEFT(C34,7),Criterios_rating,3,FALSE),2,IF(G34&lt;VLOOKUP(LEFT(C34,7),Criterios_rating,4,FALSE),3,4))),""))</f>
        <v>1</v>
      </c>
      <c r="J34" s="165"/>
    </row>
    <row r="35" spans="1:13" s="166" customFormat="1" ht="27" customHeight="1" x14ac:dyDescent="0.3">
      <c r="B35" s="163"/>
      <c r="C35" s="315" t="s">
        <v>343</v>
      </c>
      <c r="D35" s="21" t="s">
        <v>41</v>
      </c>
      <c r="E35" s="21" t="s">
        <v>335</v>
      </c>
      <c r="F35" s="318">
        <f>IF($D$22=0,"",(IF($D$22=1,SUMIF(Productos!$R:$R,"Pasivo",Productos!$E:$E),IF($D$22=2,SUM(IFERROR(IF(VLOOKUP($D$25,Productos,18,FALSE)="Pasivo",VLOOKUP($D$25,Productos,5,FALSE),0),0),IFERROR(IF(VLOOKUP($D$26,Productos,18,FALSE)="Pasivo",VLOOKUP($D$26,Productos,5,FALSE),0),0),IFERROR(IF(VLOOKUP($D$27,Productos,18,FALSE)="Pasivo",VLOOKUP($D$27,Productos,5,FALSE),0),0),IFERROR(IF(VLOOKUP($D$28,Productos,18,FALSE)="Pasivo",VLOOKUP($D$28,Productos,5,FALSE),0),0),IFERROR(IF(VLOOKUP($D$29,Productos,18,FALSE)="Pasivo",VLOOKUP($D$29,Productos,5,FALSE),0),0)),"")))*IF(AND(OR($D$22=2,$E$22=2),G22&gt;0),G22,1))</f>
        <v>26791358.695652172</v>
      </c>
      <c r="G35" s="317">
        <f>IF(OR($F$35="",$D$22=0),"",IF(AND($D$22=1,(F35&gt;SUMIF(Productos!$R:$R,"Pasivo",Productos!$E:$E))),1,F35/SUMIF(Productos!$R:$R,"Pasivo",Productos!$E:$E)))</f>
        <v>5.434782608695652E-3</v>
      </c>
      <c r="H35" s="319"/>
      <c r="I35" s="314">
        <f>IF(G35="","",IFERROR(IF(G35&lt;=VLOOKUP(LEFT(C35,7),Criterios_rating,2,FALSE),1,IF(G35&lt;=VLOOKUP(LEFT(C35,7),Criterios_rating,3,FALSE),2,IF(G35&lt;VLOOKUP(LEFT(C35,7),Criterios_rating,4,FALSE),3,4))),""))</f>
        <v>1</v>
      </c>
      <c r="J35" s="165"/>
    </row>
    <row r="36" spans="1:13" s="166" customFormat="1" ht="27" customHeight="1" x14ac:dyDescent="0.3">
      <c r="B36" s="163"/>
      <c r="C36" s="315" t="s">
        <v>17</v>
      </c>
      <c r="D36" s="21" t="s">
        <v>17</v>
      </c>
      <c r="E36" s="21" t="s">
        <v>46</v>
      </c>
      <c r="F36" s="318">
        <f>IF(D$22=0,"",(IF($D$22=1,VLOOKUP("Total",Productos,4,FALSE),SUM(IFERROR(VLOOKUP($D$25,Productos,4,FALSE),0),IFERROR(VLOOKUP($D$26,Productos,4,FALSE),0),IFERROR(VLOOKUP($D$27,Productos,4,FALSE),0),IFERROR(VLOOKUP($D$28,Productos,4,FALSE),0),IFERROR(VLOOKUP($D$29,Productos,4,FALSE),0))))*IF(AND(OR($D$22=2,$E$22=2),G22&gt;0),G22,1))</f>
        <v>5815890.6522282604</v>
      </c>
      <c r="G36" s="317">
        <f>IF(OR($F$36="",$D$22=0),"",IF(AND($D$22=1,(F36&gt;VLOOKUP("Total",Productos,4,FALSE))),1,F36/VLOOKUP("Total",Productos,4,FALSE)))</f>
        <v>5.434782608695652E-3</v>
      </c>
      <c r="H36" s="319"/>
      <c r="I36" s="314">
        <f>IF(G36="","",IFERROR(IF(G36&lt;=VLOOKUP(C36,Criterios_rating,2,FALSE),1,IF(G36&lt;=VLOOKUP(C36,Criterios_rating,3,FALSE),2,IF(G36&lt;=VLOOKUP(C36,Criterios_rating,4,FALSE),3,4))),""))</f>
        <v>1</v>
      </c>
      <c r="J36" s="165"/>
    </row>
    <row r="37" spans="1:13" s="166" customFormat="1" ht="27" customHeight="1" x14ac:dyDescent="0.3">
      <c r="B37" s="163"/>
      <c r="C37" s="315" t="s">
        <v>10</v>
      </c>
      <c r="D37" s="21" t="s">
        <v>42</v>
      </c>
      <c r="E37" s="21" t="s">
        <v>47</v>
      </c>
      <c r="F37" s="316">
        <f>IF($D$22=0,"",(IF($D$22=1,VLOOKUP("Total",Productos,6,FALSE),SUM(IFERROR(VLOOKUP($D$25,Productos,6,FALSE),0),IFERROR(VLOOKUP($D$26,Productos,6,FALSE),0),IFERROR(VLOOKUP($D$27,Productos,6,FALSE),0),IFERROR(VLOOKUP($D$28,Productos,6,FALSE),0),IFERROR(VLOOKUP($D$29,Productos,6,FALSE),0)))*IF(AND(OR($D$22=2,$E$22=2),G22&gt;0),G22,1)))</f>
        <v>10448.690217391304</v>
      </c>
      <c r="G37" s="317">
        <f>IF(OR($F$37="",$D$22=0),"",IF(AND($D$22=1,(F37&gt;VLOOKUP("Total",Productos,6,FALSE))),1,F37/VLOOKUP("Total",Productos,6,FALSE)))</f>
        <v>5.434782608695652E-3</v>
      </c>
      <c r="H37" s="319"/>
      <c r="I37" s="314">
        <f>IF(G37="","",IFERROR(IF(G37&lt;=VLOOKUP(C37,Criterios_rating,2,FALSE),1,IF(G37&lt;=VLOOKUP(C37,Criterios_rating,3,FALSE),2,IF(G37&lt;=VLOOKUP(C37,Criterios_rating,4,FALSE),3,4))),""))</f>
        <v>1</v>
      </c>
      <c r="J37" s="165"/>
    </row>
    <row r="38" spans="1:13" s="166" customFormat="1" ht="27" customHeight="1" x14ac:dyDescent="0.3">
      <c r="B38" s="163"/>
      <c r="C38" s="315" t="s">
        <v>11</v>
      </c>
      <c r="D38" s="21" t="s">
        <v>42</v>
      </c>
      <c r="E38" s="21" t="s">
        <v>47</v>
      </c>
      <c r="F38" s="316">
        <f>IF($E$22=0,"",(IF($E$22=1,VLOOKUP("Total",Proc_soporte,6,FALSE),MAX(IFERROR(VLOOKUP($E$25,Proc_soporte,6,FALSE),0),IFERROR(VLOOKUP($E$26,Proc_soporte,6,FALSE),0),IFERROR(VLOOKUP($E$27,Proc_soporte,6,FALSE),0),IFERROR(VLOOKUP($E$28,Proc_soporte,6,FALSE),0),IFERROR(VLOOKUP($E$29,Proc_soporte,6,FALSE),0))))*IF(AND(OR($D$22=2,$E$22=2),G22&gt;0),G22,1))</f>
        <v>4.9782608695652169</v>
      </c>
      <c r="G38" s="317">
        <f>IF(OR($F$38="",$E$22=0),"",IF(AND($E$22=1,(F38&gt;VLOOKUP("Total",Proc_soporte,6,FALSE))),1,F38/VLOOKUP("Total",Proc_soporte,6,FALSE)))</f>
        <v>1.2577718215172351E-3</v>
      </c>
      <c r="H38" s="319"/>
      <c r="I38" s="314">
        <f>IF(G38="","",IFERROR(IF(G38&lt;=VLOOKUP(C38,Criterios_rating,2,FALSE),1,IF(G38&lt;=VLOOKUP(C38,Criterios_rating,3,FALSE),2,IF(G38&lt;=VLOOKUP(C38,Criterios_rating,4,FALSE),3,4))),""))</f>
        <v>1</v>
      </c>
      <c r="J38" s="165"/>
    </row>
    <row r="39" spans="1:13" s="166" customFormat="1" ht="27" customHeight="1" x14ac:dyDescent="0.3">
      <c r="B39" s="163"/>
      <c r="C39" s="315" t="s">
        <v>18</v>
      </c>
      <c r="D39" s="21" t="s">
        <v>41</v>
      </c>
      <c r="E39" s="21" t="s">
        <v>46</v>
      </c>
      <c r="F39" s="318">
        <f>IF(SUM($D$22:$E$22)=0,"",(IF($D$22=1,VLOOKUP("Total",Productos,7,FALSE),IF($D$22=2,SUM(IFERROR(VLOOKUP(D25,Productos,7,FALSE),0),IFERROR(VLOOKUP($D$26,Productos,7,FALSE),0),IFERROR(VLOOKUP($D$27,Productos,7,FALSE),0),IFERROR(VLOOKUP($D$28,Productos,7,FALSE),0),IFERROR(VLOOKUP($D$29,Productos,7,FALSE),0)),IF($E$22=1,VLOOKUP("Total",Proc_soporte,7,FALSE),IF($E$22=2,SUM(IFERROR(VLOOKUP($E$25,Proc_soporte,7,FALSE),0),IFERROR(VLOOKUP($E$26,Proc_soporte,7,FALSE),0),IFERROR(VLOOKUP($E$27,Proc_soporte,7,FALSE),0),IFERROR(VLOOKUP($E$28,Proc_soporte,7,FALSE),0),IFERROR(VLOOKUP($E$29,Proc_soporte,7,FALSE),0)))))))*IF(AND(OR($D$22=2,$E$22=2),G22&gt;0),G22,1))</f>
        <v>2790.8262541481631</v>
      </c>
      <c r="G39" s="317">
        <f>IF(OR(SUM($D$22:$E$22)=0,F39=""),"",IF(AND($D$22=1,F39&gt;VLOOKUP("Total",Productos,7,FALSE)),1,IF(AND($D$22=1,F39&lt;=VLOOKUP("Total",Productos,7,FALSE)),F39/VLOOKUP("Total",Productos,7,FALSE),IF(AND($E$22=1,F39&gt;VLOOKUP("Total",Proc_soporte,7,FALSE)),1,F39/VLOOKUP("Total",Proc_soporte,7,FALSE)))))</f>
        <v>5.434782608695652E-3</v>
      </c>
      <c r="H39" s="319"/>
      <c r="I39" s="314">
        <f>IF(G39="","",IFERROR(IF(G39&lt;=VLOOKUP(C39,Criterios_rating,2,FALSE),1,IF(G39&lt;=VLOOKUP(C39,Criterios_rating,3,FALSE),2,IF(G39&lt;=VLOOKUP(C39,Criterios_rating,4,FALSE),3,4))),""))</f>
        <v>1</v>
      </c>
      <c r="J39" s="165"/>
    </row>
    <row r="40" spans="1:13" s="166" customFormat="1" ht="27" customHeight="1" x14ac:dyDescent="0.3">
      <c r="B40" s="163"/>
      <c r="C40" s="315" t="s">
        <v>444</v>
      </c>
      <c r="D40" s="21" t="s">
        <v>43</v>
      </c>
      <c r="E40" s="21" t="s">
        <v>476</v>
      </c>
      <c r="F40" s="316">
        <f>IF($E$22=0,"",(IF($E$22=1,COUNTIFS('Procesos Soporte'!$M:$M,"Si",'Procesos Soporte'!$N:$N,"&lt;=4"),SUM(IFERROR(IF(AND(VLOOKUP($E$25,Proc_soporte,13,FALSE)="Si",VLOOKUP($E$25,Proc_soporte,14,FALSE)&lt;=4),1,0),0),IFERROR(IF(AND(VLOOKUP($E$26,Proc_soporte,13,FALSE)="Si",VLOOKUP($E$26,Proc_soporte,14,FALSE)&lt;=4),1,0),0),IFERROR(IF(AND(VLOOKUP($E$27,Proc_soporte,13,FALSE)="Si",VLOOKUP($E$27,Proc_soporte,14,FALSE)&lt;=4),1,0),0),IFERROR(IF(AND(VLOOKUP($E$28,Proc_soporte,13,FALSE)="Si",VLOOKUP($E$28,Proc_soporte,14,FALSE)&lt;=4),1,0),0),IFERROR(IF(AND(VLOOKUP($E$29,Proc_soporte,13,FALSE)="Si",VLOOKUP($E$29,Proc_soporte,14,FALSE)&lt;=4),1,0),0))))*IF(AND(OR($D$22=2,$E$22=2),G22&gt;0),G22,1))</f>
        <v>5.434782608695652E-3</v>
      </c>
      <c r="G40" s="317">
        <f>IF(OR($F$40="",$E$22=0),"",IF(AND($E$22=1,(F40&gt;COUNTIFS('Procesos Soporte'!$M:$M,"Si",'Procesos Soporte'!$N:$N,"&lt;=4"))),1,F40/COUNTIFS('Procesos Soporte'!$M:$M,"Si",'Procesos Soporte'!$N:$N,"&lt;=4")))</f>
        <v>1.8115942028985507E-3</v>
      </c>
      <c r="H40" s="319"/>
      <c r="I40" s="314">
        <f>IF(0&lt;G22&lt;1,2,IF($D$10=IFERROR(VLOOKUP($D$10,'Proveedores PCN'!$B:$B,1,FALSE),"No_PCN"),4,IF(G40="","",IF("Gestión de TI"=IFERROR(LOOKUP("Gestión de TI",$E$25:$E$29),0),4,IF(G40&lt;=VLOOKUP(C41,Criterios_rating,2,FALSE),1,IF(G40&lt;=VLOOKUP(C41,Criterios_rating,3,FALSE),2,IF(G40&lt;=VLOOKUP(C41,Criterios_rating,4,FALSE),3,4)))))))</f>
        <v>1</v>
      </c>
      <c r="J40" s="165"/>
    </row>
    <row r="41" spans="1:13" s="166" customFormat="1" ht="27" customHeight="1" x14ac:dyDescent="0.3">
      <c r="B41" s="163"/>
      <c r="C41" s="315" t="s">
        <v>23</v>
      </c>
      <c r="D41" s="21" t="s">
        <v>43</v>
      </c>
      <c r="E41" s="21" t="s">
        <v>48</v>
      </c>
      <c r="F41" s="316">
        <f>IF($D$22=0,"",(IF($D$22=1,COUNTIFS(Productos!$M:$M,"Si",Productos!$N:$N,"&lt;=4"),SUM(IFERROR(IF(AND(VLOOKUP($D$25,Productos,13,FALSE)="Si",VLOOKUP($D$25,Productos,14,FALSE)&lt;=4),1,0),0),IFERROR(IF(AND(VLOOKUP($D$26,Productos,13,FALSE)="Si",VLOOKUP($D$26,Productos,14,FALSE)&lt;=4),1,0),0),IFERROR(IF(AND(VLOOKUP($D$27,Productos,13,FALSE)="Si",VLOOKUP($D$27,Productos,14,FALSE)&lt;=4),1,0),0),IFERROR(IF(AND(VLOOKUP($D$28,Productos,13,FALSE)="Si",VLOOKUP($D$28,Productos,14,FALSE)&lt;=4),1,0),0),IFERROR(IF(AND(VLOOKUP($D$29,Productos,13,FALSE)="Si",VLOOKUP($D$29,Productos,14,FALSE)&lt;=4),1,0),0))))*IF(AND(OR($D$22=2,$E$22=2),G22&gt;0),G22,1))</f>
        <v>0.14673913043478259</v>
      </c>
      <c r="G41" s="317">
        <f>IF(OR($F$41="",$D$22=0),"",IF(AND($D$22=1,(F41&gt;COUNTIFS(Productos!$M:$M,"Si",Productos!$N:$N,"&lt;=4"))),1,F41/COUNTIFS(Productos!$M:$M,"Si",Productos!$N:$N,"&lt;=4")))</f>
        <v>5.434782608695652E-3</v>
      </c>
      <c r="H41" s="319"/>
      <c r="I41" s="314">
        <f>IF(0&lt;G22&lt;1,2,IF($D$10=IFERROR(VLOOKUP($D$10,'Proveedores PCN'!$B:$B,1,FALSE),"No_PCN"),4,IF(G41="","",IF("Gestión de TI"=IFERROR(LOOKUP("Gestión de TI",$E$25:$E$29),0),4,IF(G41&lt;=VLOOKUP(C41,Criterios_rating,2,FALSE),1,IF(G41&lt;=VLOOKUP(C41,Criterios_rating,3,FALSE),2,IF(G41&lt;=VLOOKUP(C41,Criterios_rating,4,FALSE),3,4)))))))</f>
        <v>1</v>
      </c>
      <c r="J41" s="165"/>
    </row>
    <row r="42" spans="1:13" s="166" customFormat="1" ht="27" customHeight="1" thickBot="1" x14ac:dyDescent="0.35">
      <c r="B42" s="163"/>
      <c r="C42" s="315" t="s">
        <v>26</v>
      </c>
      <c r="D42" s="21" t="s">
        <v>42</v>
      </c>
      <c r="E42" s="21" t="s">
        <v>49</v>
      </c>
      <c r="F42" s="316">
        <f>(IF(SUM($D$22:$E$22)=0,"",(IF($D$22=1,SUMIF(Productos!$Q:$Q,"Si",Productos!$F:$F),IF($D$22=2,SUM(IFERROR(IF(VLOOKUP($D$25,Productos,17,FALSE)="Si",VLOOKUP($D$25,Productos,6,FALSE),0),0),IFERROR(IF(VLOOKUP($D$26,Productos,17,FALSE)="Si",VLOOKUP($D$26,Productos,6,FALSE),0),0),IFERROR(IF(VLOOKUP($D$27,Productos,17,FALSE)="Si",VLOOKUP($D$27,Productos,6,FALSE),0),0),IFERROR(IF(VLOOKUP($D$28,Productos,17,FALSE)="Si",VLOOKUP($D$28,Productos,6,FALSE),0),0),IFERROR(IF(VLOOKUP($D$29,Productos,17,FALSE)="Si",VLOOKUP($D$29,Productos,6,FALSE),0),0))))+IF(SUM($D$22:$E$22)=0,"",IF($E$22=1,VLOOKUP("Total",Proc_soporte,6,FALSE),IF($E$22=2,MAX(IFERROR(IF(VLOOKUP($E$25,Proc_soporte,17,FALSE)="Si",VLOOKUP($E$25,Proc_soporte,6,FALSE),0),0),IFERROR(IF(VLOOKUP($E$26,Proc_soporte,17,FALSE)="Si",VLOOKUP($E$26,Proc_soporte,6,FALSE),0),0),IFERROR(IF(VLOOKUP($E$27,Proc_soporte,17,FALSE)="Si",VLOOKUP($E$27,Proc_soporte,6,FALSE),0),0),IFERROR(IF(VLOOKUP($E$28,Proc_soporte,17,FALSE)="Si",VLOOKUP($E$28,Proc_soporte,6,FALSE),0),0),IFERROR(IF(VLOOKUP($E$29,Proc_soporte,17,FALSE)="Si",VLOOKUP($E$29,Proc_soporte,6,FALSE),0),0)))))*IF(AND(OR($D$22=2,$E$22=2),G22&gt;0),G22,1))))</f>
        <v>1331144.6467391304</v>
      </c>
      <c r="G42" s="317">
        <f>IF(OR($F$42="",AND($E$22=0,$D$22=0)),"",IF(AND(D22=0,E22&gt;=1),IF(F42&gt;VLOOKUP("Total",Proc_soporte,6,FALSE),1,F42/VLOOKUP("Total",Proc_soporte,6,FALSE)),IF(AND(D22&gt;=1,E22=0),IF(F42&gt;SUMIF(Productos!$Q:$Q,"Si",Productos!$F:$F),1,F42/SUMIF(Productos!$Q:$Q,"Si",Productos!$F:$F)),IF(F42&gt;(SUMIF(Productos!$Q:$Q,"Si",Productos!$F:$F)+VLOOKUP("Total",Proc_soporte,6,FALSE)),1,F42/(SUMIF(Productos!$Q:$Q,"Si",Productos!$F:$F)+VLOOKUP("Total",Proc_soporte,6,FALSE))))))</f>
        <v>0.99703741048545458</v>
      </c>
      <c r="H42" s="320"/>
      <c r="I42" s="314">
        <f>IF(AND($D$10="",$G$42=""),"",IF(G42="","",IF(G42&lt;=VLOOKUP(C42,Criterios_rating,2,FALSE),1,IF(G42&lt;=VLOOKUP(C42,Criterios_rating,3,FALSE),2,IF(G42&lt;=VLOOKUP(C42,Criterios_rating,4,FALSE),3,4)))))</f>
        <v>4</v>
      </c>
      <c r="J42" s="165"/>
    </row>
    <row r="43" spans="1:13" s="166" customFormat="1" ht="25.2" customHeight="1" thickBot="1" x14ac:dyDescent="0.35">
      <c r="B43" s="163"/>
      <c r="C43" s="341" t="s">
        <v>36</v>
      </c>
      <c r="D43" s="342"/>
      <c r="E43" s="6" t="s">
        <v>37</v>
      </c>
      <c r="F43" s="6" t="s">
        <v>38</v>
      </c>
      <c r="G43" s="6" t="s">
        <v>450</v>
      </c>
      <c r="H43" s="6" t="s">
        <v>39</v>
      </c>
      <c r="I43" s="321" t="s">
        <v>505</v>
      </c>
      <c r="J43" s="165"/>
    </row>
    <row r="44" spans="1:13" ht="30" customHeight="1" x14ac:dyDescent="0.3">
      <c r="B44" s="148"/>
      <c r="C44" s="343" t="s">
        <v>782</v>
      </c>
      <c r="D44" s="344"/>
      <c r="E44" s="322">
        <f>MAX(I33,I36)</f>
        <v>1</v>
      </c>
      <c r="F44" s="322">
        <f>IF(OR(I34=4,I35=4,I39=4),4,IF(AND(OR(I34=3,I35=3),SUM(I34:I35)&lt;=5),3,IF(SUM(I34:I35)&gt;=6,4,MAX(I34,I35,I39))))</f>
        <v>1</v>
      </c>
      <c r="G44" s="322">
        <f>IF(COUNTIF($G$24:$I$24,"Si")=2,4,MAX(I42,I38,I37))</f>
        <v>4</v>
      </c>
      <c r="H44" s="322">
        <f>IFERROR(IF($D$10=IFERROR(VLOOKUP($D$10,'Proveedores PCN'!$B:$B,1,FALSE),"No_PCN"),4,IF(SUM($G$22:$I$22)&gt;=2,4,MAX(I40,I41))),0)</f>
        <v>1</v>
      </c>
      <c r="I44" s="323">
        <f>MAX(E44:H44)</f>
        <v>4</v>
      </c>
      <c r="J44" s="149"/>
      <c r="K44" s="166"/>
      <c r="L44" s="166"/>
      <c r="M44" s="166"/>
    </row>
    <row r="45" spans="1:13" s="166" customFormat="1" ht="27" customHeight="1" thickBot="1" x14ac:dyDescent="0.35">
      <c r="B45" s="163"/>
      <c r="C45" s="347" t="str">
        <f>IF(COUNTA(D23:I24)=12,IF(OR(AND(D23="Si",D24="Si"),AND(E23="Si",E24="Si"),AND(F23="Si",F24="Si"),AND(G23="Si",G24="Si"),AND(H23="Si",H24="Si"),AND(I23="Si",I24="Si")),"Error en el llenado del punto Nro. 2",IF(OR(AND(D23="No",D24="No",COUNTA(D25:D29)=0),AND(E23="No",E24="No",COUNTA(E25:E29)=0),AND(F23="No",F24="No",COUNTA(F25:F29)=0),AND(G23="No",G24="No",COUNTA(G25:G29)=0),AND(H23="No",H24="No",COUNTA(H25:H29)=0),AND(I23="No",I24="No",COUNTA(I25:I29)=0)),"Falta completar opciones resaltadas del punto Nro. 2",IF(COUNTIF(F33:I42,"&gt;0")&gt;0,VLOOKUP(I44,Parámetros!AK:AL,2,FALSE),IF(COUNTA(D23:I24)=12,VLOOKUP(1,Parámetros!AK:AL,2,FALSE),"Ingresar Información")))),"Ingresar Información")</f>
        <v>Se considera posible bien o servicio significativo y requiere evaluación del área de riesgos</v>
      </c>
      <c r="D45" s="348"/>
      <c r="E45" s="348"/>
      <c r="F45" s="348"/>
      <c r="G45" s="348"/>
      <c r="H45" s="348"/>
      <c r="I45" s="349"/>
      <c r="J45" s="165"/>
    </row>
    <row r="46" spans="1:13" s="166" customFormat="1" ht="27" customHeight="1" thickBot="1" x14ac:dyDescent="0.35">
      <c r="B46" s="163"/>
      <c r="C46" s="350" t="s">
        <v>1406</v>
      </c>
      <c r="D46" s="351"/>
      <c r="E46" s="351"/>
      <c r="F46" s="351"/>
      <c r="G46" s="351"/>
      <c r="H46" s="351"/>
      <c r="I46" s="351"/>
      <c r="J46" s="165"/>
    </row>
    <row r="47" spans="1:13" s="166" customFormat="1" ht="27" customHeight="1" thickBot="1" x14ac:dyDescent="0.35">
      <c r="B47" s="163"/>
      <c r="C47" s="352" t="s">
        <v>1407</v>
      </c>
      <c r="D47" s="353"/>
      <c r="E47" s="353"/>
      <c r="F47" s="353"/>
      <c r="G47" s="353"/>
      <c r="H47" s="353"/>
      <c r="I47" s="324" t="str">
        <f>IF(E7="","Ingresar información",VLOOKUP(E7,'Bien Servicio compras'!D:G,4,FALSE))</f>
        <v>Si</v>
      </c>
      <c r="J47" s="327"/>
    </row>
    <row r="48" spans="1:13" ht="30" customHeight="1" thickBot="1" x14ac:dyDescent="0.35">
      <c r="B48" s="148"/>
      <c r="C48" s="350" t="s">
        <v>577</v>
      </c>
      <c r="D48" s="351"/>
      <c r="E48" s="351"/>
      <c r="F48" s="351"/>
      <c r="G48" s="351"/>
      <c r="H48" s="351"/>
      <c r="I48" s="351"/>
      <c r="J48" s="149"/>
    </row>
    <row r="49" spans="2:10" s="162" customFormat="1" ht="25.2" customHeight="1" thickBot="1" x14ac:dyDescent="0.35">
      <c r="B49" s="160"/>
      <c r="C49" s="5" t="s">
        <v>9</v>
      </c>
      <c r="D49" s="6" t="s">
        <v>337</v>
      </c>
      <c r="E49" s="6">
        <v>1</v>
      </c>
      <c r="F49" s="6">
        <v>2</v>
      </c>
      <c r="G49" s="6">
        <v>3</v>
      </c>
      <c r="H49" s="6">
        <v>4</v>
      </c>
      <c r="I49" s="310" t="s">
        <v>78</v>
      </c>
      <c r="J49" s="161"/>
    </row>
    <row r="50" spans="2:10" s="166" customFormat="1" ht="13.8" x14ac:dyDescent="0.3">
      <c r="B50" s="163"/>
      <c r="C50" s="21"/>
      <c r="D50" s="21"/>
      <c r="E50" s="21"/>
      <c r="F50" s="21"/>
      <c r="G50" s="21"/>
      <c r="H50" s="21"/>
      <c r="I50" s="21"/>
      <c r="J50" s="165"/>
    </row>
    <row r="51" spans="2:10" s="166" customFormat="1" ht="128.25" customHeight="1" x14ac:dyDescent="0.3">
      <c r="B51" s="163"/>
      <c r="C51" s="325" t="s">
        <v>345</v>
      </c>
      <c r="D51" s="164"/>
      <c r="E51" s="326" t="s">
        <v>479</v>
      </c>
      <c r="F51" s="326" t="s">
        <v>480</v>
      </c>
      <c r="G51" s="326" t="s">
        <v>779</v>
      </c>
      <c r="H51" s="326" t="s">
        <v>1408</v>
      </c>
      <c r="I51" s="168">
        <v>2</v>
      </c>
      <c r="J51" s="165"/>
    </row>
    <row r="52" spans="2:10" s="166" customFormat="1" ht="126.75" customHeight="1" x14ac:dyDescent="0.3">
      <c r="B52" s="163"/>
      <c r="C52" s="325" t="s">
        <v>487</v>
      </c>
      <c r="D52" s="164"/>
      <c r="E52" s="326" t="s">
        <v>479</v>
      </c>
      <c r="F52" s="326" t="s">
        <v>788</v>
      </c>
      <c r="G52" s="326" t="s">
        <v>780</v>
      </c>
      <c r="H52" s="326" t="s">
        <v>781</v>
      </c>
      <c r="I52" s="168">
        <v>2</v>
      </c>
      <c r="J52" s="165"/>
    </row>
    <row r="53" spans="2:10" s="166" customFormat="1" ht="109.5" customHeight="1" x14ac:dyDescent="0.3">
      <c r="B53" s="163"/>
      <c r="C53" s="325" t="s">
        <v>350</v>
      </c>
      <c r="D53" s="164"/>
      <c r="E53" s="326" t="s">
        <v>479</v>
      </c>
      <c r="F53" s="326" t="s">
        <v>481</v>
      </c>
      <c r="G53" s="326" t="s">
        <v>789</v>
      </c>
      <c r="H53" s="326" t="s">
        <v>1409</v>
      </c>
      <c r="I53" s="168">
        <v>2</v>
      </c>
      <c r="J53" s="165"/>
    </row>
    <row r="54" spans="2:10" s="166" customFormat="1" ht="103.5" customHeight="1" x14ac:dyDescent="0.3">
      <c r="B54" s="163"/>
      <c r="C54" s="325" t="s">
        <v>488</v>
      </c>
      <c r="D54" s="164"/>
      <c r="E54" s="326" t="s">
        <v>479</v>
      </c>
      <c r="F54" s="326" t="s">
        <v>790</v>
      </c>
      <c r="G54" s="326" t="s">
        <v>791</v>
      </c>
      <c r="H54" s="326" t="s">
        <v>1410</v>
      </c>
      <c r="I54" s="168">
        <v>2</v>
      </c>
      <c r="J54" s="165"/>
    </row>
    <row r="55" spans="2:10" s="166" customFormat="1" ht="160.5" customHeight="1" x14ac:dyDescent="0.3">
      <c r="B55" s="163"/>
      <c r="C55" s="325" t="s">
        <v>347</v>
      </c>
      <c r="D55" s="164"/>
      <c r="E55" s="326" t="s">
        <v>482</v>
      </c>
      <c r="F55" s="326" t="s">
        <v>483</v>
      </c>
      <c r="G55" s="326" t="s">
        <v>484</v>
      </c>
      <c r="H55" s="326" t="s">
        <v>485</v>
      </c>
      <c r="I55" s="168">
        <v>3</v>
      </c>
      <c r="J55" s="165"/>
    </row>
    <row r="56" spans="2:10" s="166" customFormat="1" ht="123" customHeight="1" x14ac:dyDescent="0.3">
      <c r="B56" s="163"/>
      <c r="C56" s="325" t="s">
        <v>346</v>
      </c>
      <c r="D56" s="164"/>
      <c r="E56" s="326" t="s">
        <v>479</v>
      </c>
      <c r="F56" s="326" t="s">
        <v>486</v>
      </c>
      <c r="G56" s="326" t="s">
        <v>565</v>
      </c>
      <c r="H56" s="326" t="s">
        <v>1411</v>
      </c>
      <c r="I56" s="168">
        <v>3</v>
      </c>
      <c r="J56" s="165"/>
    </row>
    <row r="57" spans="2:10" s="166" customFormat="1" ht="25.2" customHeight="1" thickBot="1" x14ac:dyDescent="0.35">
      <c r="B57" s="163"/>
      <c r="C57" s="347" t="str">
        <f>IF(I47="No","No es bien y/o servicio relacionado a TI",IF(AND(I55=3,I56=4),Parámetros!AH5&amp;" / "&amp;Parámetros!AH8,IF(AND(I55=3,I56=3),Parámetros!AH5&amp;" / "&amp;Parámetros!AH7,IF(AND(I55=4,I56=3),Parámetros!AH11,IF(OR(AND(I55=4,I56=4),I55=4),Parámetros!AH12,IF(I55=3,Parámetros!AH5,IF(I56=4,Parámetros!AH8,IF(I56=3,Parámetros!AH7,IF(COUNTIF(I51:I56,"&gt;=3")&gt;=1,Parámetros!AH4,IF(COUNTIF(I51:I56,"&lt;=2")=COUNTA(C51:C56),Parámetros!AH3,Parámetros!AH2))))))))))</f>
        <v>Cumplir requisitos de artículos 22 y 23 Uso de servicios en nube / Servicios no significativos de procesamiento de datos</v>
      </c>
      <c r="D57" s="348"/>
      <c r="E57" s="348"/>
      <c r="F57" s="348"/>
      <c r="G57" s="348"/>
      <c r="H57" s="348"/>
      <c r="I57" s="349"/>
      <c r="J57" s="165"/>
    </row>
    <row r="58" spans="2:10" s="166" customFormat="1" ht="25.2" customHeight="1" thickBot="1" x14ac:dyDescent="0.35">
      <c r="B58" s="163"/>
      <c r="C58" s="350" t="s">
        <v>475</v>
      </c>
      <c r="D58" s="351"/>
      <c r="E58" s="351"/>
      <c r="F58" s="351"/>
      <c r="G58" s="351"/>
      <c r="H58" s="351"/>
      <c r="I58" s="351"/>
      <c r="J58" s="165"/>
    </row>
    <row r="59" spans="2:10" s="162" customFormat="1" ht="25.2" customHeight="1" thickBot="1" x14ac:dyDescent="0.35">
      <c r="B59" s="160"/>
      <c r="C59" s="5" t="s">
        <v>9</v>
      </c>
      <c r="D59" s="6" t="s">
        <v>337</v>
      </c>
      <c r="E59" s="6">
        <v>1</v>
      </c>
      <c r="F59" s="6">
        <v>2</v>
      </c>
      <c r="G59" s="6">
        <v>3</v>
      </c>
      <c r="H59" s="6">
        <v>4</v>
      </c>
      <c r="I59" s="310" t="s">
        <v>78</v>
      </c>
      <c r="J59" s="161"/>
    </row>
    <row r="60" spans="2:10" s="166" customFormat="1" ht="15.6" x14ac:dyDescent="0.3">
      <c r="B60" s="163"/>
      <c r="C60" s="21"/>
      <c r="D60" s="21"/>
      <c r="E60" s="21"/>
      <c r="F60" s="21"/>
      <c r="G60" s="21"/>
      <c r="H60" s="21"/>
      <c r="I60" s="314"/>
      <c r="J60" s="165"/>
    </row>
    <row r="61" spans="2:10" s="166" customFormat="1" ht="140.25" customHeight="1" x14ac:dyDescent="0.3">
      <c r="B61" s="163"/>
      <c r="C61" s="325" t="s">
        <v>339</v>
      </c>
      <c r="D61" s="164"/>
      <c r="E61" s="326" t="s">
        <v>489</v>
      </c>
      <c r="F61" s="326" t="s">
        <v>490</v>
      </c>
      <c r="G61" s="326" t="s">
        <v>491</v>
      </c>
      <c r="H61" s="326" t="s">
        <v>783</v>
      </c>
      <c r="I61" s="168">
        <v>3</v>
      </c>
      <c r="J61" s="165"/>
    </row>
    <row r="62" spans="2:10" s="166" customFormat="1" ht="123" customHeight="1" x14ac:dyDescent="0.3">
      <c r="B62" s="163"/>
      <c r="C62" s="325" t="s">
        <v>349</v>
      </c>
      <c r="D62" s="164"/>
      <c r="E62" s="326" t="s">
        <v>492</v>
      </c>
      <c r="F62" s="326" t="s">
        <v>493</v>
      </c>
      <c r="G62" s="326" t="s">
        <v>494</v>
      </c>
      <c r="H62" s="326" t="s">
        <v>1412</v>
      </c>
      <c r="I62" s="168">
        <v>3</v>
      </c>
      <c r="J62" s="165"/>
    </row>
    <row r="63" spans="2:10" s="166" customFormat="1" ht="93.75" customHeight="1" x14ac:dyDescent="0.3">
      <c r="B63" s="163"/>
      <c r="C63" s="325" t="s">
        <v>495</v>
      </c>
      <c r="D63" s="164"/>
      <c r="E63" s="326" t="s">
        <v>784</v>
      </c>
      <c r="F63" s="326" t="s">
        <v>496</v>
      </c>
      <c r="G63" s="326" t="s">
        <v>497</v>
      </c>
      <c r="H63" s="326" t="s">
        <v>785</v>
      </c>
      <c r="I63" s="168">
        <v>3</v>
      </c>
      <c r="J63" s="165"/>
    </row>
    <row r="64" spans="2:10" s="166" customFormat="1" ht="144" customHeight="1" x14ac:dyDescent="0.3">
      <c r="B64" s="163"/>
      <c r="C64" s="325" t="s">
        <v>338</v>
      </c>
      <c r="D64" s="164"/>
      <c r="E64" s="326" t="s">
        <v>498</v>
      </c>
      <c r="F64" s="326" t="s">
        <v>786</v>
      </c>
      <c r="G64" s="326" t="s">
        <v>787</v>
      </c>
      <c r="H64" s="326" t="s">
        <v>1413</v>
      </c>
      <c r="I64" s="168">
        <v>3</v>
      </c>
      <c r="J64" s="165"/>
    </row>
    <row r="65" spans="2:10" s="166" customFormat="1" ht="135.6" customHeight="1" x14ac:dyDescent="0.3">
      <c r="B65" s="163"/>
      <c r="C65" s="325" t="s">
        <v>499</v>
      </c>
      <c r="D65" s="164"/>
      <c r="E65" s="326" t="s">
        <v>500</v>
      </c>
      <c r="F65" s="326" t="s">
        <v>501</v>
      </c>
      <c r="G65" s="326" t="s">
        <v>502</v>
      </c>
      <c r="H65" s="326" t="s">
        <v>503</v>
      </c>
      <c r="I65" s="168">
        <v>3</v>
      </c>
      <c r="J65" s="165"/>
    </row>
    <row r="66" spans="2:10" s="166" customFormat="1" ht="27" customHeight="1" thickBot="1" x14ac:dyDescent="0.35">
      <c r="B66" s="163"/>
      <c r="C66" s="347" t="str">
        <f>IF($I$65=4,Parámetros!$AF$6,IF(COUNTA($C$61:$C$65)&gt;COUNT($I$61:$I$65),Parámetros!AF2,IF(COUNTIF($I$61:$I$65,"=4")&gt;=1,Parámetros!$AF$5,IF(COUNTIF($I$61:$I$65,"&gt;=3")&gt;=1,Parámetros!$AF$4,Parámetros!$AF$3))))</f>
        <v>Posible servicio especializado para Sector Financiero</v>
      </c>
      <c r="D66" s="348"/>
      <c r="E66" s="348"/>
      <c r="F66" s="348"/>
      <c r="G66" s="348"/>
      <c r="H66" s="348"/>
      <c r="I66" s="349"/>
      <c r="J66" s="165"/>
    </row>
    <row r="67" spans="2:10" ht="30" customHeight="1" thickBot="1" x14ac:dyDescent="0.35">
      <c r="B67" s="148"/>
      <c r="C67" s="334" t="s">
        <v>504</v>
      </c>
      <c r="D67" s="335"/>
      <c r="E67" s="335"/>
      <c r="F67" s="335"/>
      <c r="G67" s="335"/>
      <c r="H67" s="335"/>
      <c r="I67" s="336"/>
      <c r="J67" s="149"/>
    </row>
    <row r="68" spans="2:10" ht="52.2" customHeight="1" thickBot="1" x14ac:dyDescent="0.35">
      <c r="B68" s="148"/>
      <c r="C68" s="328" t="s">
        <v>579</v>
      </c>
      <c r="D68" s="337" t="str">
        <f>CONCATENATE("Resultado B/S Significativo: ",C45,"  / Resultado B/S vinculado a tecnología: ",C57,"  / Resultado B/S por subcontratación: ",C66)</f>
        <v>Resultado B/S Significativo: Se considera posible bien o servicio significativo y requiere evaluación del área de riesgos  / Resultado B/S vinculado a tecnología: Cumplir requisitos de artículos 22 y 23 Uso de servicios en nube / Servicios no significativos de procesamiento de datos  / Resultado B/S por subcontratación: Posible servicio especializado para Sector Financiero</v>
      </c>
      <c r="E68" s="337"/>
      <c r="F68" s="337"/>
      <c r="G68" s="337"/>
      <c r="H68" s="337"/>
      <c r="I68" s="338"/>
      <c r="J68" s="149"/>
    </row>
    <row r="69" spans="2:10" x14ac:dyDescent="0.3">
      <c r="B69" s="148"/>
      <c r="C69" s="170"/>
      <c r="D69" s="329" t="str">
        <f>IF(AND(C57=Parámetros!AH5,OR(C66=Parámetros!AF4,C66=Parámetros!AF5,C66=Parámetros!AF7)),"**Cumplir con reglamento SBS","")</f>
        <v/>
      </c>
      <c r="E69" s="171"/>
      <c r="F69" s="171"/>
      <c r="G69" s="146"/>
      <c r="H69" s="146"/>
      <c r="I69" s="147"/>
      <c r="J69" s="149"/>
    </row>
    <row r="70" spans="2:10" x14ac:dyDescent="0.3">
      <c r="B70" s="148"/>
      <c r="C70" s="172"/>
      <c r="D70" s="173"/>
      <c r="E70" s="173"/>
      <c r="F70" s="173"/>
      <c r="I70" s="149"/>
      <c r="J70" s="149"/>
    </row>
    <row r="71" spans="2:10" x14ac:dyDescent="0.3">
      <c r="B71" s="148"/>
      <c r="C71" s="172"/>
      <c r="D71" s="173"/>
      <c r="E71" s="173"/>
      <c r="F71" s="173"/>
      <c r="I71" s="149"/>
      <c r="J71" s="149"/>
    </row>
    <row r="72" spans="2:10" x14ac:dyDescent="0.3">
      <c r="B72" s="148"/>
      <c r="C72" s="172"/>
      <c r="D72" s="173"/>
      <c r="E72" s="173"/>
      <c r="F72" s="173"/>
      <c r="I72" s="149"/>
      <c r="J72" s="149"/>
    </row>
    <row r="73" spans="2:10" x14ac:dyDescent="0.3">
      <c r="B73" s="148"/>
      <c r="C73" s="174"/>
      <c r="D73" s="175"/>
      <c r="E73" s="175" t="s">
        <v>1</v>
      </c>
      <c r="F73" s="175"/>
      <c r="G73" s="175" t="s">
        <v>2</v>
      </c>
      <c r="I73" s="149"/>
      <c r="J73" s="149"/>
    </row>
    <row r="74" spans="2:10" ht="19.95" customHeight="1" x14ac:dyDescent="0.3">
      <c r="B74" s="148"/>
      <c r="C74" s="174"/>
      <c r="D74" s="176"/>
      <c r="E74" s="176" t="s">
        <v>777</v>
      </c>
      <c r="F74" s="176"/>
      <c r="G74" s="176" t="s">
        <v>778</v>
      </c>
      <c r="I74" s="149"/>
      <c r="J74" s="149"/>
    </row>
    <row r="75" spans="2:10" x14ac:dyDescent="0.3">
      <c r="B75" s="148"/>
      <c r="C75" s="177"/>
      <c r="D75" s="178"/>
      <c r="E75" s="178"/>
      <c r="F75" s="176"/>
      <c r="G75" s="176"/>
      <c r="I75" s="149"/>
      <c r="J75" s="149"/>
    </row>
    <row r="76" spans="2:10" x14ac:dyDescent="0.3">
      <c r="B76" s="148"/>
      <c r="C76" s="179"/>
      <c r="D76" s="180"/>
      <c r="E76" s="180"/>
      <c r="F76" s="180"/>
      <c r="I76" s="149"/>
      <c r="J76" s="149"/>
    </row>
    <row r="77" spans="2:10" x14ac:dyDescent="0.3">
      <c r="B77" s="148"/>
      <c r="C77" s="181"/>
      <c r="D77" s="182"/>
      <c r="E77" s="182"/>
      <c r="F77" s="176"/>
      <c r="I77" s="149"/>
      <c r="J77" s="149"/>
    </row>
    <row r="78" spans="2:10" x14ac:dyDescent="0.3">
      <c r="B78" s="148"/>
      <c r="C78" s="172"/>
      <c r="D78" s="173"/>
      <c r="E78" s="173"/>
      <c r="F78" s="173"/>
      <c r="I78" s="149"/>
      <c r="J78" s="149"/>
    </row>
    <row r="79" spans="2:10" x14ac:dyDescent="0.3">
      <c r="B79" s="148"/>
      <c r="C79" s="174"/>
      <c r="D79" s="175"/>
      <c r="E79" s="175" t="s">
        <v>1</v>
      </c>
      <c r="F79" s="175"/>
      <c r="G79" s="175" t="s">
        <v>2</v>
      </c>
      <c r="I79" s="149"/>
      <c r="J79" s="149"/>
    </row>
    <row r="80" spans="2:10" ht="19.95" customHeight="1" x14ac:dyDescent="0.3">
      <c r="B80" s="148"/>
      <c r="C80" s="174"/>
      <c r="D80" s="176"/>
      <c r="E80" s="176" t="s">
        <v>0</v>
      </c>
      <c r="F80" s="176"/>
      <c r="G80" s="176" t="s">
        <v>294</v>
      </c>
      <c r="H80" s="176"/>
      <c r="I80" s="149"/>
      <c r="J80" s="149"/>
    </row>
    <row r="81" spans="2:10" ht="15.6" thickBot="1" x14ac:dyDescent="0.35">
      <c r="B81" s="148"/>
      <c r="C81" s="183"/>
      <c r="D81" s="184"/>
      <c r="E81" s="184"/>
      <c r="F81" s="184"/>
      <c r="G81" s="184"/>
      <c r="H81" s="184"/>
      <c r="I81" s="185"/>
      <c r="J81" s="149"/>
    </row>
    <row r="82" spans="2:10" ht="15.6" thickBot="1" x14ac:dyDescent="0.35">
      <c r="B82" s="186"/>
      <c r="C82" s="187"/>
      <c r="D82" s="184"/>
      <c r="E82" s="184"/>
      <c r="F82" s="184"/>
      <c r="G82" s="184"/>
      <c r="H82" s="184"/>
      <c r="I82" s="184"/>
      <c r="J82" s="185"/>
    </row>
  </sheetData>
  <sheetProtection password="C6FB" sheet="1" selectLockedCells="1"/>
  <protectedRanges>
    <protectedRange sqref="D5:F5 H16:I16 I51:I56 I61:I65 C69:I70 D61:D65 D51:D56 C81:I81 C72:C80 H80:I80 C71:H71 H72:H79 C16:E16 D7:F10 I5:I9 G15:I15 H14:I14 C14:F15 I71:I79 D23:I29" name="rango_editable"/>
    <protectedRange sqref="D72:G80" name="rango_editable_1"/>
    <protectedRange sqref="G17:G18" name="SINO"/>
  </protectedRanges>
  <mergeCells count="29">
    <mergeCell ref="D18:F18"/>
    <mergeCell ref="C15:I15"/>
    <mergeCell ref="C19:I19"/>
    <mergeCell ref="G16:H16"/>
    <mergeCell ref="C12:I12"/>
    <mergeCell ref="E10:F10"/>
    <mergeCell ref="C16:F16"/>
    <mergeCell ref="D17:F17"/>
    <mergeCell ref="C13:F13"/>
    <mergeCell ref="C14:F14"/>
    <mergeCell ref="C3:I3"/>
    <mergeCell ref="D5:F5"/>
    <mergeCell ref="D6:F6"/>
    <mergeCell ref="D8:F8"/>
    <mergeCell ref="D9:F9"/>
    <mergeCell ref="E7:F7"/>
    <mergeCell ref="C67:I67"/>
    <mergeCell ref="D68:I68"/>
    <mergeCell ref="G20:I20"/>
    <mergeCell ref="C43:D43"/>
    <mergeCell ref="C44:D44"/>
    <mergeCell ref="C30:H30"/>
    <mergeCell ref="C45:I45"/>
    <mergeCell ref="C48:I48"/>
    <mergeCell ref="C66:I66"/>
    <mergeCell ref="C46:I46"/>
    <mergeCell ref="C47:H47"/>
    <mergeCell ref="C58:I58"/>
    <mergeCell ref="C57:I57"/>
  </mergeCells>
  <phoneticPr fontId="18" type="noConversion"/>
  <conditionalFormatting sqref="D51:D56 I51:I56">
    <cfRule type="expression" dxfId="151" priority="28">
      <formula>$I$47="No"</formula>
    </cfRule>
  </conditionalFormatting>
  <conditionalFormatting sqref="J47">
    <cfRule type="iconSet" priority="42">
      <iconSet showValue="0">
        <cfvo type="percent" val="0"/>
        <cfvo type="num" val="1"/>
        <cfvo type="num" val="5"/>
      </iconSet>
    </cfRule>
  </conditionalFormatting>
  <conditionalFormatting sqref="D6:F6">
    <cfRule type="expression" dxfId="150" priority="24">
      <formula>$D$6="COMPLETAR FAMILIA"</formula>
    </cfRule>
    <cfRule type="expression" dxfId="149" priority="25">
      <formula>$D$6="COMPLETAR SUBFAMILIA"</formula>
    </cfRule>
  </conditionalFormatting>
  <conditionalFormatting sqref="D25:D29">
    <cfRule type="expression" dxfId="148" priority="17">
      <formula>OR(AND($D$23="Si",$D$24="No"),AND($D$23="No",$D$24="Si"))</formula>
    </cfRule>
    <cfRule type="expression" dxfId="147" priority="23">
      <formula>AND($D$23="No",$D$24="No")</formula>
    </cfRule>
  </conditionalFormatting>
  <conditionalFormatting sqref="E25:E29">
    <cfRule type="expression" dxfId="146" priority="16">
      <formula>OR(AND($E$23="Si",$E$24="No"),AND($E$23="No",$E$24="Si"))</formula>
    </cfRule>
    <cfRule type="expression" dxfId="145" priority="22">
      <formula>AND($E$23="No",$E$24="No")</formula>
    </cfRule>
  </conditionalFormatting>
  <conditionalFormatting sqref="F25:F29">
    <cfRule type="expression" dxfId="144" priority="15">
      <formula>OR(AND($F$23="Si",$F$24="No"),AND($F$23="No",$F$24="Si"))</formula>
    </cfRule>
    <cfRule type="expression" dxfId="143" priority="21">
      <formula>AND($F$23="No",$F$24="No")</formula>
    </cfRule>
  </conditionalFormatting>
  <conditionalFormatting sqref="G25:G29">
    <cfRule type="expression" dxfId="142" priority="14">
      <formula>OR(AND($G$23="Si",$G$24="No"),AND($G$23="No",$G$24="Si"))</formula>
    </cfRule>
    <cfRule type="expression" dxfId="141" priority="20">
      <formula>AND($G$23="No",$G$24="No")</formula>
    </cfRule>
  </conditionalFormatting>
  <conditionalFormatting sqref="H25:H29">
    <cfRule type="expression" dxfId="140" priority="13">
      <formula>OR(AND($H$23="Si",$H$24="No"),AND($H$23="No",$H$24="Si"))</formula>
    </cfRule>
    <cfRule type="expression" dxfId="139" priority="19">
      <formula>AND($H$23="No",$H$24="No")</formula>
    </cfRule>
  </conditionalFormatting>
  <conditionalFormatting sqref="I25:I29">
    <cfRule type="expression" dxfId="138" priority="12">
      <formula>OR(AND($I$23="Si",$I$24="No"),AND($I$23="No",$I$24="Si"))</formula>
    </cfRule>
    <cfRule type="expression" dxfId="137" priority="18">
      <formula>AND($I$23="No",$I$24="No")</formula>
    </cfRule>
  </conditionalFormatting>
  <conditionalFormatting sqref="H17:I17">
    <cfRule type="expression" dxfId="136" priority="9">
      <formula>$G$17="No"</formula>
    </cfRule>
  </conditionalFormatting>
  <conditionalFormatting sqref="H18:I18">
    <cfRule type="expression" dxfId="135" priority="2">
      <formula>$G18="No"</formula>
    </cfRule>
  </conditionalFormatting>
  <conditionalFormatting sqref="H17:H18">
    <cfRule type="expression" dxfId="134" priority="1">
      <formula>$G17="Si"</formula>
    </cfRule>
  </conditionalFormatting>
  <dataValidations count="3">
    <dataValidation type="list" allowBlank="1" showInputMessage="1" showErrorMessage="1" sqref="I32 I60" xr:uid="{00000000-0002-0000-0000-000000000000}">
      <formula1>#REF!</formula1>
    </dataValidation>
    <dataValidation type="list" allowBlank="1" showInputMessage="1" showErrorMessage="1" sqref="I7" xr:uid="{00000000-0002-0000-0000-000001000000}">
      <formula1>"Contrato, Adenda, Orden de Compra"</formula1>
    </dataValidation>
    <dataValidation type="list" allowBlank="1" showInputMessage="1" showErrorMessage="1" sqref="G17:G18" xr:uid="{00000000-0002-0000-0000-000002000000}">
      <formula1>"Si, No"</formula1>
    </dataValidation>
  </dataValidations>
  <printOptions horizontalCentered="1"/>
  <pageMargins left="0.59055118110236227" right="0.59055118110236227" top="0.78740157480314965" bottom="0.78740157480314965" header="0.31496062992125984" footer="0.31496062992125984"/>
  <pageSetup paperSize="9" scale="3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3000000}">
          <x14:formula1>
            <xm:f>Parámetros!$A$2:$A$25</xm:f>
          </x14:formula1>
          <xm:sqref>D7</xm:sqref>
        </x14:dataValidation>
        <x14:dataValidation type="list" allowBlank="1" showInputMessage="1" showErrorMessage="1" xr:uid="{00000000-0002-0000-0000-000004000000}">
          <x14:formula1>
            <xm:f>Parámetros!$C$2:$C$3</xm:f>
          </x14:formula1>
          <xm:sqref>I14 D23:I24</xm:sqref>
        </x14:dataValidation>
        <x14:dataValidation type="list" allowBlank="1" showInputMessage="1" showErrorMessage="1" xr:uid="{00000000-0002-0000-0000-000005000000}">
          <x14:formula1>
            <xm:f>Parámetros!$D$2:$D$3</xm:f>
          </x14:formula1>
          <xm:sqref>I5</xm:sqref>
        </x14:dataValidation>
        <x14:dataValidation type="list" allowBlank="1" showInputMessage="1" showErrorMessage="1" xr:uid="{00000000-0002-0000-0000-000006000000}">
          <x14:formula1>
            <xm:f>Parámetros!$G$2:$G$39</xm:f>
          </x14:formula1>
          <xm:sqref>D25:D29</xm:sqref>
        </x14:dataValidation>
        <x14:dataValidation type="list" allowBlank="1" showInputMessage="1" showErrorMessage="1" xr:uid="{00000000-0002-0000-0000-000007000000}">
          <x14:formula1>
            <xm:f>Parámetros!$I$2:$I$10</xm:f>
          </x14:formula1>
          <xm:sqref>E25:E29</xm:sqref>
        </x14:dataValidation>
        <x14:dataValidation type="list" allowBlank="1" showInputMessage="1" showErrorMessage="1" xr:uid="{00000000-0002-0000-0000-000008000000}">
          <x14:formula1>
            <xm:f>Parámetros!$T$2:$T$5</xm:f>
          </x14:formula1>
          <xm:sqref>I61:I65 I51:I56</xm:sqref>
        </x14:dataValidation>
        <x14:dataValidation type="list" allowBlank="1" showInputMessage="1" showErrorMessage="1" xr:uid="{00000000-0002-0000-0000-000009000000}">
          <x14:formula1>
            <xm:f>Parámetros!$AI$2:$AI$163</xm:f>
          </x14:formula1>
          <xm:sqref>G25:G29</xm:sqref>
        </x14:dataValidation>
        <x14:dataValidation type="list" allowBlank="1" showInputMessage="1" showErrorMessage="1" xr:uid="{00000000-0002-0000-0000-00000A000000}">
          <x14:formula1>
            <xm:f>Parámetros!$N$4:$N$5</xm:f>
          </x14:formula1>
          <xm:sqref>I25:I29</xm:sqref>
        </x14:dataValidation>
        <x14:dataValidation type="list" allowBlank="1" showInputMessage="1" showErrorMessage="1" xr:uid="{00000000-0002-0000-0000-00000B000000}">
          <x14:formula1>
            <xm:f>Parámetros!$AM$4:$AM$7</xm:f>
          </x14:formula1>
          <xm:sqref>F25:F29</xm:sqref>
        </x14:dataValidation>
        <x14:dataValidation type="list" allowBlank="1" showInputMessage="1" showErrorMessage="1" xr:uid="{00000000-0002-0000-0000-00000C000000}">
          <x14:formula1>
            <xm:f>Parámetros!$K$4:$K$9</xm:f>
          </x14:formula1>
          <xm:sqref>H25:H29</xm:sqref>
        </x14:dataValidation>
        <x14:dataValidation type="list" allowBlank="1" showInputMessage="1" showErrorMessage="1" errorTitle="Error" error="Sólo puede escoger alguna de las opciones de la Lista de Gerencias de Línea" xr:uid="{00000000-0002-0000-0000-00000D000000}">
          <x14:formula1>
            <xm:f>Parámetros!$AP$2:$AP$23</xm:f>
          </x14:formula1>
          <xm:sqref>D5:F5</xm:sqref>
        </x14:dataValidation>
        <x14:dataValidation type="list" allowBlank="1" showInputMessage="1" showErrorMessage="1" xr:uid="{00000000-0002-0000-0000-00000E000000}">
          <x14:formula1>
            <xm:f>Parámetros!$AR$1:$AR$2</xm:f>
          </x14:formula1>
          <xm:sqref>H14</xm:sqref>
        </x14:dataValidation>
        <x14:dataValidation type="list" allowBlank="1" showInputMessage="1" showErrorMessage="1" xr:uid="{00000000-0002-0000-0000-00000F000000}">
          <x14:formula1>
            <xm:f>OFFSET(Parámetros!W1,MATCH(D7,Parámetros!W:W,0)-1,1,COUNTIF(Parámetros!W:W,D7),1)</xm:f>
          </x14:formula1>
          <xm:sqref>E7:F7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C3"/>
  <sheetViews>
    <sheetView workbookViewId="0">
      <selection activeCell="C12" sqref="C12"/>
    </sheetView>
  </sheetViews>
  <sheetFormatPr baseColWidth="10" defaultRowHeight="14.4" x14ac:dyDescent="0.3"/>
  <sheetData>
    <row r="1" spans="2:3" x14ac:dyDescent="0.3">
      <c r="B1" t="s">
        <v>1415</v>
      </c>
      <c r="C1" t="s">
        <v>1416</v>
      </c>
    </row>
    <row r="2" spans="2:3" x14ac:dyDescent="0.3">
      <c r="B2" t="s">
        <v>1332</v>
      </c>
      <c r="C2" t="s">
        <v>1429</v>
      </c>
    </row>
    <row r="3" spans="2:3" x14ac:dyDescent="0.3">
      <c r="B3" t="s">
        <v>1387</v>
      </c>
      <c r="C3" t="s">
        <v>1430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2:Q212"/>
  <sheetViews>
    <sheetView showGridLines="0" topLeftCell="A70" zoomScale="115" zoomScaleNormal="115" workbookViewId="0">
      <selection activeCell="B69" sqref="B69:C70"/>
    </sheetView>
  </sheetViews>
  <sheetFormatPr baseColWidth="10" defaultColWidth="11.44140625" defaultRowHeight="14.4" x14ac:dyDescent="0.3"/>
  <cols>
    <col min="1" max="1" width="11.88671875" customWidth="1"/>
    <col min="2" max="2" width="16.5546875" customWidth="1"/>
    <col min="3" max="3" width="60.44140625" customWidth="1"/>
    <col min="7" max="7" width="19.44140625" customWidth="1"/>
  </cols>
  <sheetData>
    <row r="2" spans="1:14" x14ac:dyDescent="0.3">
      <c r="A2" s="378" t="s">
        <v>592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</row>
    <row r="4" spans="1:14" x14ac:dyDescent="0.3">
      <c r="A4" s="105" t="s">
        <v>593</v>
      </c>
    </row>
    <row r="5" spans="1:14" x14ac:dyDescent="0.3">
      <c r="A5" s="379" t="s">
        <v>795</v>
      </c>
      <c r="B5" s="379"/>
      <c r="C5" s="379"/>
      <c r="D5" s="379"/>
      <c r="E5" s="379"/>
      <c r="F5" s="379"/>
      <c r="G5" s="379"/>
      <c r="H5" s="379"/>
    </row>
    <row r="6" spans="1:14" ht="14.4" customHeight="1" x14ac:dyDescent="0.3">
      <c r="A6" s="379" t="s">
        <v>594</v>
      </c>
      <c r="B6" s="379"/>
      <c r="C6" s="379"/>
      <c r="D6" s="379"/>
      <c r="E6" s="379"/>
      <c r="F6" s="379"/>
      <c r="G6" s="379"/>
      <c r="H6" s="379"/>
    </row>
    <row r="7" spans="1:14" x14ac:dyDescent="0.3">
      <c r="A7" s="106"/>
      <c r="B7" s="106"/>
      <c r="C7" s="106"/>
      <c r="D7" s="106"/>
      <c r="E7" s="106"/>
      <c r="F7" s="106"/>
      <c r="G7" s="106"/>
      <c r="H7" s="106"/>
    </row>
    <row r="8" spans="1:14" x14ac:dyDescent="0.3">
      <c r="A8" s="377" t="s">
        <v>595</v>
      </c>
      <c r="B8" s="377"/>
      <c r="C8" s="377"/>
      <c r="D8" s="377"/>
      <c r="E8" s="377"/>
      <c r="F8" s="377"/>
      <c r="G8" s="377"/>
      <c r="H8" s="377"/>
    </row>
    <row r="9" spans="1:14" x14ac:dyDescent="0.3">
      <c r="A9" s="377" t="s">
        <v>796</v>
      </c>
      <c r="B9" s="377"/>
      <c r="C9" s="377"/>
      <c r="D9" s="377"/>
      <c r="E9" s="377"/>
      <c r="F9" s="377"/>
      <c r="G9" s="377"/>
      <c r="H9" s="377"/>
    </row>
    <row r="10" spans="1:14" x14ac:dyDescent="0.3">
      <c r="A10" s="377" t="s">
        <v>596</v>
      </c>
      <c r="B10" s="377"/>
      <c r="C10" s="377"/>
      <c r="D10" s="377"/>
      <c r="E10" s="377"/>
      <c r="F10" s="377"/>
      <c r="G10" s="377"/>
      <c r="H10" s="377"/>
    </row>
    <row r="11" spans="1:14" x14ac:dyDescent="0.3">
      <c r="A11" s="377" t="s">
        <v>597</v>
      </c>
      <c r="B11" s="377"/>
      <c r="C11" s="377"/>
      <c r="D11" s="377"/>
      <c r="E11" s="377"/>
      <c r="F11" s="377"/>
      <c r="G11" s="377"/>
      <c r="H11" s="377"/>
    </row>
    <row r="12" spans="1:14" x14ac:dyDescent="0.3">
      <c r="A12" s="377" t="s">
        <v>598</v>
      </c>
      <c r="B12" s="377"/>
      <c r="C12" s="377"/>
      <c r="D12" s="377"/>
      <c r="E12" s="377"/>
      <c r="F12" s="377"/>
      <c r="G12" s="377"/>
      <c r="H12" s="377"/>
    </row>
    <row r="13" spans="1:14" x14ac:dyDescent="0.3">
      <c r="A13" s="377" t="s">
        <v>797</v>
      </c>
      <c r="B13" s="377"/>
      <c r="C13" s="377"/>
      <c r="D13" s="377"/>
      <c r="E13" s="377"/>
      <c r="F13" s="377"/>
      <c r="G13" s="377"/>
      <c r="H13" s="377"/>
    </row>
    <row r="14" spans="1:14" x14ac:dyDescent="0.3">
      <c r="A14" s="377" t="s">
        <v>599</v>
      </c>
      <c r="B14" s="377"/>
      <c r="C14" s="377"/>
      <c r="D14" s="377"/>
      <c r="E14" s="377"/>
      <c r="F14" s="377"/>
      <c r="G14" s="377"/>
      <c r="H14" s="377"/>
    </row>
    <row r="15" spans="1:14" x14ac:dyDescent="0.3">
      <c r="A15" s="377" t="s">
        <v>600</v>
      </c>
      <c r="B15" s="377"/>
      <c r="C15" s="377"/>
      <c r="D15" s="377"/>
      <c r="E15" s="377"/>
      <c r="F15" s="377"/>
      <c r="G15" s="377"/>
      <c r="H15" s="377"/>
    </row>
    <row r="16" spans="1:14" x14ac:dyDescent="0.3">
      <c r="A16" s="377" t="s">
        <v>601</v>
      </c>
      <c r="B16" s="377"/>
      <c r="C16" s="377"/>
      <c r="D16" s="377"/>
      <c r="E16" s="377"/>
      <c r="F16" s="377"/>
      <c r="G16" s="377"/>
      <c r="H16" s="377"/>
    </row>
    <row r="17" spans="1:8" x14ac:dyDescent="0.3">
      <c r="A17" s="377" t="s">
        <v>602</v>
      </c>
      <c r="B17" s="377"/>
      <c r="C17" s="377"/>
      <c r="D17" s="377"/>
      <c r="E17" s="377"/>
      <c r="F17" s="377"/>
      <c r="G17" s="377"/>
      <c r="H17" s="377"/>
    </row>
    <row r="18" spans="1:8" x14ac:dyDescent="0.3">
      <c r="A18" s="377" t="s">
        <v>603</v>
      </c>
      <c r="B18" s="377"/>
      <c r="C18" s="377"/>
      <c r="D18" s="377"/>
      <c r="E18" s="377"/>
      <c r="F18" s="377"/>
      <c r="G18" s="377"/>
      <c r="H18" s="377"/>
    </row>
    <row r="19" spans="1:8" x14ac:dyDescent="0.3">
      <c r="A19" s="377" t="s">
        <v>604</v>
      </c>
      <c r="B19" s="377"/>
      <c r="C19" s="377"/>
      <c r="D19" s="377"/>
      <c r="E19" s="377"/>
      <c r="F19" s="377"/>
      <c r="G19" s="377"/>
      <c r="H19" s="377"/>
    </row>
    <row r="20" spans="1:8" x14ac:dyDescent="0.3">
      <c r="A20" s="377" t="s">
        <v>605</v>
      </c>
      <c r="B20" s="377"/>
      <c r="C20" s="377"/>
      <c r="D20" s="377"/>
      <c r="E20" s="377"/>
      <c r="F20" s="377"/>
      <c r="G20" s="377"/>
      <c r="H20" s="377"/>
    </row>
    <row r="34" spans="1:12" x14ac:dyDescent="0.3">
      <c r="A34" s="105" t="s">
        <v>606</v>
      </c>
    </row>
    <row r="35" spans="1:12" ht="14.4" customHeight="1" x14ac:dyDescent="0.3">
      <c r="A35" s="381" t="s">
        <v>607</v>
      </c>
      <c r="B35" s="381"/>
      <c r="C35" s="381"/>
      <c r="D35" s="381"/>
      <c r="E35" s="381"/>
      <c r="F35" s="381"/>
      <c r="G35" s="381"/>
      <c r="H35" s="381"/>
      <c r="I35" s="381"/>
      <c r="J35" s="381"/>
      <c r="K35" s="381"/>
      <c r="L35" s="381"/>
    </row>
    <row r="36" spans="1:12" x14ac:dyDescent="0.3">
      <c r="A36" s="381"/>
      <c r="B36" s="381"/>
      <c r="C36" s="381"/>
      <c r="D36" s="381"/>
      <c r="E36" s="381"/>
      <c r="F36" s="381"/>
      <c r="G36" s="381"/>
      <c r="H36" s="381"/>
      <c r="I36" s="381"/>
      <c r="J36" s="381"/>
      <c r="K36" s="381"/>
      <c r="L36" s="381"/>
    </row>
    <row r="37" spans="1:12" x14ac:dyDescent="0.3">
      <c r="A37" s="107"/>
      <c r="B37" s="107"/>
      <c r="C37" s="107"/>
      <c r="D37" s="107"/>
      <c r="E37" s="107"/>
      <c r="F37" s="107"/>
      <c r="G37" s="107"/>
      <c r="H37" s="107"/>
      <c r="I37" s="107"/>
      <c r="J37" s="107"/>
      <c r="K37" s="107"/>
      <c r="L37" s="107"/>
    </row>
    <row r="38" spans="1:12" x14ac:dyDescent="0.3">
      <c r="A38" s="107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</row>
    <row r="39" spans="1:12" x14ac:dyDescent="0.3">
      <c r="A39" s="107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</row>
    <row r="40" spans="1:12" x14ac:dyDescent="0.3">
      <c r="A40" s="107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</row>
    <row r="41" spans="1:12" x14ac:dyDescent="0.3">
      <c r="A41" s="107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</row>
    <row r="44" spans="1:12" x14ac:dyDescent="0.3">
      <c r="A44" s="105" t="s">
        <v>608</v>
      </c>
    </row>
    <row r="45" spans="1:12" ht="14.4" customHeight="1" x14ac:dyDescent="0.3">
      <c r="A45" s="381" t="s">
        <v>609</v>
      </c>
      <c r="B45" s="381"/>
      <c r="C45" s="381"/>
      <c r="D45" s="381"/>
      <c r="E45" s="381"/>
      <c r="F45" s="381"/>
      <c r="G45" s="381"/>
      <c r="H45" s="381"/>
      <c r="I45" s="381"/>
      <c r="J45" s="381"/>
      <c r="K45" s="381"/>
      <c r="L45" s="381"/>
    </row>
    <row r="46" spans="1:12" ht="14.4" customHeight="1" x14ac:dyDescent="0.3">
      <c r="A46" s="381"/>
      <c r="B46" s="381"/>
      <c r="C46" s="381"/>
      <c r="D46" s="381"/>
      <c r="E46" s="381"/>
      <c r="F46" s="381"/>
      <c r="G46" s="381"/>
      <c r="H46" s="381"/>
      <c r="I46" s="381"/>
      <c r="J46" s="381"/>
      <c r="K46" s="381"/>
      <c r="L46" s="381"/>
    </row>
    <row r="47" spans="1:12" ht="14.4" customHeight="1" x14ac:dyDescent="0.3">
      <c r="A47" s="107"/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</row>
    <row r="48" spans="1:12" ht="14.4" customHeight="1" x14ac:dyDescent="0.3">
      <c r="A48" s="380" t="s">
        <v>610</v>
      </c>
      <c r="B48" s="380"/>
      <c r="C48" s="380"/>
      <c r="D48" s="380"/>
      <c r="E48" s="380"/>
      <c r="F48" s="380"/>
      <c r="G48" s="380"/>
      <c r="H48" s="380"/>
      <c r="I48" s="107"/>
      <c r="J48" s="107"/>
      <c r="K48" s="107"/>
      <c r="L48" s="107"/>
    </row>
    <row r="49" spans="1:12" ht="14.4" customHeight="1" x14ac:dyDescent="0.3">
      <c r="A49" s="380" t="s">
        <v>611</v>
      </c>
      <c r="B49" s="380"/>
      <c r="C49" s="380"/>
      <c r="D49" s="380"/>
      <c r="E49" s="380"/>
      <c r="F49" s="380"/>
      <c r="G49" s="380"/>
      <c r="H49" s="380"/>
      <c r="I49" s="107"/>
      <c r="J49" s="107"/>
      <c r="K49" s="107"/>
      <c r="L49" s="107"/>
    </row>
    <row r="50" spans="1:12" ht="14.4" customHeight="1" x14ac:dyDescent="0.3">
      <c r="A50" s="380" t="s">
        <v>612</v>
      </c>
      <c r="B50" s="380"/>
      <c r="C50" s="380"/>
      <c r="D50" s="380"/>
      <c r="E50" s="380"/>
      <c r="F50" s="380"/>
      <c r="G50" s="380"/>
      <c r="H50" s="380"/>
      <c r="I50" s="107"/>
      <c r="J50" s="107"/>
      <c r="K50" s="107"/>
      <c r="L50" s="107"/>
    </row>
    <row r="51" spans="1:12" x14ac:dyDescent="0.3">
      <c r="A51" s="380" t="s">
        <v>613</v>
      </c>
      <c r="B51" s="380"/>
      <c r="C51" s="380"/>
      <c r="D51" s="380"/>
      <c r="E51" s="380"/>
      <c r="F51" s="380"/>
      <c r="G51" s="380"/>
      <c r="H51" s="380"/>
      <c r="I51" s="108"/>
      <c r="J51" s="108"/>
      <c r="K51" s="108"/>
      <c r="L51" s="108"/>
    </row>
    <row r="64" spans="1:12" x14ac:dyDescent="0.3">
      <c r="A64" s="381" t="s">
        <v>800</v>
      </c>
      <c r="B64" s="381"/>
      <c r="C64" s="381"/>
      <c r="D64" s="381"/>
      <c r="E64" s="381"/>
      <c r="F64" s="381"/>
      <c r="G64" s="381"/>
      <c r="H64" s="381"/>
      <c r="I64" s="381"/>
      <c r="J64" s="381"/>
      <c r="K64" s="381"/>
      <c r="L64" s="381"/>
    </row>
    <row r="65" spans="1:12" x14ac:dyDescent="0.3">
      <c r="A65" s="381"/>
      <c r="B65" s="381"/>
      <c r="C65" s="381"/>
      <c r="D65" s="381"/>
      <c r="E65" s="381"/>
      <c r="F65" s="381"/>
      <c r="G65" s="381"/>
      <c r="H65" s="381"/>
      <c r="I65" s="381"/>
      <c r="J65" s="381"/>
      <c r="K65" s="381"/>
      <c r="L65" s="381"/>
    </row>
    <row r="66" spans="1:12" ht="58.2" thickBot="1" x14ac:dyDescent="0.35">
      <c r="A66" s="135"/>
      <c r="B66" s="136" t="s">
        <v>801</v>
      </c>
      <c r="C66" s="136" t="s">
        <v>802</v>
      </c>
    </row>
    <row r="67" spans="1:12" ht="33" customHeight="1" x14ac:dyDescent="0.3">
      <c r="A67" s="385" t="s">
        <v>803</v>
      </c>
      <c r="B67" s="137" t="s">
        <v>804</v>
      </c>
      <c r="C67" s="388" t="s">
        <v>805</v>
      </c>
    </row>
    <row r="68" spans="1:12" ht="33" customHeight="1" thickBot="1" x14ac:dyDescent="0.35">
      <c r="A68" s="386"/>
      <c r="B68" s="138" t="s">
        <v>804</v>
      </c>
      <c r="C68" s="389"/>
    </row>
    <row r="69" spans="1:12" x14ac:dyDescent="0.3">
      <c r="A69" s="386"/>
      <c r="B69" s="137" t="s">
        <v>806</v>
      </c>
      <c r="C69" s="390" t="s">
        <v>807</v>
      </c>
    </row>
    <row r="70" spans="1:12" ht="15" thickBot="1" x14ac:dyDescent="0.35">
      <c r="A70" s="386"/>
      <c r="B70" s="138" t="s">
        <v>806</v>
      </c>
      <c r="C70" s="391"/>
    </row>
    <row r="71" spans="1:12" x14ac:dyDescent="0.3">
      <c r="A71" s="386"/>
      <c r="B71" s="137" t="s">
        <v>804</v>
      </c>
      <c r="C71" s="390" t="s">
        <v>808</v>
      </c>
    </row>
    <row r="72" spans="1:12" ht="15" thickBot="1" x14ac:dyDescent="0.35">
      <c r="A72" s="386"/>
      <c r="B72" s="138" t="s">
        <v>806</v>
      </c>
      <c r="C72" s="391"/>
    </row>
    <row r="73" spans="1:12" x14ac:dyDescent="0.3">
      <c r="A73" s="386"/>
      <c r="B73" s="137" t="s">
        <v>806</v>
      </c>
      <c r="C73" s="390" t="s">
        <v>809</v>
      </c>
    </row>
    <row r="74" spans="1:12" ht="15" thickBot="1" x14ac:dyDescent="0.35">
      <c r="A74" s="387"/>
      <c r="B74" s="138" t="s">
        <v>804</v>
      </c>
      <c r="C74" s="391"/>
    </row>
    <row r="76" spans="1:12" ht="14.4" customHeight="1" x14ac:dyDescent="0.3">
      <c r="A76" s="105" t="s">
        <v>614</v>
      </c>
    </row>
    <row r="77" spans="1:12" ht="14.4" customHeight="1" x14ac:dyDescent="0.3">
      <c r="A77" s="381" t="s">
        <v>615</v>
      </c>
      <c r="B77" s="381"/>
      <c r="C77" s="381"/>
      <c r="D77" s="381"/>
      <c r="E77" s="381"/>
      <c r="F77" s="381"/>
      <c r="G77" s="381"/>
      <c r="H77" s="381"/>
      <c r="I77" s="381"/>
      <c r="J77" s="381"/>
      <c r="K77" s="381"/>
      <c r="L77" s="381"/>
    </row>
    <row r="78" spans="1:12" x14ac:dyDescent="0.3">
      <c r="A78" s="381"/>
      <c r="B78" s="381"/>
      <c r="C78" s="381"/>
      <c r="D78" s="381"/>
      <c r="E78" s="381"/>
      <c r="F78" s="381"/>
      <c r="G78" s="381"/>
      <c r="H78" s="381"/>
      <c r="I78" s="381"/>
      <c r="J78" s="381"/>
      <c r="K78" s="381"/>
      <c r="L78" s="381"/>
    </row>
    <row r="79" spans="1:12" x14ac:dyDescent="0.3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</row>
    <row r="81" spans="3:7" x14ac:dyDescent="0.3">
      <c r="C81" s="382" t="s">
        <v>40</v>
      </c>
      <c r="D81" s="383"/>
      <c r="E81" s="384" t="s">
        <v>19</v>
      </c>
      <c r="F81" s="383"/>
      <c r="G81" s="383"/>
    </row>
    <row r="82" spans="3:7" ht="15.6" x14ac:dyDescent="0.3">
      <c r="C82" s="392" t="s">
        <v>43</v>
      </c>
      <c r="D82" s="392"/>
      <c r="E82" s="393" t="s">
        <v>23</v>
      </c>
      <c r="F82" s="393"/>
      <c r="G82" s="393"/>
    </row>
    <row r="83" spans="3:7" ht="15.6" x14ac:dyDescent="0.3">
      <c r="C83" s="392" t="s">
        <v>43</v>
      </c>
      <c r="D83" s="392"/>
      <c r="E83" s="393" t="s">
        <v>444</v>
      </c>
      <c r="F83" s="393"/>
      <c r="G83" s="393"/>
    </row>
    <row r="84" spans="3:7" ht="15.6" x14ac:dyDescent="0.3">
      <c r="C84" s="392" t="s">
        <v>17</v>
      </c>
      <c r="D84" s="392"/>
      <c r="E84" s="393" t="s">
        <v>17</v>
      </c>
      <c r="F84" s="393"/>
      <c r="G84" s="393"/>
    </row>
    <row r="85" spans="3:7" ht="15.6" x14ac:dyDescent="0.3">
      <c r="C85" s="392" t="s">
        <v>17</v>
      </c>
      <c r="D85" s="392"/>
      <c r="E85" s="393" t="s">
        <v>20</v>
      </c>
      <c r="F85" s="393"/>
      <c r="G85" s="393"/>
    </row>
    <row r="86" spans="3:7" ht="15.6" x14ac:dyDescent="0.3">
      <c r="C86" s="392" t="s">
        <v>42</v>
      </c>
      <c r="D86" s="392"/>
      <c r="E86" s="393" t="s">
        <v>10</v>
      </c>
      <c r="F86" s="393"/>
      <c r="G86" s="393"/>
    </row>
    <row r="87" spans="3:7" ht="15.6" x14ac:dyDescent="0.3">
      <c r="C87" s="392" t="s">
        <v>42</v>
      </c>
      <c r="D87" s="392"/>
      <c r="E87" s="393" t="s">
        <v>11</v>
      </c>
      <c r="F87" s="393"/>
      <c r="G87" s="393"/>
    </row>
    <row r="88" spans="3:7" ht="15.6" x14ac:dyDescent="0.3">
      <c r="C88" s="392" t="s">
        <v>42</v>
      </c>
      <c r="D88" s="392"/>
      <c r="E88" s="393" t="s">
        <v>26</v>
      </c>
      <c r="F88" s="393"/>
      <c r="G88" s="393"/>
    </row>
    <row r="89" spans="3:7" ht="15.6" x14ac:dyDescent="0.3">
      <c r="C89" s="392" t="s">
        <v>41</v>
      </c>
      <c r="D89" s="392"/>
      <c r="E89" s="393" t="s">
        <v>344</v>
      </c>
      <c r="F89" s="393"/>
      <c r="G89" s="393"/>
    </row>
    <row r="90" spans="3:7" ht="15.6" x14ac:dyDescent="0.3">
      <c r="C90" s="392" t="s">
        <v>41</v>
      </c>
      <c r="D90" s="392"/>
      <c r="E90" s="393" t="s">
        <v>343</v>
      </c>
      <c r="F90" s="393"/>
      <c r="G90" s="393"/>
    </row>
    <row r="91" spans="3:7" ht="15.6" x14ac:dyDescent="0.3">
      <c r="C91" s="392" t="s">
        <v>41</v>
      </c>
      <c r="D91" s="392"/>
      <c r="E91" s="393" t="s">
        <v>18</v>
      </c>
      <c r="F91" s="393"/>
      <c r="G91" s="393"/>
    </row>
    <row r="108" spans="1:12" ht="14.4" customHeight="1" x14ac:dyDescent="0.3">
      <c r="A108" s="381" t="s">
        <v>616</v>
      </c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</row>
    <row r="109" spans="1:12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</row>
    <row r="110" spans="1:12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</row>
    <row r="114" spans="1:12" x14ac:dyDescent="0.3">
      <c r="A114" s="105" t="s">
        <v>617</v>
      </c>
    </row>
    <row r="115" spans="1:12" ht="14.4" customHeight="1" x14ac:dyDescent="0.3">
      <c r="A115" s="381" t="s">
        <v>618</v>
      </c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</row>
    <row r="116" spans="1:12" x14ac:dyDescent="0.3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</row>
    <row r="120" spans="1:12" ht="14.4" customHeight="1" x14ac:dyDescent="0.3">
      <c r="A120" s="381" t="s">
        <v>619</v>
      </c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</row>
    <row r="121" spans="1:12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</row>
    <row r="122" spans="1:12" x14ac:dyDescent="0.3">
      <c r="A122" s="107"/>
      <c r="B122" s="107"/>
      <c r="C122" s="107"/>
      <c r="D122" s="107"/>
      <c r="E122" s="107"/>
      <c r="F122" s="107"/>
      <c r="G122" s="107"/>
      <c r="H122" s="107"/>
      <c r="I122" s="107"/>
      <c r="J122" s="107"/>
      <c r="K122" s="107"/>
      <c r="L122" s="107"/>
    </row>
    <row r="123" spans="1:12" x14ac:dyDescent="0.3">
      <c r="A123" s="107"/>
      <c r="B123" s="107"/>
      <c r="C123" s="107"/>
      <c r="D123" s="107"/>
      <c r="E123" s="107"/>
      <c r="F123" s="107"/>
      <c r="G123" s="107"/>
      <c r="H123" s="107"/>
      <c r="I123" s="107"/>
      <c r="J123" s="107"/>
      <c r="K123" s="107"/>
      <c r="L123" s="107"/>
    </row>
    <row r="124" spans="1:12" x14ac:dyDescent="0.3">
      <c r="A124" s="105" t="s">
        <v>620</v>
      </c>
      <c r="B124" s="107"/>
      <c r="C124" s="107"/>
      <c r="D124" s="107"/>
      <c r="E124" s="107"/>
      <c r="F124" s="107"/>
      <c r="G124" s="107"/>
      <c r="H124" s="107"/>
      <c r="I124" s="107"/>
      <c r="J124" s="107"/>
      <c r="K124" s="107"/>
      <c r="L124" s="107"/>
    </row>
    <row r="125" spans="1:12" x14ac:dyDescent="0.3">
      <c r="A125" s="381" t="s">
        <v>621</v>
      </c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</row>
    <row r="126" spans="1:12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</row>
    <row r="155" spans="1:17" x14ac:dyDescent="0.3">
      <c r="A155" t="s">
        <v>622</v>
      </c>
    </row>
    <row r="157" spans="1:17" x14ac:dyDescent="0.3">
      <c r="A157" s="394" t="s">
        <v>623</v>
      </c>
      <c r="B157" s="394"/>
      <c r="C157" s="394"/>
      <c r="D157" s="394"/>
      <c r="E157" s="394"/>
      <c r="F157" s="394"/>
      <c r="G157" s="394" t="s">
        <v>529</v>
      </c>
      <c r="H157" s="394"/>
      <c r="I157" s="394"/>
      <c r="J157" s="394"/>
      <c r="K157" s="394"/>
      <c r="L157" s="394"/>
      <c r="M157" s="394"/>
      <c r="N157" s="394"/>
      <c r="O157" s="394"/>
      <c r="P157" s="394"/>
      <c r="Q157" s="394"/>
    </row>
    <row r="158" spans="1:17" x14ac:dyDescent="0.3">
      <c r="A158" s="395" t="s">
        <v>624</v>
      </c>
      <c r="B158" s="395"/>
      <c r="C158" s="395"/>
      <c r="D158" s="395"/>
      <c r="E158" s="395"/>
      <c r="F158" s="395"/>
      <c r="G158" s="396" t="s">
        <v>522</v>
      </c>
      <c r="H158" s="396"/>
      <c r="I158" s="396"/>
      <c r="J158" s="396"/>
      <c r="K158" s="396"/>
      <c r="L158" s="396"/>
      <c r="M158" s="396"/>
      <c r="N158" s="396"/>
      <c r="O158" s="396"/>
      <c r="P158" s="396"/>
      <c r="Q158" s="396"/>
    </row>
    <row r="159" spans="1:17" x14ac:dyDescent="0.3">
      <c r="A159" s="395" t="s">
        <v>625</v>
      </c>
      <c r="B159" s="395"/>
      <c r="C159" s="395"/>
      <c r="D159" s="395"/>
      <c r="E159" s="395"/>
      <c r="F159" s="395"/>
      <c r="G159" s="396" t="s">
        <v>576</v>
      </c>
      <c r="H159" s="396"/>
      <c r="I159" s="396"/>
      <c r="J159" s="396"/>
      <c r="K159" s="396"/>
      <c r="L159" s="396"/>
      <c r="M159" s="396"/>
      <c r="N159" s="396"/>
      <c r="O159" s="396"/>
      <c r="P159" s="396"/>
      <c r="Q159" s="396"/>
    </row>
    <row r="160" spans="1:17" x14ac:dyDescent="0.3">
      <c r="A160" s="395" t="s">
        <v>626</v>
      </c>
      <c r="B160" s="395"/>
      <c r="C160" s="395"/>
      <c r="D160" s="395"/>
      <c r="E160" s="395"/>
      <c r="F160" s="395"/>
      <c r="G160" s="396" t="s">
        <v>564</v>
      </c>
      <c r="H160" s="396"/>
      <c r="I160" s="396"/>
      <c r="J160" s="396"/>
      <c r="K160" s="396"/>
      <c r="L160" s="396"/>
      <c r="M160" s="396"/>
      <c r="N160" s="396"/>
      <c r="O160" s="396"/>
      <c r="P160" s="396"/>
      <c r="Q160" s="396"/>
    </row>
    <row r="161" spans="1:17" x14ac:dyDescent="0.3">
      <c r="A161" s="395" t="s">
        <v>627</v>
      </c>
      <c r="B161" s="395"/>
      <c r="C161" s="395"/>
      <c r="D161" s="395"/>
      <c r="E161" s="395"/>
      <c r="F161" s="395"/>
      <c r="G161" s="396" t="s">
        <v>523</v>
      </c>
      <c r="H161" s="396"/>
      <c r="I161" s="396"/>
      <c r="J161" s="396"/>
      <c r="K161" s="396"/>
      <c r="L161" s="396"/>
      <c r="M161" s="396"/>
      <c r="N161" s="396"/>
      <c r="O161" s="396"/>
      <c r="P161" s="396"/>
      <c r="Q161" s="396"/>
    </row>
    <row r="162" spans="1:17" x14ac:dyDescent="0.3">
      <c r="A162" s="395" t="s">
        <v>628</v>
      </c>
      <c r="B162" s="395"/>
      <c r="C162" s="395"/>
      <c r="D162" s="395"/>
      <c r="E162" s="395"/>
      <c r="F162" s="395"/>
      <c r="G162" s="396" t="s">
        <v>524</v>
      </c>
      <c r="H162" s="396"/>
      <c r="I162" s="396"/>
      <c r="J162" s="396"/>
      <c r="K162" s="396"/>
      <c r="L162" s="396"/>
      <c r="M162" s="396"/>
      <c r="N162" s="396"/>
      <c r="O162" s="396"/>
      <c r="P162" s="396"/>
      <c r="Q162" s="396"/>
    </row>
    <row r="163" spans="1:17" x14ac:dyDescent="0.3">
      <c r="A163" s="395" t="s">
        <v>629</v>
      </c>
      <c r="B163" s="395"/>
      <c r="C163" s="395"/>
      <c r="D163" s="395"/>
      <c r="E163" s="395"/>
      <c r="F163" s="395"/>
      <c r="G163" s="396" t="s">
        <v>566</v>
      </c>
      <c r="H163" s="396"/>
      <c r="I163" s="396"/>
      <c r="J163" s="396"/>
      <c r="K163" s="396"/>
      <c r="L163" s="396"/>
      <c r="M163" s="396"/>
      <c r="N163" s="396"/>
      <c r="O163" s="396"/>
      <c r="P163" s="396"/>
      <c r="Q163" s="396"/>
    </row>
    <row r="164" spans="1:17" x14ac:dyDescent="0.3">
      <c r="A164" s="395" t="s">
        <v>630</v>
      </c>
      <c r="B164" s="395"/>
      <c r="C164" s="395"/>
      <c r="D164" s="395"/>
      <c r="E164" s="395"/>
      <c r="F164" s="395"/>
      <c r="G164" s="396" t="s">
        <v>591</v>
      </c>
      <c r="H164" s="396"/>
      <c r="I164" s="396"/>
      <c r="J164" s="396"/>
      <c r="K164" s="396"/>
      <c r="L164" s="396"/>
      <c r="M164" s="396"/>
      <c r="N164" s="396"/>
      <c r="O164" s="396"/>
      <c r="P164" s="396"/>
      <c r="Q164" s="396"/>
    </row>
    <row r="167" spans="1:17" x14ac:dyDescent="0.3">
      <c r="A167" s="105" t="s">
        <v>631</v>
      </c>
    </row>
    <row r="168" spans="1:17" ht="14.4" customHeight="1" x14ac:dyDescent="0.3">
      <c r="A168" s="381" t="s">
        <v>632</v>
      </c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</row>
    <row r="169" spans="1:17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</row>
    <row r="202" spans="1:17" x14ac:dyDescent="0.3">
      <c r="A202" t="s">
        <v>633</v>
      </c>
    </row>
    <row r="204" spans="1:17" x14ac:dyDescent="0.3">
      <c r="A204" s="394" t="s">
        <v>623</v>
      </c>
      <c r="B204" s="394"/>
      <c r="C204" s="394"/>
      <c r="D204" s="394"/>
      <c r="E204" s="394"/>
      <c r="F204" s="394"/>
      <c r="G204" s="394" t="s">
        <v>529</v>
      </c>
      <c r="H204" s="394"/>
      <c r="I204" s="394"/>
      <c r="J204" s="394"/>
      <c r="K204" s="394"/>
      <c r="L204" s="394"/>
      <c r="M204" s="394"/>
      <c r="N204" s="394"/>
      <c r="O204" s="394"/>
      <c r="P204" s="394"/>
      <c r="Q204" s="394"/>
    </row>
    <row r="205" spans="1:17" x14ac:dyDescent="0.3">
      <c r="A205" s="397" t="s">
        <v>634</v>
      </c>
      <c r="B205" s="398"/>
      <c r="C205" s="398"/>
      <c r="D205" s="398"/>
      <c r="E205" s="398"/>
      <c r="F205" s="399"/>
      <c r="G205" s="396" t="s">
        <v>533</v>
      </c>
      <c r="H205" s="396"/>
      <c r="I205" s="396"/>
      <c r="J205" s="396"/>
      <c r="K205" s="396"/>
      <c r="L205" s="396"/>
      <c r="M205" s="396"/>
      <c r="N205" s="396"/>
      <c r="O205" s="396"/>
      <c r="P205" s="396"/>
      <c r="Q205" s="396"/>
    </row>
    <row r="206" spans="1:17" x14ac:dyDescent="0.3">
      <c r="A206" s="397" t="s">
        <v>635</v>
      </c>
      <c r="B206" s="398"/>
      <c r="C206" s="398"/>
      <c r="D206" s="398"/>
      <c r="E206" s="398"/>
      <c r="F206" s="399"/>
      <c r="G206" s="396" t="s">
        <v>798</v>
      </c>
      <c r="H206" s="396"/>
      <c r="I206" s="396"/>
      <c r="J206" s="396"/>
      <c r="K206" s="396"/>
      <c r="L206" s="396"/>
      <c r="M206" s="396"/>
      <c r="N206" s="396"/>
      <c r="O206" s="396"/>
      <c r="P206" s="396"/>
      <c r="Q206" s="396"/>
    </row>
    <row r="207" spans="1:17" x14ac:dyDescent="0.3">
      <c r="A207" s="397" t="s">
        <v>636</v>
      </c>
      <c r="B207" s="398"/>
      <c r="C207" s="398"/>
      <c r="D207" s="398"/>
      <c r="E207" s="398"/>
      <c r="F207" s="399"/>
      <c r="G207" s="396" t="s">
        <v>793</v>
      </c>
      <c r="H207" s="396"/>
      <c r="I207" s="396"/>
      <c r="J207" s="396"/>
      <c r="K207" s="396"/>
      <c r="L207" s="396"/>
      <c r="M207" s="396"/>
      <c r="N207" s="396"/>
      <c r="O207" s="396"/>
      <c r="P207" s="396"/>
      <c r="Q207" s="396"/>
    </row>
    <row r="208" spans="1:17" x14ac:dyDescent="0.3">
      <c r="A208" s="397" t="s">
        <v>637</v>
      </c>
      <c r="B208" s="398"/>
      <c r="C208" s="398"/>
      <c r="D208" s="398"/>
      <c r="E208" s="398"/>
      <c r="F208" s="399"/>
      <c r="G208" s="396" t="s">
        <v>794</v>
      </c>
      <c r="H208" s="396"/>
      <c r="I208" s="396"/>
      <c r="J208" s="396"/>
      <c r="K208" s="396"/>
      <c r="L208" s="396"/>
      <c r="M208" s="396"/>
      <c r="N208" s="396"/>
      <c r="O208" s="396"/>
      <c r="P208" s="396"/>
      <c r="Q208" s="396"/>
    </row>
    <row r="210" spans="1:13" x14ac:dyDescent="0.3">
      <c r="A210" s="105" t="s">
        <v>638</v>
      </c>
    </row>
    <row r="211" spans="1:13" ht="14.4" customHeight="1" x14ac:dyDescent="0.3">
      <c r="A211" s="381" t="s">
        <v>774</v>
      </c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</row>
    <row r="212" spans="1:13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</row>
  </sheetData>
  <sheetProtection algorithmName="SHA-512" hashValue="83NLXpZgy6ztZ82s4r5vlqwldl5HpBeWlps8XAsIaED6LEbwNJI41fajL6XO5J3ZgwsIKvO/dtSBWWj1PGjYkg==" saltValue="smGjZBqMiWozsdB6ri1Oig==" spinCount="100000" sheet="1" objects="1" scenarios="1"/>
  <mergeCells count="83">
    <mergeCell ref="A208:F208"/>
    <mergeCell ref="G208:Q208"/>
    <mergeCell ref="A211:M212"/>
    <mergeCell ref="A205:F205"/>
    <mergeCell ref="G205:Q205"/>
    <mergeCell ref="A206:F206"/>
    <mergeCell ref="G206:Q206"/>
    <mergeCell ref="A207:F207"/>
    <mergeCell ref="G207:Q207"/>
    <mergeCell ref="A204:F204"/>
    <mergeCell ref="G204:Q204"/>
    <mergeCell ref="A160:F160"/>
    <mergeCell ref="G160:Q160"/>
    <mergeCell ref="A161:F161"/>
    <mergeCell ref="G161:Q161"/>
    <mergeCell ref="A162:F162"/>
    <mergeCell ref="G162:Q162"/>
    <mergeCell ref="A163:F163"/>
    <mergeCell ref="G163:Q163"/>
    <mergeCell ref="A164:F164"/>
    <mergeCell ref="G164:Q164"/>
    <mergeCell ref="A168:L169"/>
    <mergeCell ref="A157:F157"/>
    <mergeCell ref="G157:Q157"/>
    <mergeCell ref="A158:F158"/>
    <mergeCell ref="G158:Q158"/>
    <mergeCell ref="A159:F159"/>
    <mergeCell ref="G159:Q159"/>
    <mergeCell ref="A125:L126"/>
    <mergeCell ref="C88:D88"/>
    <mergeCell ref="E88:G88"/>
    <mergeCell ref="C89:D89"/>
    <mergeCell ref="E89:G89"/>
    <mergeCell ref="C90:D90"/>
    <mergeCell ref="E90:G90"/>
    <mergeCell ref="C91:D91"/>
    <mergeCell ref="E91:G91"/>
    <mergeCell ref="A108:L108"/>
    <mergeCell ref="A115:L115"/>
    <mergeCell ref="A120:L121"/>
    <mergeCell ref="C85:D85"/>
    <mergeCell ref="E85:G85"/>
    <mergeCell ref="C86:D86"/>
    <mergeCell ref="E86:G86"/>
    <mergeCell ref="C87:D87"/>
    <mergeCell ref="E87:G87"/>
    <mergeCell ref="C82:D82"/>
    <mergeCell ref="E82:G82"/>
    <mergeCell ref="C83:D83"/>
    <mergeCell ref="E83:G83"/>
    <mergeCell ref="C84:D84"/>
    <mergeCell ref="E84:G84"/>
    <mergeCell ref="A49:H49"/>
    <mergeCell ref="A50:H50"/>
    <mergeCell ref="A51:H51"/>
    <mergeCell ref="A77:L78"/>
    <mergeCell ref="C81:D81"/>
    <mergeCell ref="E81:G81"/>
    <mergeCell ref="A64:L65"/>
    <mergeCell ref="A67:A74"/>
    <mergeCell ref="C67:C68"/>
    <mergeCell ref="C69:C70"/>
    <mergeCell ref="C71:C72"/>
    <mergeCell ref="C73:C74"/>
    <mergeCell ref="A48:H48"/>
    <mergeCell ref="A12:H12"/>
    <mergeCell ref="A13:H13"/>
    <mergeCell ref="A14:H14"/>
    <mergeCell ref="A15:H15"/>
    <mergeCell ref="A16:H16"/>
    <mergeCell ref="A17:H17"/>
    <mergeCell ref="A18:H18"/>
    <mergeCell ref="A19:H19"/>
    <mergeCell ref="A20:H20"/>
    <mergeCell ref="A35:L36"/>
    <mergeCell ref="A45:L46"/>
    <mergeCell ref="A11:H11"/>
    <mergeCell ref="A2:N2"/>
    <mergeCell ref="A6:H6"/>
    <mergeCell ref="A8:H8"/>
    <mergeCell ref="A9:H9"/>
    <mergeCell ref="A10:H10"/>
    <mergeCell ref="A5:H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3"/>
  <dimension ref="A1:F12"/>
  <sheetViews>
    <sheetView workbookViewId="0">
      <selection activeCell="C11" sqref="C11"/>
    </sheetView>
  </sheetViews>
  <sheetFormatPr baseColWidth="10" defaultRowHeight="14.4" x14ac:dyDescent="0.3"/>
  <cols>
    <col min="1" max="1" width="3.33203125" customWidth="1"/>
    <col min="2" max="2" width="34.109375" customWidth="1"/>
    <col min="3" max="3" width="25.33203125" customWidth="1"/>
    <col min="4" max="5" width="31.6640625" customWidth="1"/>
    <col min="6" max="6" width="5" bestFit="1" customWidth="1"/>
  </cols>
  <sheetData>
    <row r="1" spans="1:6" ht="15" thickBot="1" x14ac:dyDescent="0.35">
      <c r="A1" s="287"/>
      <c r="B1" s="288"/>
      <c r="C1" s="289"/>
      <c r="D1" s="288"/>
      <c r="E1" s="288"/>
      <c r="F1" s="290"/>
    </row>
    <row r="2" spans="1:6" ht="21.6" thickBot="1" x14ac:dyDescent="0.35">
      <c r="A2" s="291"/>
      <c r="B2" s="400" t="s">
        <v>1332</v>
      </c>
      <c r="C2" s="401"/>
      <c r="D2" s="401"/>
      <c r="E2" s="402"/>
      <c r="F2" s="292"/>
    </row>
    <row r="3" spans="1:6" ht="15" thickBot="1" x14ac:dyDescent="0.35">
      <c r="A3" s="291"/>
      <c r="B3" s="293"/>
      <c r="C3" s="293"/>
      <c r="D3" s="294"/>
      <c r="E3" s="294"/>
      <c r="F3" s="292"/>
    </row>
    <row r="4" spans="1:6" ht="27.75" customHeight="1" thickBot="1" x14ac:dyDescent="0.35">
      <c r="A4" s="291"/>
      <c r="B4" s="403" t="s">
        <v>1389</v>
      </c>
      <c r="C4" s="404"/>
      <c r="D4" s="404"/>
      <c r="E4" s="295"/>
      <c r="F4" s="292">
        <f>IFERROR(IF(OR(E4="",E4="No"),0,IF(OR(VLOOKUP(#REF!,[1]Organigrama!B:D,3,FALSE)="Segunda Línea",VLOOKUP(#REF!,[1]Organigrama!B:D,3,FALSE)="Tercera Línea"),4,IF(VALUE(RIGHT(VLOOKUP(#REF!,[1]Organigrama!B:C,2,FALSE),1))&lt;=5,4,IF(VALUE(RIGHT(VLOOKUP(#REF!,[1]Organigrama!B:C,2,FALSE),1))&lt;=6,3,2)))),"")</f>
        <v>0</v>
      </c>
    </row>
    <row r="5" spans="1:6" ht="15" thickBot="1" x14ac:dyDescent="0.35">
      <c r="F5" s="292"/>
    </row>
    <row r="6" spans="1:6" ht="27.75" customHeight="1" thickBot="1" x14ac:dyDescent="0.35">
      <c r="A6" s="291"/>
      <c r="B6" s="405" t="s">
        <v>1390</v>
      </c>
      <c r="C6" s="406"/>
      <c r="D6" s="406"/>
      <c r="E6" s="295"/>
      <c r="F6" s="292">
        <f>IFERROR(IF(OR(E6="",E6="No"),0,IF(OR(VLOOKUP(#REF!,[1]Organigrama!B:D,2,FALSE)="Directorio",VLOOKUP(#REF!,[1]Organigrama!B:D,3,FALSE)="Segunda Línea",VLOOKUP(#REF!,[1]Organigrama!B:D,3,FALSE)="Tercera Línea"),4,IF(VALUE(RIGHT(VLOOKUP(#REF!,[1]Organigrama!B:C,2,FALSE),1))&lt;=4,4,IF(VALUE(RIGHT(VLOOKUP(#REF!,[1]Organigrama!B:C,2,FALSE),1))&lt;=5,3,2)))),"")</f>
        <v>0</v>
      </c>
    </row>
    <row r="7" spans="1:6" ht="15" thickBot="1" x14ac:dyDescent="0.35">
      <c r="F7" s="292"/>
    </row>
    <row r="8" spans="1:6" ht="27.75" customHeight="1" thickBot="1" x14ac:dyDescent="0.35">
      <c r="A8" s="291"/>
      <c r="B8" s="405" t="s">
        <v>1391</v>
      </c>
      <c r="C8" s="406"/>
      <c r="D8" s="406"/>
      <c r="E8" s="295"/>
      <c r="F8" s="292" t="str">
        <f>IFERROR(IF(OR(E8="",E8="No"),"",IF(#REF!&lt;&gt;#REF!,4,IF(AND(LEFT(#REF!,16)="Gerencia Central",#REF!&lt;&gt;#REF!),4,2))),"")</f>
        <v/>
      </c>
    </row>
    <row r="9" spans="1:6" ht="15" thickBot="1" x14ac:dyDescent="0.35">
      <c r="A9" s="291"/>
      <c r="B9" s="296"/>
      <c r="C9" s="296"/>
      <c r="D9" s="296"/>
      <c r="F9" s="292"/>
    </row>
    <row r="10" spans="1:6" ht="27.75" customHeight="1" thickBot="1" x14ac:dyDescent="0.35">
      <c r="A10" s="291"/>
      <c r="B10" s="405" t="s">
        <v>1392</v>
      </c>
      <c r="C10" s="406"/>
      <c r="D10" s="406"/>
      <c r="E10" s="295"/>
      <c r="F10" s="292" t="str">
        <f>IFERROR(IF(OR(E10="",E10="No"),"",IF(#REF!&lt;&gt;#REF!,4,IF(AND(LEFT(#REF!,16)="Gerencia Central",#REF!&lt;&gt;#REF!),4,2))),"")</f>
        <v/>
      </c>
    </row>
    <row r="11" spans="1:6" x14ac:dyDescent="0.3">
      <c r="A11" s="291"/>
      <c r="B11" s="296"/>
      <c r="C11" s="296"/>
      <c r="D11" s="296"/>
      <c r="F11" s="292"/>
    </row>
    <row r="12" spans="1:6" ht="15" thickBot="1" x14ac:dyDescent="0.35">
      <c r="A12" s="297"/>
      <c r="B12" s="298"/>
      <c r="C12" s="299"/>
      <c r="D12" s="298"/>
      <c r="E12" s="298"/>
      <c r="F12" s="300"/>
    </row>
  </sheetData>
  <protectedRanges>
    <protectedRange sqref="E4 E6 E8:E11" name="Respuestas_1_1"/>
  </protectedRanges>
  <mergeCells count="5">
    <mergeCell ref="B2:E2"/>
    <mergeCell ref="B4:D4"/>
    <mergeCell ref="B6:D6"/>
    <mergeCell ref="B8:D8"/>
    <mergeCell ref="B10:D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Parámetros!$C$2:$C$3</xm:f>
          </x14:formula1>
          <xm:sqref>E10 E4 E6 E8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/>
  <dimension ref="A1:F28"/>
  <sheetViews>
    <sheetView workbookViewId="0">
      <selection activeCell="C7" sqref="C7"/>
    </sheetView>
  </sheetViews>
  <sheetFormatPr baseColWidth="10" defaultRowHeight="14.4" x14ac:dyDescent="0.3"/>
  <cols>
    <col min="1" max="1" width="3.33203125" customWidth="1"/>
    <col min="2" max="2" width="34.109375" customWidth="1"/>
    <col min="3" max="3" width="25.33203125" customWidth="1"/>
    <col min="4" max="5" width="31.6640625" customWidth="1"/>
    <col min="6" max="6" width="5" bestFit="1" customWidth="1"/>
  </cols>
  <sheetData>
    <row r="1" spans="1:6" ht="15" thickBot="1" x14ac:dyDescent="0.35">
      <c r="A1" s="287"/>
      <c r="B1" s="288"/>
      <c r="C1" s="289"/>
      <c r="D1" s="288"/>
      <c r="E1" s="288"/>
      <c r="F1" s="290"/>
    </row>
    <row r="2" spans="1:6" ht="21.6" thickBot="1" x14ac:dyDescent="0.35">
      <c r="A2" s="291"/>
      <c r="B2" s="400" t="s">
        <v>1387</v>
      </c>
      <c r="C2" s="401"/>
      <c r="D2" s="401"/>
      <c r="E2" s="402"/>
      <c r="F2" s="292"/>
    </row>
    <row r="3" spans="1:6" ht="15" thickBot="1" x14ac:dyDescent="0.35">
      <c r="A3" s="291"/>
      <c r="B3" s="293"/>
      <c r="C3" s="293"/>
      <c r="D3" s="294"/>
      <c r="E3" s="294"/>
      <c r="F3" s="292"/>
    </row>
    <row r="4" spans="1:6" ht="27" customHeight="1" thickBot="1" x14ac:dyDescent="0.35">
      <c r="A4" s="291"/>
      <c r="B4" s="403" t="s">
        <v>1393</v>
      </c>
      <c r="C4" s="404"/>
      <c r="D4" s="404"/>
      <c r="E4" s="295"/>
      <c r="F4" s="292">
        <f>IFERROR(IF(OR(E4="",E4="No"),0,IF(OR(VLOOKUP(#REF!,[1]Organigrama!B:D,3,FALSE)="Segunda Línea",VLOOKUP(#REF!,[1]Organigrama!B:D,3,FALSE)="Tercera Línea"),4,IF(VALUE(RIGHT(VLOOKUP(#REF!,[1]Organigrama!B:C,2,FALSE),1))&lt;=5,4,IF(VALUE(RIGHT(VLOOKUP(#REF!,[1]Organigrama!B:C,2,FALSE),1))&lt;=6,3,2)))),"")</f>
        <v>0</v>
      </c>
    </row>
    <row r="5" spans="1:6" ht="15" thickBot="1" x14ac:dyDescent="0.35">
      <c r="A5" s="330"/>
      <c r="F5" s="292"/>
    </row>
    <row r="6" spans="1:6" ht="27" customHeight="1" thickBot="1" x14ac:dyDescent="0.35">
      <c r="A6" s="291"/>
      <c r="B6" s="405" t="s">
        <v>1394</v>
      </c>
      <c r="C6" s="406"/>
      <c r="D6" s="406"/>
      <c r="E6" s="295"/>
      <c r="F6" s="292">
        <f>IFERROR(IF(OR(E6="",E6="No"),0,IF(OR(VLOOKUP(#REF!,[1]Organigrama!B:D,2,FALSE)="Directorio",VLOOKUP(#REF!,[1]Organigrama!B:D,3,FALSE)="Segunda Línea",VLOOKUP(#REF!,[1]Organigrama!B:D,3,FALSE)="Tercera Línea"),4,IF(VALUE(RIGHT(VLOOKUP(#REF!,[1]Organigrama!B:C,2,FALSE),1))&lt;=4,4,IF(VALUE(RIGHT(VLOOKUP(#REF!,[1]Organigrama!B:C,2,FALSE),1))&lt;=5,3,2)))),"")</f>
        <v>0</v>
      </c>
    </row>
    <row r="7" spans="1:6" ht="15" thickBot="1" x14ac:dyDescent="0.35">
      <c r="A7" s="330"/>
      <c r="F7" s="292"/>
    </row>
    <row r="8" spans="1:6" ht="15" thickBot="1" x14ac:dyDescent="0.35">
      <c r="A8" s="291"/>
      <c r="B8" s="405" t="s">
        <v>1395</v>
      </c>
      <c r="C8" s="406"/>
      <c r="D8" s="406"/>
      <c r="E8" s="295"/>
      <c r="F8" s="292" t="str">
        <f>IFERROR(IF(OR(E8="",E8="No"),"",IF(#REF!&lt;&gt;#REF!,4,IF(AND(LEFT(#REF!,16)="Gerencia Central",#REF!&lt;&gt;#REF!),4,2))),"")</f>
        <v/>
      </c>
    </row>
    <row r="9" spans="1:6" ht="15" thickBot="1" x14ac:dyDescent="0.35">
      <c r="A9" s="291"/>
      <c r="B9" s="296"/>
      <c r="C9" s="296"/>
      <c r="D9" s="296"/>
      <c r="F9" s="292"/>
    </row>
    <row r="10" spans="1:6" ht="27" customHeight="1" thickBot="1" x14ac:dyDescent="0.35">
      <c r="A10" s="291"/>
      <c r="B10" s="405" t="s">
        <v>1396</v>
      </c>
      <c r="C10" s="406"/>
      <c r="D10" s="406"/>
      <c r="E10" s="295"/>
      <c r="F10" s="292" t="str">
        <f>IFERROR(IF(OR(E10="",E10="No"),"",IF(#REF!&lt;&gt;#REF!,4,IF(AND(LEFT(#REF!,16)="Gerencia Central",#REF!&lt;&gt;#REF!),4,2))),"")</f>
        <v/>
      </c>
    </row>
    <row r="11" spans="1:6" ht="15" thickBot="1" x14ac:dyDescent="0.35">
      <c r="A11" s="291"/>
      <c r="B11" s="296"/>
      <c r="C11" s="296"/>
      <c r="D11" s="296"/>
      <c r="F11" s="292"/>
    </row>
    <row r="12" spans="1:6" ht="24.75" customHeight="1" thickBot="1" x14ac:dyDescent="0.35">
      <c r="A12" s="291"/>
      <c r="B12" s="405" t="s">
        <v>1397</v>
      </c>
      <c r="C12" s="406"/>
      <c r="D12" s="406"/>
      <c r="E12" s="295"/>
      <c r="F12" s="292" t="str">
        <f>IFERROR(IF(OR(E12="",E12="No"),"",IF(#REF!&lt;&gt;#REF!,4,IF(AND(LEFT(#REF!,16)="Gerencia Central",#REF!&lt;&gt;#REF!),4,2))),"")</f>
        <v/>
      </c>
    </row>
    <row r="13" spans="1:6" ht="15" thickBot="1" x14ac:dyDescent="0.35">
      <c r="A13" s="291"/>
      <c r="B13" s="296"/>
      <c r="C13" s="296"/>
      <c r="D13" s="296"/>
      <c r="F13" s="292"/>
    </row>
    <row r="14" spans="1:6" ht="26.25" customHeight="1" thickBot="1" x14ac:dyDescent="0.35">
      <c r="A14" s="291"/>
      <c r="B14" s="405" t="s">
        <v>1398</v>
      </c>
      <c r="C14" s="406"/>
      <c r="D14" s="406"/>
      <c r="E14" s="295"/>
      <c r="F14" s="292" t="str">
        <f>IFERROR(IF(OR(E14="",E14="No"),"",IF(#REF!&lt;&gt;#REF!,4,IF(AND(LEFT(#REF!,16)="Gerencia Central",#REF!&lt;&gt;#REF!),4,2))),"")</f>
        <v/>
      </c>
    </row>
    <row r="15" spans="1:6" ht="15" thickBot="1" x14ac:dyDescent="0.35">
      <c r="A15" s="291"/>
      <c r="B15" s="296"/>
      <c r="C15" s="296"/>
      <c r="D15" s="296"/>
      <c r="F15" s="292"/>
    </row>
    <row r="16" spans="1:6" ht="27.75" customHeight="1" thickBot="1" x14ac:dyDescent="0.35">
      <c r="A16" s="291"/>
      <c r="B16" s="405" t="s">
        <v>1399</v>
      </c>
      <c r="C16" s="406"/>
      <c r="D16" s="406"/>
      <c r="E16" s="295"/>
      <c r="F16" s="292" t="str">
        <f>IFERROR(IF(OR(E16="",E16="No"),"",IF(#REF!&lt;&gt;#REF!,4,IF(AND(LEFT(#REF!,16)="Gerencia Central",#REF!&lt;&gt;#REF!),4,2))),"")</f>
        <v/>
      </c>
    </row>
    <row r="17" spans="1:6" ht="15" thickBot="1" x14ac:dyDescent="0.35">
      <c r="A17" s="291"/>
      <c r="B17" s="296"/>
      <c r="C17" s="296"/>
      <c r="D17" s="296"/>
      <c r="F17" s="292"/>
    </row>
    <row r="18" spans="1:6" ht="15" thickBot="1" x14ac:dyDescent="0.35">
      <c r="A18" s="291"/>
      <c r="B18" s="405" t="s">
        <v>1400</v>
      </c>
      <c r="C18" s="406"/>
      <c r="D18" s="406"/>
      <c r="E18" s="295"/>
      <c r="F18" s="292" t="str">
        <f>IFERROR(IF(OR(E18="",E18="No"),"",IF(#REF!&lt;&gt;#REF!,4,IF(AND(LEFT(#REF!,16)="Gerencia Central",#REF!&lt;&gt;#REF!),4,2))),"")</f>
        <v/>
      </c>
    </row>
    <row r="19" spans="1:6" ht="15" thickBot="1" x14ac:dyDescent="0.35">
      <c r="A19" s="291"/>
      <c r="B19" s="296"/>
      <c r="C19" s="296"/>
      <c r="D19" s="296"/>
      <c r="F19" s="292"/>
    </row>
    <row r="20" spans="1:6" ht="24.75" customHeight="1" thickBot="1" x14ac:dyDescent="0.35">
      <c r="A20" s="291"/>
      <c r="B20" s="405" t="s">
        <v>1401</v>
      </c>
      <c r="C20" s="406"/>
      <c r="D20" s="406"/>
      <c r="E20" s="295"/>
      <c r="F20" s="292" t="str">
        <f>IFERROR(IF(OR(E20="",E20="No"),"",IF(#REF!&lt;&gt;#REF!,4,IF(AND(LEFT(#REF!,16)="Gerencia Central",#REF!&lt;&gt;#REF!),4,2))),"")</f>
        <v/>
      </c>
    </row>
    <row r="21" spans="1:6" ht="15" thickBot="1" x14ac:dyDescent="0.35">
      <c r="A21" s="291"/>
      <c r="B21" s="296"/>
      <c r="C21" s="296"/>
      <c r="D21" s="296"/>
      <c r="F21" s="292"/>
    </row>
    <row r="22" spans="1:6" ht="29.25" customHeight="1" thickBot="1" x14ac:dyDescent="0.35">
      <c r="A22" s="291"/>
      <c r="B22" s="405" t="s">
        <v>1402</v>
      </c>
      <c r="C22" s="406"/>
      <c r="D22" s="406"/>
      <c r="E22" s="295"/>
      <c r="F22" s="292" t="str">
        <f>IFERROR(IF(OR(E22="",E22="No"),"",IF(#REF!&lt;&gt;#REF!,4,IF(AND(LEFT(#REF!,16)="Gerencia Central",#REF!&lt;&gt;#REF!),4,2))),"")</f>
        <v/>
      </c>
    </row>
    <row r="23" spans="1:6" ht="15" thickBot="1" x14ac:dyDescent="0.35">
      <c r="A23" s="291"/>
      <c r="B23" s="296"/>
      <c r="C23" s="296"/>
      <c r="D23" s="296"/>
      <c r="F23" s="292"/>
    </row>
    <row r="24" spans="1:6" ht="23.25" customHeight="1" thickBot="1" x14ac:dyDescent="0.35">
      <c r="A24" s="291"/>
      <c r="B24" s="405" t="s">
        <v>1403</v>
      </c>
      <c r="C24" s="406"/>
      <c r="D24" s="406"/>
      <c r="E24" s="295"/>
      <c r="F24" s="292" t="str">
        <f>IFERROR(IF(OR(E24="",E24="No"),"",IF(#REF!&lt;&gt;#REF!,4,IF(AND(LEFT(#REF!,16)="Gerencia Central",#REF!&lt;&gt;#REF!),4,2))),"")</f>
        <v/>
      </c>
    </row>
    <row r="25" spans="1:6" x14ac:dyDescent="0.3">
      <c r="A25" s="291"/>
      <c r="B25" s="296"/>
      <c r="C25" s="296"/>
      <c r="D25" s="296"/>
      <c r="F25" s="292"/>
    </row>
    <row r="26" spans="1:6" x14ac:dyDescent="0.3">
      <c r="A26" s="291"/>
      <c r="F26" s="292"/>
    </row>
    <row r="27" spans="1:6" x14ac:dyDescent="0.3">
      <c r="A27" s="291"/>
      <c r="F27" s="292"/>
    </row>
    <row r="28" spans="1:6" ht="15" thickBot="1" x14ac:dyDescent="0.35">
      <c r="A28" s="297"/>
      <c r="B28" s="301"/>
      <c r="C28" s="301"/>
      <c r="D28" s="301"/>
      <c r="E28" s="301"/>
      <c r="F28" s="300"/>
    </row>
  </sheetData>
  <protectedRanges>
    <protectedRange sqref="E4 E6 E8:E28" name="Respuestas_1"/>
  </protectedRanges>
  <mergeCells count="12">
    <mergeCell ref="B24:D24"/>
    <mergeCell ref="B20:D20"/>
    <mergeCell ref="B22:D22"/>
    <mergeCell ref="B12:D12"/>
    <mergeCell ref="B14:D14"/>
    <mergeCell ref="B16:D16"/>
    <mergeCell ref="B18:D18"/>
    <mergeCell ref="B2:E2"/>
    <mergeCell ref="B4:D4"/>
    <mergeCell ref="B6:D6"/>
    <mergeCell ref="B8:D8"/>
    <mergeCell ref="B10:D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0000000}">
          <x14:formula1>
            <xm:f>OFFSET('D:\MAUGE\NPCI - LUKEN\FORMATOS FINALES\00_VIGENTES\[01_Rating NPCI - GIR ACTUALIZADO NOV EN PROCESO v.f3.xlsm]Organigrama'!#REF!,MATCH(#REF!,'D:\MAUGE\NPCI - LUKEN\FORMATOS FINALES\00_VIGENTES\[01_Rating NPCI - GIR ACTUALIZADO NOV EN PROCESO v.f3.xlsm]Organigrama'!#REF!,0)-1,1,COUNTIF('D:\MAUGE\NPCI - LUKEN\FORMATOS FINALES\00_VIGENTES\[01_Rating NPCI - GIR ACTUALIZADO NOV EN PROCESO v.f3.xlsm]Organigrama'!#REF!,#REF!),1)</xm:f>
          </x14:formula1>
          <xm:sqref>E28 E11 E13 E15 E17 E19 E21 E23 E25</xm:sqref>
        </x14:dataValidation>
        <x14:dataValidation type="list" allowBlank="1" showInputMessage="1" showErrorMessage="1" xr:uid="{00000000-0002-0000-0400-000001000000}">
          <x14:formula1>
            <xm:f>OFFSET('D:\MAUGE\NPCI - LUKEN\FORMATOS FINALES\00_VIGENTES\[01_Rating NPCI - GIR ACTUALIZADO NOV EN PROCESO v.f3.xlsm]Organigrama'!#REF!,MATCH(E27,'D:\MAUGE\NPCI - LUKEN\FORMATOS FINALES\00_VIGENTES\[01_Rating NPCI - GIR ACTUALIZADO NOV EN PROCESO v.f3.xlsm]Organigrama'!#REF!,0)-1,1,COUNTIF('D:\MAUGE\NPCI - LUKEN\FORMATOS FINALES\00_VIGENTES\[01_Rating NPCI - GIR ACTUALIZADO NOV EN PROCESO v.f3.xlsm]Organigrama'!#REF!,E27),1)</xm:f>
          </x14:formula1>
          <xm:sqref>E28</xm:sqref>
        </x14:dataValidation>
        <x14:dataValidation type="list" allowBlank="1" showInputMessage="1" showErrorMessage="1" xr:uid="{00000000-0002-0000-0400-000002000000}">
          <x14:formula1>
            <xm:f>'D:\MAUGE\NPCI - LUKEN\FORMATOS FINALES\00_VIGENTES\[01_Rating NPCI - GIR ACTUALIZADO NOV EN PROCESO v.f3.xlsm]Parámetros'!#REF!</xm:f>
          </x14:formula1>
          <xm:sqref>E26:E27</xm:sqref>
        </x14:dataValidation>
        <x14:dataValidation type="list" allowBlank="1" showInputMessage="1" showErrorMessage="1" xr:uid="{00000000-0002-0000-0400-000003000000}">
          <x14:formula1>
            <xm:f>OFFSET('D:\MAUGE\NPCI - LUKEN\FORMATOS FINALES\00_VIGENTES\[01_Rating NPCI - GIR ACTUALIZADO NOV EN PROCESO v.f3.xlsm]Organigrama'!#REF!,MATCH(#REF!,'D:\MAUGE\NPCI - LUKEN\FORMATOS FINALES\00_VIGENTES\[01_Rating NPCI - GIR ACTUALIZADO NOV EN PROCESO v.f3.xlsm]Organigrama'!#REF!,0)-1,1,COUNTIF('D:\MAUGE\NPCI - LUKEN\FORMATOS FINALES\00_VIGENTES\[01_Rating NPCI - GIR ACTUALIZADO NOV EN PROCESO v.f3.xlsm]Organigrama'!#REF!,#REF!),1)</xm:f>
          </x14:formula1>
          <xm:sqref>E11 E13 E15 E17 E19 E21 E23 E25</xm:sqref>
        </x14:dataValidation>
        <x14:dataValidation type="list" allowBlank="1" showInputMessage="1" showErrorMessage="1" xr:uid="{00000000-0002-0000-0400-000004000000}">
          <x14:formula1>
            <xm:f>Parámetros!$C$2:$C$3</xm:f>
          </x14:formula1>
          <xm:sqref>E4 E6 E8 E10 E12 E14 E16 E18 E20 E22 E24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/>
  <dimension ref="A1:AR185"/>
  <sheetViews>
    <sheetView workbookViewId="0">
      <selection activeCell="AR1" sqref="AR1:AR2"/>
    </sheetView>
  </sheetViews>
  <sheetFormatPr baseColWidth="10" defaultColWidth="11.44140625" defaultRowHeight="14.4" x14ac:dyDescent="0.3"/>
  <cols>
    <col min="1" max="1" width="32.21875" bestFit="1" customWidth="1"/>
    <col min="2" max="2" width="2.88671875" customWidth="1"/>
    <col min="3" max="3" width="16.44140625" bestFit="1" customWidth="1"/>
    <col min="4" max="4" width="14.88671875" bestFit="1" customWidth="1"/>
    <col min="5" max="5" width="73.21875" bestFit="1" customWidth="1"/>
    <col min="6" max="6" width="5.109375" customWidth="1"/>
    <col min="7" max="7" width="29.6640625" bestFit="1" customWidth="1"/>
    <col min="8" max="8" width="4.6640625" customWidth="1"/>
    <col min="9" max="9" width="28" bestFit="1" customWidth="1"/>
    <col min="10" max="10" width="3.6640625" customWidth="1"/>
    <col min="11" max="11" width="22.77734375" bestFit="1" customWidth="1"/>
    <col min="12" max="12" width="16.44140625" bestFit="1" customWidth="1"/>
    <col min="13" max="13" width="2.6640625" customWidth="1"/>
    <col min="14" max="14" width="20.77734375" bestFit="1" customWidth="1"/>
    <col min="15" max="15" width="8.33203125" bestFit="1" customWidth="1"/>
    <col min="16" max="16" width="2.6640625" customWidth="1"/>
    <col min="17" max="17" width="16.44140625" bestFit="1" customWidth="1"/>
    <col min="18" max="18" width="10.33203125" bestFit="1" customWidth="1"/>
    <col min="19" max="19" width="2.5546875" customWidth="1"/>
    <col min="20" max="20" width="20.33203125" bestFit="1" customWidth="1"/>
    <col min="21" max="21" width="25" bestFit="1" customWidth="1"/>
    <col min="22" max="22" width="16.109375" bestFit="1" customWidth="1"/>
    <col min="23" max="23" width="50.33203125" bestFit="1" customWidth="1"/>
    <col min="24" max="24" width="61.21875" bestFit="1" customWidth="1"/>
    <col min="25" max="25" width="4.88671875" customWidth="1"/>
    <col min="26" max="26" width="29.109375" bestFit="1" customWidth="1"/>
    <col min="32" max="32" width="43.88671875" bestFit="1" customWidth="1"/>
    <col min="33" max="33" width="37.88671875" bestFit="1" customWidth="1"/>
    <col min="34" max="34" width="137.5546875" bestFit="1" customWidth="1"/>
    <col min="35" max="35" width="24.88671875" bestFit="1" customWidth="1"/>
    <col min="36" max="36" width="3.33203125" customWidth="1"/>
    <col min="37" max="37" width="18.6640625" bestFit="1" customWidth="1"/>
    <col min="38" max="38" width="48.6640625" bestFit="1" customWidth="1"/>
    <col min="39" max="39" width="17" bestFit="1" customWidth="1"/>
    <col min="40" max="40" width="4.6640625" bestFit="1" customWidth="1"/>
    <col min="42" max="42" width="50.44140625" bestFit="1" customWidth="1"/>
  </cols>
  <sheetData>
    <row r="1" spans="1:44" ht="15" thickBot="1" x14ac:dyDescent="0.35">
      <c r="A1" s="76" t="s">
        <v>446</v>
      </c>
      <c r="B1" s="76"/>
      <c r="C1" t="s">
        <v>442</v>
      </c>
      <c r="D1" t="s">
        <v>447</v>
      </c>
      <c r="E1" s="76" t="s">
        <v>457</v>
      </c>
      <c r="F1" s="76"/>
      <c r="G1" s="76" t="s">
        <v>466</v>
      </c>
      <c r="H1" s="76"/>
      <c r="I1" s="76" t="s">
        <v>286</v>
      </c>
      <c r="J1" s="76"/>
      <c r="K1" s="76" t="s">
        <v>584</v>
      </c>
      <c r="L1" t="s">
        <v>580</v>
      </c>
      <c r="N1" s="76" t="s">
        <v>584</v>
      </c>
      <c r="O1" t="s">
        <v>362</v>
      </c>
      <c r="Q1" s="76" t="s">
        <v>584</v>
      </c>
      <c r="R1" t="s">
        <v>13</v>
      </c>
      <c r="T1" t="s">
        <v>32</v>
      </c>
      <c r="U1" t="s">
        <v>468</v>
      </c>
      <c r="V1" t="s">
        <v>469</v>
      </c>
      <c r="W1" s="76" t="s">
        <v>413</v>
      </c>
      <c r="X1" s="76" t="s">
        <v>415</v>
      </c>
      <c r="Y1" s="76"/>
      <c r="Z1" t="s">
        <v>519</v>
      </c>
      <c r="AA1" s="31" t="s">
        <v>515</v>
      </c>
      <c r="AB1" s="31" t="s">
        <v>516</v>
      </c>
      <c r="AC1" s="31" t="s">
        <v>517</v>
      </c>
      <c r="AD1" s="31" t="s">
        <v>518</v>
      </c>
      <c r="AE1" s="98" t="s">
        <v>530</v>
      </c>
      <c r="AF1" s="98" t="s">
        <v>532</v>
      </c>
      <c r="AG1" s="98" t="s">
        <v>520</v>
      </c>
      <c r="AH1" s="98" t="s">
        <v>531</v>
      </c>
      <c r="AI1" s="76" t="s">
        <v>13</v>
      </c>
      <c r="AJ1" s="76"/>
      <c r="AK1" s="98" t="s">
        <v>639</v>
      </c>
      <c r="AL1" s="98" t="s">
        <v>640</v>
      </c>
      <c r="AM1" s="76" t="s">
        <v>652</v>
      </c>
      <c r="AN1" t="s">
        <v>806</v>
      </c>
      <c r="AP1" s="141" t="s">
        <v>810</v>
      </c>
      <c r="AR1" t="s">
        <v>395</v>
      </c>
    </row>
    <row r="2" spans="1:44" x14ac:dyDescent="0.3">
      <c r="A2" s="77" t="s">
        <v>382</v>
      </c>
      <c r="B2" s="77"/>
      <c r="C2" t="s">
        <v>356</v>
      </c>
      <c r="D2" t="s">
        <v>448</v>
      </c>
      <c r="E2" s="77" t="s">
        <v>267</v>
      </c>
      <c r="F2" s="77"/>
      <c r="G2" s="77" t="s">
        <v>123</v>
      </c>
      <c r="H2" s="77"/>
      <c r="I2" s="77" t="s">
        <v>292</v>
      </c>
      <c r="J2" s="77"/>
      <c r="T2">
        <v>1</v>
      </c>
      <c r="U2" t="s">
        <v>12</v>
      </c>
      <c r="V2" t="s">
        <v>470</v>
      </c>
      <c r="W2" t="s">
        <v>382</v>
      </c>
      <c r="X2" t="s">
        <v>1333</v>
      </c>
      <c r="Z2" t="s">
        <v>20</v>
      </c>
      <c r="AA2" s="99">
        <v>0.3</v>
      </c>
      <c r="AB2" s="99">
        <v>0.6</v>
      </c>
      <c r="AC2" s="99">
        <v>0.8</v>
      </c>
      <c r="AD2" t="s">
        <v>514</v>
      </c>
      <c r="AE2" s="101">
        <v>0</v>
      </c>
      <c r="AF2" s="100" t="s">
        <v>521</v>
      </c>
      <c r="AG2" s="101">
        <v>0</v>
      </c>
      <c r="AH2" s="100" t="s">
        <v>521</v>
      </c>
      <c r="AI2" s="77" t="s">
        <v>845</v>
      </c>
      <c r="AJ2" s="77"/>
      <c r="AK2" s="101">
        <v>0</v>
      </c>
      <c r="AL2" s="100" t="s">
        <v>521</v>
      </c>
      <c r="AN2" s="77"/>
      <c r="AP2" s="140" t="s">
        <v>812</v>
      </c>
      <c r="AR2" t="s">
        <v>1422</v>
      </c>
    </row>
    <row r="3" spans="1:44" x14ac:dyDescent="0.3">
      <c r="A3" s="77" t="s">
        <v>388</v>
      </c>
      <c r="B3" s="77"/>
      <c r="C3" t="s">
        <v>355</v>
      </c>
      <c r="D3" t="s">
        <v>449</v>
      </c>
      <c r="E3" s="77" t="s">
        <v>274</v>
      </c>
      <c r="F3" s="77"/>
      <c r="G3" s="77" t="s">
        <v>118</v>
      </c>
      <c r="H3" s="77"/>
      <c r="I3" s="77" t="s">
        <v>322</v>
      </c>
      <c r="J3" s="77"/>
      <c r="K3" s="76" t="s">
        <v>587</v>
      </c>
      <c r="N3" s="76" t="s">
        <v>586</v>
      </c>
      <c r="Q3" s="76" t="s">
        <v>585</v>
      </c>
      <c r="T3">
        <v>2</v>
      </c>
      <c r="U3" t="s">
        <v>351</v>
      </c>
      <c r="V3" t="s">
        <v>473</v>
      </c>
      <c r="W3" t="s">
        <v>388</v>
      </c>
      <c r="X3" t="s">
        <v>1334</v>
      </c>
      <c r="Z3" t="s">
        <v>16</v>
      </c>
      <c r="AA3" s="99">
        <v>0.3</v>
      </c>
      <c r="AB3" s="99">
        <v>0.5</v>
      </c>
      <c r="AC3" s="99">
        <v>0.7</v>
      </c>
      <c r="AD3" t="s">
        <v>514</v>
      </c>
      <c r="AE3" s="102">
        <v>2</v>
      </c>
      <c r="AF3" s="99" t="s">
        <v>533</v>
      </c>
      <c r="AG3" s="102">
        <v>2</v>
      </c>
      <c r="AH3" s="99" t="s">
        <v>522</v>
      </c>
      <c r="AI3" s="77" t="s">
        <v>847</v>
      </c>
      <c r="AJ3" s="77"/>
      <c r="AK3">
        <v>1</v>
      </c>
      <c r="AL3" s="99" t="s">
        <v>641</v>
      </c>
      <c r="AM3" s="76" t="s">
        <v>13</v>
      </c>
      <c r="AN3" s="77"/>
      <c r="AP3" s="140" t="s">
        <v>289</v>
      </c>
    </row>
    <row r="4" spans="1:44" x14ac:dyDescent="0.3">
      <c r="A4" s="77" t="s">
        <v>387</v>
      </c>
      <c r="B4" s="77"/>
      <c r="E4" s="77" t="s">
        <v>290</v>
      </c>
      <c r="F4" s="77"/>
      <c r="G4" s="77" t="s">
        <v>192</v>
      </c>
      <c r="H4" s="77"/>
      <c r="I4" s="77" t="s">
        <v>308</v>
      </c>
      <c r="J4" s="77"/>
      <c r="K4" s="77" t="s">
        <v>433</v>
      </c>
      <c r="N4" s="77" t="s">
        <v>436</v>
      </c>
      <c r="Q4" s="77" t="s">
        <v>428</v>
      </c>
      <c r="T4">
        <v>3</v>
      </c>
      <c r="U4" t="s">
        <v>35</v>
      </c>
      <c r="W4" t="s">
        <v>387</v>
      </c>
      <c r="X4" t="s">
        <v>1335</v>
      </c>
      <c r="Z4" t="s">
        <v>17</v>
      </c>
      <c r="AA4" s="99">
        <v>0.3</v>
      </c>
      <c r="AB4" s="99">
        <v>0.5</v>
      </c>
      <c r="AC4" s="99">
        <v>0.7</v>
      </c>
      <c r="AD4" t="s">
        <v>514</v>
      </c>
      <c r="AE4">
        <v>3</v>
      </c>
      <c r="AF4" s="99" t="s">
        <v>792</v>
      </c>
      <c r="AG4">
        <v>3</v>
      </c>
      <c r="AH4" s="100" t="s">
        <v>576</v>
      </c>
      <c r="AI4" s="77" t="s">
        <v>849</v>
      </c>
      <c r="AJ4" s="77"/>
      <c r="AK4">
        <v>2</v>
      </c>
      <c r="AL4" s="99" t="s">
        <v>643</v>
      </c>
      <c r="AM4" s="77" t="s">
        <v>893</v>
      </c>
      <c r="AN4" s="77"/>
      <c r="AP4" s="140" t="s">
        <v>813</v>
      </c>
    </row>
    <row r="5" spans="1:44" x14ac:dyDescent="0.3">
      <c r="A5" s="77" t="s">
        <v>417</v>
      </c>
      <c r="B5" s="77"/>
      <c r="E5" s="77" t="s">
        <v>295</v>
      </c>
      <c r="F5" s="77"/>
      <c r="G5" s="77" t="s">
        <v>241</v>
      </c>
      <c r="H5" s="77"/>
      <c r="I5" s="77" t="s">
        <v>296</v>
      </c>
      <c r="J5" s="77"/>
      <c r="K5" s="77" t="s">
        <v>421</v>
      </c>
      <c r="N5" s="77" t="s">
        <v>440</v>
      </c>
      <c r="Q5" s="77" t="s">
        <v>427</v>
      </c>
      <c r="T5">
        <v>4</v>
      </c>
      <c r="U5" t="s">
        <v>13</v>
      </c>
      <c r="V5" t="s">
        <v>471</v>
      </c>
      <c r="W5" t="s">
        <v>387</v>
      </c>
      <c r="X5" t="s">
        <v>1336</v>
      </c>
      <c r="Z5" t="s">
        <v>10</v>
      </c>
      <c r="AA5" s="99">
        <v>0.3</v>
      </c>
      <c r="AB5" s="99">
        <v>0.5</v>
      </c>
      <c r="AC5" s="99">
        <v>0.7</v>
      </c>
      <c r="AD5" t="s">
        <v>514</v>
      </c>
      <c r="AE5">
        <v>4</v>
      </c>
      <c r="AF5" s="100" t="s">
        <v>793</v>
      </c>
      <c r="AG5" t="s">
        <v>525</v>
      </c>
      <c r="AH5" t="s">
        <v>564</v>
      </c>
      <c r="AI5" s="77" t="s">
        <v>851</v>
      </c>
      <c r="AJ5" s="77"/>
      <c r="AK5">
        <v>3</v>
      </c>
      <c r="AL5" s="99" t="s">
        <v>643</v>
      </c>
      <c r="AM5" s="77" t="s">
        <v>907</v>
      </c>
      <c r="AN5" s="77"/>
      <c r="AP5" s="140" t="s">
        <v>814</v>
      </c>
    </row>
    <row r="6" spans="1:44" x14ac:dyDescent="0.3">
      <c r="A6" s="77" t="s">
        <v>367</v>
      </c>
      <c r="B6" s="77"/>
      <c r="E6" s="77" t="s">
        <v>303</v>
      </c>
      <c r="F6" s="77"/>
      <c r="G6" s="77" t="s">
        <v>140</v>
      </c>
      <c r="H6" s="77"/>
      <c r="I6" s="77" t="s">
        <v>358</v>
      </c>
      <c r="J6" s="77"/>
      <c r="K6" s="77" t="s">
        <v>420</v>
      </c>
      <c r="Q6" s="77" t="s">
        <v>429</v>
      </c>
      <c r="U6" t="s">
        <v>15</v>
      </c>
      <c r="V6" t="s">
        <v>472</v>
      </c>
      <c r="W6" t="s">
        <v>417</v>
      </c>
      <c r="X6" t="s">
        <v>1337</v>
      </c>
      <c r="Z6" t="s">
        <v>11</v>
      </c>
      <c r="AA6" s="99">
        <v>0.3</v>
      </c>
      <c r="AB6" s="99">
        <v>0.5</v>
      </c>
      <c r="AC6" s="99">
        <v>0.7</v>
      </c>
      <c r="AD6" t="s">
        <v>514</v>
      </c>
      <c r="AE6" t="s">
        <v>578</v>
      </c>
      <c r="AF6" t="s">
        <v>794</v>
      </c>
      <c r="AG6" t="s">
        <v>528</v>
      </c>
      <c r="AH6" t="s">
        <v>523</v>
      </c>
      <c r="AI6" s="77" t="s">
        <v>853</v>
      </c>
      <c r="AJ6" s="77"/>
      <c r="AK6">
        <v>4</v>
      </c>
      <c r="AL6" t="s">
        <v>642</v>
      </c>
      <c r="AM6" s="77" t="s">
        <v>931</v>
      </c>
      <c r="AN6" s="77"/>
      <c r="AP6" s="140" t="s">
        <v>298</v>
      </c>
    </row>
    <row r="7" spans="1:44" x14ac:dyDescent="0.3">
      <c r="A7" s="77" t="s">
        <v>368</v>
      </c>
      <c r="B7" s="77"/>
      <c r="E7" s="77" t="s">
        <v>243</v>
      </c>
      <c r="F7" s="77"/>
      <c r="G7" s="77" t="s">
        <v>201</v>
      </c>
      <c r="H7" s="77"/>
      <c r="I7" s="77" t="s">
        <v>287</v>
      </c>
      <c r="J7" s="77"/>
      <c r="K7" s="77" t="s">
        <v>423</v>
      </c>
      <c r="Q7" s="77" t="s">
        <v>426</v>
      </c>
      <c r="U7" t="s">
        <v>14</v>
      </c>
      <c r="V7" t="s">
        <v>472</v>
      </c>
      <c r="W7" t="s">
        <v>417</v>
      </c>
      <c r="X7" t="s">
        <v>1339</v>
      </c>
      <c r="Z7" t="s">
        <v>18</v>
      </c>
      <c r="AA7" s="99">
        <v>0.3</v>
      </c>
      <c r="AB7" s="99">
        <v>0.6</v>
      </c>
      <c r="AC7" s="99">
        <v>0.8</v>
      </c>
      <c r="AD7" t="s">
        <v>514</v>
      </c>
      <c r="AG7" t="s">
        <v>526</v>
      </c>
      <c r="AH7" t="s">
        <v>524</v>
      </c>
      <c r="AI7" s="77" t="s">
        <v>855</v>
      </c>
      <c r="AJ7" s="77"/>
      <c r="AM7" s="77" t="s">
        <v>769</v>
      </c>
      <c r="AN7" s="77"/>
      <c r="AP7" s="140" t="s">
        <v>815</v>
      </c>
    </row>
    <row r="8" spans="1:44" x14ac:dyDescent="0.3">
      <c r="A8" s="77" t="s">
        <v>369</v>
      </c>
      <c r="B8" s="77"/>
      <c r="E8" s="77" t="s">
        <v>299</v>
      </c>
      <c r="F8" s="77"/>
      <c r="G8" s="77" t="s">
        <v>206</v>
      </c>
      <c r="H8" s="77"/>
      <c r="I8" s="77" t="s">
        <v>304</v>
      </c>
      <c r="J8" s="77"/>
      <c r="K8" s="77" t="s">
        <v>422</v>
      </c>
      <c r="Q8" s="77" t="s">
        <v>425</v>
      </c>
      <c r="W8" t="s">
        <v>417</v>
      </c>
      <c r="X8" t="s">
        <v>1340</v>
      </c>
      <c r="Z8" t="s">
        <v>23</v>
      </c>
      <c r="AA8" s="99">
        <v>0.3</v>
      </c>
      <c r="AB8" s="99">
        <v>0.5</v>
      </c>
      <c r="AC8" s="99">
        <v>0.6</v>
      </c>
      <c r="AD8" t="s">
        <v>514</v>
      </c>
      <c r="AG8" t="s">
        <v>527</v>
      </c>
      <c r="AH8" t="s">
        <v>566</v>
      </c>
      <c r="AI8" s="77" t="s">
        <v>857</v>
      </c>
      <c r="AJ8" s="77"/>
      <c r="AN8" s="77"/>
      <c r="AP8" s="140" t="s">
        <v>816</v>
      </c>
    </row>
    <row r="9" spans="1:44" x14ac:dyDescent="0.3">
      <c r="A9" s="77" t="s">
        <v>370</v>
      </c>
      <c r="B9" s="77"/>
      <c r="E9" s="77" t="s">
        <v>142</v>
      </c>
      <c r="F9" s="77"/>
      <c r="G9" s="77" t="s">
        <v>164</v>
      </c>
      <c r="H9" s="77"/>
      <c r="I9" s="77" t="s">
        <v>360</v>
      </c>
      <c r="J9" s="77"/>
      <c r="K9" s="77" t="s">
        <v>588</v>
      </c>
      <c r="Q9" s="77" t="s">
        <v>589</v>
      </c>
      <c r="W9" t="s">
        <v>417</v>
      </c>
      <c r="X9" t="s">
        <v>1341</v>
      </c>
      <c r="Z9" t="s">
        <v>26</v>
      </c>
      <c r="AA9" s="99">
        <v>0.2</v>
      </c>
      <c r="AB9" s="99">
        <v>0.5</v>
      </c>
      <c r="AC9" s="99">
        <v>0.7</v>
      </c>
      <c r="AD9" t="s">
        <v>514</v>
      </c>
      <c r="AG9" t="s">
        <v>567</v>
      </c>
      <c r="AH9" t="s">
        <v>568</v>
      </c>
      <c r="AI9" s="77" t="s">
        <v>859</v>
      </c>
      <c r="AJ9" s="77"/>
      <c r="AN9" s="77"/>
      <c r="AP9" s="140" t="s">
        <v>817</v>
      </c>
    </row>
    <row r="10" spans="1:44" x14ac:dyDescent="0.3">
      <c r="A10" s="77" t="s">
        <v>389</v>
      </c>
      <c r="B10" s="77"/>
      <c r="E10" s="77" t="s">
        <v>156</v>
      </c>
      <c r="F10" s="77"/>
      <c r="G10" s="77" t="s">
        <v>125</v>
      </c>
      <c r="H10" s="77"/>
      <c r="I10" s="77" t="s">
        <v>359</v>
      </c>
      <c r="J10" s="77"/>
      <c r="Q10" s="77" t="s">
        <v>355</v>
      </c>
      <c r="W10" t="s">
        <v>367</v>
      </c>
      <c r="X10" t="s">
        <v>1333</v>
      </c>
      <c r="AG10" t="s">
        <v>569</v>
      </c>
      <c r="AH10" t="s">
        <v>568</v>
      </c>
      <c r="AI10" s="77" t="s">
        <v>861</v>
      </c>
      <c r="AJ10" s="77"/>
      <c r="AN10" s="77"/>
      <c r="AP10" s="140" t="s">
        <v>818</v>
      </c>
    </row>
    <row r="11" spans="1:44" x14ac:dyDescent="0.3">
      <c r="A11" s="77" t="s">
        <v>385</v>
      </c>
      <c r="B11" s="77"/>
      <c r="E11" s="77" t="s">
        <v>168</v>
      </c>
      <c r="F11" s="77"/>
      <c r="G11" s="77" t="s">
        <v>194</v>
      </c>
      <c r="H11" s="77"/>
      <c r="J11" s="77"/>
      <c r="Q11" s="77" t="s">
        <v>356</v>
      </c>
      <c r="W11" t="s">
        <v>367</v>
      </c>
      <c r="X11" t="s">
        <v>1342</v>
      </c>
      <c r="AG11" t="s">
        <v>570</v>
      </c>
      <c r="AH11" t="s">
        <v>591</v>
      </c>
      <c r="AI11" s="77" t="s">
        <v>863</v>
      </c>
      <c r="AJ11" s="77"/>
      <c r="AN11" s="77"/>
      <c r="AP11" s="140" t="s">
        <v>266</v>
      </c>
    </row>
    <row r="12" spans="1:44" x14ac:dyDescent="0.3">
      <c r="A12" s="77" t="s">
        <v>371</v>
      </c>
      <c r="B12" s="77"/>
      <c r="E12" s="77" t="s">
        <v>145</v>
      </c>
      <c r="F12" s="77"/>
      <c r="G12" s="77" t="s">
        <v>146</v>
      </c>
      <c r="H12" s="77"/>
      <c r="W12" t="s">
        <v>368</v>
      </c>
      <c r="X12" t="s">
        <v>1341</v>
      </c>
      <c r="AG12" t="s">
        <v>571</v>
      </c>
      <c r="AH12" t="s">
        <v>523</v>
      </c>
      <c r="AI12" s="77" t="s">
        <v>865</v>
      </c>
      <c r="AJ12" s="77"/>
      <c r="AN12" s="77"/>
      <c r="AP12" s="140" t="s">
        <v>819</v>
      </c>
    </row>
    <row r="13" spans="1:44" x14ac:dyDescent="0.3">
      <c r="A13" s="77" t="s">
        <v>372</v>
      </c>
      <c r="B13" s="77"/>
      <c r="E13" s="77" t="s">
        <v>120</v>
      </c>
      <c r="F13" s="77"/>
      <c r="G13" s="77" t="s">
        <v>203</v>
      </c>
      <c r="H13" s="77"/>
      <c r="W13" t="s">
        <v>368</v>
      </c>
      <c r="X13" t="s">
        <v>1343</v>
      </c>
      <c r="AG13" t="s">
        <v>572</v>
      </c>
      <c r="AH13" t="s">
        <v>573</v>
      </c>
      <c r="AI13" s="77" t="s">
        <v>867</v>
      </c>
      <c r="AJ13" s="77"/>
      <c r="AN13" s="77"/>
      <c r="AP13" s="140" t="s">
        <v>820</v>
      </c>
    </row>
    <row r="14" spans="1:44" x14ac:dyDescent="0.3">
      <c r="A14" s="77" t="s">
        <v>374</v>
      </c>
      <c r="B14" s="77"/>
      <c r="E14" s="77" t="s">
        <v>94</v>
      </c>
      <c r="F14" s="77"/>
      <c r="G14" s="77" t="s">
        <v>217</v>
      </c>
      <c r="H14" s="77"/>
      <c r="W14" t="s">
        <v>369</v>
      </c>
      <c r="X14" t="s">
        <v>1333</v>
      </c>
      <c r="AG14" t="s">
        <v>574</v>
      </c>
      <c r="AH14" t="s">
        <v>575</v>
      </c>
      <c r="AI14" s="77" t="s">
        <v>869</v>
      </c>
      <c r="AJ14" s="77"/>
      <c r="AN14" s="77"/>
      <c r="AP14" s="140" t="s">
        <v>821</v>
      </c>
    </row>
    <row r="15" spans="1:44" x14ac:dyDescent="0.3">
      <c r="A15" s="77" t="s">
        <v>377</v>
      </c>
      <c r="B15" s="77"/>
      <c r="E15" s="77" t="s">
        <v>191</v>
      </c>
      <c r="F15" s="77"/>
      <c r="G15" s="77" t="s">
        <v>91</v>
      </c>
      <c r="H15" s="77"/>
      <c r="W15" t="s">
        <v>369</v>
      </c>
      <c r="X15" t="s">
        <v>1341</v>
      </c>
      <c r="AI15" s="77" t="s">
        <v>871</v>
      </c>
      <c r="AJ15" s="77"/>
      <c r="AN15" s="77"/>
      <c r="AP15" s="140" t="s">
        <v>190</v>
      </c>
    </row>
    <row r="16" spans="1:44" x14ac:dyDescent="0.3">
      <c r="A16" s="77" t="s">
        <v>390</v>
      </c>
      <c r="B16" s="77"/>
      <c r="E16" s="77" t="s">
        <v>307</v>
      </c>
      <c r="F16" s="77"/>
      <c r="G16" s="77" t="s">
        <v>143</v>
      </c>
      <c r="H16" s="77"/>
      <c r="W16" t="s">
        <v>369</v>
      </c>
      <c r="X16" t="s">
        <v>1342</v>
      </c>
      <c r="AI16" s="77" t="s">
        <v>873</v>
      </c>
      <c r="AJ16" s="77"/>
      <c r="AN16" s="77"/>
      <c r="AP16" s="140" t="s">
        <v>822</v>
      </c>
    </row>
    <row r="17" spans="1:42" x14ac:dyDescent="0.3">
      <c r="A17" s="77" t="s">
        <v>378</v>
      </c>
      <c r="B17" s="77"/>
      <c r="E17" s="77" t="s">
        <v>844</v>
      </c>
      <c r="G17" s="77" t="s">
        <v>183</v>
      </c>
      <c r="H17" s="77"/>
      <c r="W17" t="s">
        <v>370</v>
      </c>
      <c r="X17" t="s">
        <v>1341</v>
      </c>
      <c r="AI17" s="77" t="s">
        <v>875</v>
      </c>
      <c r="AJ17" s="77"/>
      <c r="AN17" s="77"/>
      <c r="AP17" s="140" t="s">
        <v>302</v>
      </c>
    </row>
    <row r="18" spans="1:42" x14ac:dyDescent="0.3">
      <c r="A18" s="77" t="s">
        <v>379</v>
      </c>
      <c r="B18" s="77"/>
      <c r="G18" s="77" t="s">
        <v>213</v>
      </c>
      <c r="H18" s="77"/>
      <c r="W18" t="s">
        <v>389</v>
      </c>
      <c r="X18" t="s">
        <v>1336</v>
      </c>
      <c r="AI18" s="77" t="s">
        <v>877</v>
      </c>
      <c r="AJ18" s="77"/>
      <c r="AN18" s="77"/>
      <c r="AP18" s="140" t="s">
        <v>823</v>
      </c>
    </row>
    <row r="19" spans="1:42" x14ac:dyDescent="0.3">
      <c r="A19" s="77" t="s">
        <v>380</v>
      </c>
      <c r="B19" s="77"/>
      <c r="G19" s="77" t="s">
        <v>236</v>
      </c>
      <c r="H19" s="77"/>
      <c r="W19" t="s">
        <v>389</v>
      </c>
      <c r="X19" t="s">
        <v>1345</v>
      </c>
      <c r="AI19" s="77" t="s">
        <v>879</v>
      </c>
      <c r="AJ19" s="77"/>
      <c r="AN19" s="77"/>
      <c r="AP19" s="140" t="s">
        <v>824</v>
      </c>
    </row>
    <row r="20" spans="1:42" x14ac:dyDescent="0.3">
      <c r="A20" s="77" t="s">
        <v>391</v>
      </c>
      <c r="B20" s="77"/>
      <c r="G20" s="77" t="s">
        <v>153</v>
      </c>
      <c r="H20" s="77"/>
      <c r="W20" t="s">
        <v>385</v>
      </c>
      <c r="X20" t="s">
        <v>1334</v>
      </c>
      <c r="AI20" s="77" t="s">
        <v>881</v>
      </c>
      <c r="AJ20" s="77"/>
      <c r="AN20" s="77"/>
      <c r="AP20" s="140" t="s">
        <v>825</v>
      </c>
    </row>
    <row r="21" spans="1:42" x14ac:dyDescent="0.3">
      <c r="A21" s="77" t="s">
        <v>384</v>
      </c>
      <c r="B21" s="77"/>
      <c r="G21" s="77" t="s">
        <v>187</v>
      </c>
      <c r="H21" s="77"/>
      <c r="W21" t="s">
        <v>371</v>
      </c>
      <c r="X21" t="s">
        <v>1342</v>
      </c>
      <c r="AI21" s="77" t="s">
        <v>883</v>
      </c>
      <c r="AJ21" s="77"/>
      <c r="AN21" s="77"/>
      <c r="AP21" s="140" t="s">
        <v>826</v>
      </c>
    </row>
    <row r="22" spans="1:42" x14ac:dyDescent="0.3">
      <c r="A22" s="77" t="s">
        <v>383</v>
      </c>
      <c r="B22" s="77"/>
      <c r="G22" s="77" t="s">
        <v>246</v>
      </c>
      <c r="H22" s="77"/>
      <c r="W22" t="s">
        <v>372</v>
      </c>
      <c r="X22" t="s">
        <v>1333</v>
      </c>
      <c r="AI22" s="77" t="s">
        <v>885</v>
      </c>
      <c r="AJ22" s="77"/>
      <c r="AN22" s="77"/>
      <c r="AP22" s="140" t="s">
        <v>306</v>
      </c>
    </row>
    <row r="23" spans="1:42" x14ac:dyDescent="0.3">
      <c r="A23" s="77" t="s">
        <v>392</v>
      </c>
      <c r="B23" s="77"/>
      <c r="G23" s="77" t="s">
        <v>255</v>
      </c>
      <c r="H23" s="77"/>
      <c r="W23" t="s">
        <v>372</v>
      </c>
      <c r="X23" t="s">
        <v>1334</v>
      </c>
      <c r="AI23" s="77" t="s">
        <v>887</v>
      </c>
      <c r="AJ23" s="77"/>
      <c r="AN23" s="77"/>
      <c r="AP23" s="140" t="s">
        <v>827</v>
      </c>
    </row>
    <row r="24" spans="1:42" x14ac:dyDescent="0.3">
      <c r="A24" s="77" t="s">
        <v>381</v>
      </c>
      <c r="B24" s="77"/>
      <c r="G24" s="77" t="s">
        <v>133</v>
      </c>
      <c r="H24" s="77"/>
      <c r="W24" t="s">
        <v>372</v>
      </c>
      <c r="X24" t="s">
        <v>1341</v>
      </c>
      <c r="AI24" s="77" t="s">
        <v>889</v>
      </c>
      <c r="AJ24" s="77"/>
      <c r="AN24" s="77"/>
    </row>
    <row r="25" spans="1:42" x14ac:dyDescent="0.3">
      <c r="A25" s="77" t="s">
        <v>386</v>
      </c>
      <c r="B25" s="77"/>
      <c r="G25" s="77" t="s">
        <v>312</v>
      </c>
      <c r="H25" s="77"/>
      <c r="W25" t="s">
        <v>372</v>
      </c>
      <c r="X25" t="s">
        <v>1342</v>
      </c>
      <c r="AI25" s="77" t="s">
        <v>891</v>
      </c>
      <c r="AJ25" s="77"/>
      <c r="AN25" s="77"/>
    </row>
    <row r="26" spans="1:42" x14ac:dyDescent="0.3">
      <c r="G26" s="77" t="s">
        <v>196</v>
      </c>
      <c r="H26" s="77"/>
      <c r="W26" t="s">
        <v>372</v>
      </c>
      <c r="X26" t="s">
        <v>1346</v>
      </c>
      <c r="AI26" s="77" t="s">
        <v>893</v>
      </c>
      <c r="AJ26" s="77"/>
      <c r="AN26" s="77"/>
    </row>
    <row r="27" spans="1:42" x14ac:dyDescent="0.3">
      <c r="G27" s="77" t="s">
        <v>96</v>
      </c>
      <c r="H27" s="77"/>
      <c r="W27" t="s">
        <v>374</v>
      </c>
      <c r="X27" t="s">
        <v>1333</v>
      </c>
      <c r="AI27" s="77" t="s">
        <v>895</v>
      </c>
      <c r="AJ27" s="77"/>
      <c r="AN27" s="77"/>
    </row>
    <row r="28" spans="1:42" x14ac:dyDescent="0.3">
      <c r="G28" s="77" t="s">
        <v>209</v>
      </c>
      <c r="H28" s="77"/>
      <c r="W28" t="s">
        <v>374</v>
      </c>
      <c r="X28" t="s">
        <v>1334</v>
      </c>
      <c r="AI28" s="77" t="s">
        <v>897</v>
      </c>
      <c r="AJ28" s="77"/>
      <c r="AN28" s="77"/>
    </row>
    <row r="29" spans="1:42" x14ac:dyDescent="0.3">
      <c r="G29" s="77" t="s">
        <v>178</v>
      </c>
      <c r="H29" s="77"/>
      <c r="W29" t="s">
        <v>374</v>
      </c>
      <c r="X29" t="s">
        <v>1339</v>
      </c>
      <c r="AI29" s="77" t="s">
        <v>899</v>
      </c>
      <c r="AJ29" s="77"/>
      <c r="AN29" s="77"/>
    </row>
    <row r="30" spans="1:42" x14ac:dyDescent="0.3">
      <c r="G30" s="77" t="s">
        <v>115</v>
      </c>
      <c r="H30" s="77"/>
      <c r="W30" t="s">
        <v>374</v>
      </c>
      <c r="X30" t="s">
        <v>1341</v>
      </c>
      <c r="AI30" s="77" t="s">
        <v>901</v>
      </c>
      <c r="AJ30" s="77"/>
      <c r="AN30" s="77"/>
    </row>
    <row r="31" spans="1:42" x14ac:dyDescent="0.3">
      <c r="G31" s="77" t="s">
        <v>264</v>
      </c>
      <c r="H31" s="77"/>
      <c r="W31" t="s">
        <v>374</v>
      </c>
      <c r="X31" t="s">
        <v>1342</v>
      </c>
      <c r="AI31" s="77" t="s">
        <v>903</v>
      </c>
      <c r="AJ31" s="77"/>
      <c r="AN31" s="77"/>
    </row>
    <row r="32" spans="1:42" x14ac:dyDescent="0.3">
      <c r="G32" s="77" t="s">
        <v>228</v>
      </c>
      <c r="H32" s="77"/>
      <c r="W32" t="s">
        <v>374</v>
      </c>
      <c r="X32" t="s">
        <v>1343</v>
      </c>
      <c r="AI32" s="77" t="s">
        <v>905</v>
      </c>
      <c r="AJ32" s="77"/>
      <c r="AN32" s="77"/>
    </row>
    <row r="33" spans="7:40" x14ac:dyDescent="0.3">
      <c r="G33" s="77" t="s">
        <v>233</v>
      </c>
      <c r="H33" s="77"/>
      <c r="W33" t="s">
        <v>374</v>
      </c>
      <c r="X33" t="s">
        <v>1346</v>
      </c>
      <c r="AI33" s="77" t="s">
        <v>907</v>
      </c>
      <c r="AJ33" s="77"/>
      <c r="AN33" s="77"/>
    </row>
    <row r="34" spans="7:40" x14ac:dyDescent="0.3">
      <c r="G34" s="77" t="s">
        <v>224</v>
      </c>
      <c r="H34" s="77"/>
      <c r="W34" t="s">
        <v>374</v>
      </c>
      <c r="X34" t="s">
        <v>1347</v>
      </c>
      <c r="AI34" s="77" t="s">
        <v>909</v>
      </c>
      <c r="AJ34" s="77"/>
      <c r="AN34" s="77"/>
    </row>
    <row r="35" spans="7:40" x14ac:dyDescent="0.3">
      <c r="G35" s="77" t="s">
        <v>271</v>
      </c>
      <c r="H35" s="77"/>
      <c r="W35" t="s">
        <v>374</v>
      </c>
      <c r="X35" t="s">
        <v>1349</v>
      </c>
      <c r="AI35" s="77" t="s">
        <v>911</v>
      </c>
      <c r="AJ35" s="77"/>
      <c r="AN35" s="77"/>
    </row>
    <row r="36" spans="7:40" x14ac:dyDescent="0.3">
      <c r="G36" s="77" t="s">
        <v>311</v>
      </c>
      <c r="H36" s="77"/>
      <c r="W36" t="s">
        <v>377</v>
      </c>
      <c r="X36" t="s">
        <v>1333</v>
      </c>
      <c r="AI36" s="77" t="s">
        <v>913</v>
      </c>
      <c r="AJ36" s="77"/>
      <c r="AN36" s="77"/>
    </row>
    <row r="37" spans="7:40" x14ac:dyDescent="0.3">
      <c r="G37" s="77" t="s">
        <v>111</v>
      </c>
      <c r="H37" s="77"/>
      <c r="W37" t="s">
        <v>377</v>
      </c>
      <c r="X37" t="s">
        <v>1334</v>
      </c>
      <c r="AI37" s="77" t="s">
        <v>915</v>
      </c>
      <c r="AJ37" s="77"/>
      <c r="AN37" s="77"/>
    </row>
    <row r="38" spans="7:40" x14ac:dyDescent="0.3">
      <c r="G38" s="77" t="s">
        <v>314</v>
      </c>
      <c r="H38" s="77"/>
      <c r="W38" t="s">
        <v>377</v>
      </c>
      <c r="X38" t="s">
        <v>1350</v>
      </c>
      <c r="AI38" s="77" t="s">
        <v>917</v>
      </c>
      <c r="AJ38" s="77"/>
      <c r="AN38" s="77"/>
    </row>
    <row r="39" spans="7:40" x14ac:dyDescent="0.3">
      <c r="G39" s="77" t="s">
        <v>313</v>
      </c>
      <c r="H39" s="77"/>
      <c r="W39" t="s">
        <v>377</v>
      </c>
      <c r="X39" t="s">
        <v>1351</v>
      </c>
      <c r="AI39" s="77" t="s">
        <v>919</v>
      </c>
      <c r="AJ39" s="77"/>
      <c r="AN39" s="77"/>
    </row>
    <row r="40" spans="7:40" x14ac:dyDescent="0.3">
      <c r="H40" s="77"/>
      <c r="W40" t="s">
        <v>377</v>
      </c>
      <c r="X40" t="s">
        <v>1352</v>
      </c>
      <c r="AI40" s="77" t="s">
        <v>921</v>
      </c>
      <c r="AJ40" s="77"/>
      <c r="AN40" s="77"/>
    </row>
    <row r="41" spans="7:40" x14ac:dyDescent="0.3">
      <c r="W41" t="s">
        <v>377</v>
      </c>
      <c r="X41" t="s">
        <v>1353</v>
      </c>
      <c r="AI41" s="77" t="s">
        <v>923</v>
      </c>
      <c r="AJ41" s="77"/>
      <c r="AN41" s="77"/>
    </row>
    <row r="42" spans="7:40" x14ac:dyDescent="0.3">
      <c r="W42" t="s">
        <v>377</v>
      </c>
      <c r="X42" t="s">
        <v>1354</v>
      </c>
      <c r="AI42" s="77" t="s">
        <v>925</v>
      </c>
      <c r="AJ42" s="77"/>
      <c r="AN42" s="77"/>
    </row>
    <row r="43" spans="7:40" x14ac:dyDescent="0.3">
      <c r="W43" t="s">
        <v>390</v>
      </c>
      <c r="X43" t="s">
        <v>1333</v>
      </c>
      <c r="AI43" s="77" t="s">
        <v>927</v>
      </c>
      <c r="AJ43" s="77"/>
      <c r="AN43" s="77"/>
    </row>
    <row r="44" spans="7:40" x14ac:dyDescent="0.3">
      <c r="W44" t="s">
        <v>390</v>
      </c>
      <c r="X44" t="s">
        <v>1341</v>
      </c>
      <c r="AI44" s="77" t="s">
        <v>929</v>
      </c>
      <c r="AJ44" s="77"/>
      <c r="AN44" s="77"/>
    </row>
    <row r="45" spans="7:40" x14ac:dyDescent="0.3">
      <c r="W45" t="s">
        <v>390</v>
      </c>
      <c r="X45" t="s">
        <v>1346</v>
      </c>
      <c r="AI45" s="77" t="s">
        <v>931</v>
      </c>
      <c r="AJ45" s="77"/>
      <c r="AN45" s="77"/>
    </row>
    <row r="46" spans="7:40" x14ac:dyDescent="0.3">
      <c r="W46" t="s">
        <v>378</v>
      </c>
      <c r="X46" t="s">
        <v>1346</v>
      </c>
      <c r="AI46" s="77" t="s">
        <v>933</v>
      </c>
      <c r="AJ46" s="77"/>
      <c r="AN46" s="77"/>
    </row>
    <row r="47" spans="7:40" x14ac:dyDescent="0.3">
      <c r="W47" t="s">
        <v>379</v>
      </c>
      <c r="X47" t="s">
        <v>1346</v>
      </c>
      <c r="AI47" s="77" t="s">
        <v>935</v>
      </c>
      <c r="AJ47" s="77"/>
      <c r="AN47" s="77"/>
    </row>
    <row r="48" spans="7:40" x14ac:dyDescent="0.3">
      <c r="W48" t="s">
        <v>379</v>
      </c>
      <c r="X48" t="s">
        <v>1356</v>
      </c>
      <c r="AI48" s="77" t="s">
        <v>937</v>
      </c>
      <c r="AJ48" s="77"/>
      <c r="AN48" s="77"/>
    </row>
    <row r="49" spans="23:40" x14ac:dyDescent="0.3">
      <c r="W49" t="s">
        <v>379</v>
      </c>
      <c r="X49" t="s">
        <v>1357</v>
      </c>
      <c r="AI49" s="77" t="s">
        <v>939</v>
      </c>
      <c r="AJ49" s="77"/>
      <c r="AN49" s="77"/>
    </row>
    <row r="50" spans="23:40" x14ac:dyDescent="0.3">
      <c r="W50" t="s">
        <v>379</v>
      </c>
      <c r="X50" t="s">
        <v>1358</v>
      </c>
      <c r="AI50" s="77" t="s">
        <v>941</v>
      </c>
      <c r="AJ50" s="77"/>
      <c r="AN50" s="77"/>
    </row>
    <row r="51" spans="23:40" x14ac:dyDescent="0.3">
      <c r="W51" t="s">
        <v>379</v>
      </c>
      <c r="X51" t="s">
        <v>1359</v>
      </c>
      <c r="AI51" s="77" t="s">
        <v>943</v>
      </c>
      <c r="AJ51" s="77"/>
      <c r="AN51" s="77"/>
    </row>
    <row r="52" spans="23:40" x14ac:dyDescent="0.3">
      <c r="W52" t="s">
        <v>379</v>
      </c>
      <c r="X52" t="s">
        <v>1360</v>
      </c>
      <c r="AI52" s="77" t="s">
        <v>945</v>
      </c>
      <c r="AJ52" s="77"/>
      <c r="AN52" s="77"/>
    </row>
    <row r="53" spans="23:40" x14ac:dyDescent="0.3">
      <c r="W53" t="s">
        <v>380</v>
      </c>
      <c r="X53" t="s">
        <v>1346</v>
      </c>
      <c r="AI53" s="77" t="s">
        <v>947</v>
      </c>
      <c r="AJ53" s="77"/>
      <c r="AN53" s="77"/>
    </row>
    <row r="54" spans="23:40" x14ac:dyDescent="0.3">
      <c r="W54" t="s">
        <v>391</v>
      </c>
      <c r="X54" t="s">
        <v>1333</v>
      </c>
      <c r="AI54" s="77" t="s">
        <v>949</v>
      </c>
      <c r="AJ54" s="77"/>
      <c r="AN54" s="77"/>
    </row>
    <row r="55" spans="23:40" x14ac:dyDescent="0.3">
      <c r="W55" t="s">
        <v>391</v>
      </c>
      <c r="X55" t="s">
        <v>1334</v>
      </c>
      <c r="AI55" s="77" t="s">
        <v>951</v>
      </c>
      <c r="AJ55" s="77"/>
      <c r="AN55" s="77"/>
    </row>
    <row r="56" spans="23:40" x14ac:dyDescent="0.3">
      <c r="W56" t="s">
        <v>391</v>
      </c>
      <c r="X56" t="s">
        <v>1335</v>
      </c>
      <c r="AI56" s="77" t="s">
        <v>953</v>
      </c>
      <c r="AJ56" s="77"/>
      <c r="AN56" s="77"/>
    </row>
    <row r="57" spans="23:40" x14ac:dyDescent="0.3">
      <c r="W57" t="s">
        <v>391</v>
      </c>
      <c r="X57" t="s">
        <v>1336</v>
      </c>
      <c r="AI57" s="77" t="s">
        <v>955</v>
      </c>
      <c r="AJ57" s="77"/>
      <c r="AN57" s="77"/>
    </row>
    <row r="58" spans="23:40" x14ac:dyDescent="0.3">
      <c r="W58" t="s">
        <v>391</v>
      </c>
      <c r="X58" t="s">
        <v>1339</v>
      </c>
      <c r="AI58" s="77" t="s">
        <v>957</v>
      </c>
      <c r="AJ58" s="77"/>
      <c r="AN58" s="77"/>
    </row>
    <row r="59" spans="23:40" x14ac:dyDescent="0.3">
      <c r="W59" t="s">
        <v>391</v>
      </c>
      <c r="X59" t="s">
        <v>1340</v>
      </c>
      <c r="AI59" s="77" t="s">
        <v>959</v>
      </c>
      <c r="AJ59" s="77"/>
      <c r="AN59" s="77"/>
    </row>
    <row r="60" spans="23:40" x14ac:dyDescent="0.3">
      <c r="W60" t="s">
        <v>391</v>
      </c>
      <c r="X60" t="s">
        <v>1341</v>
      </c>
      <c r="AI60" s="77" t="s">
        <v>961</v>
      </c>
      <c r="AJ60" s="77"/>
      <c r="AN60" s="77"/>
    </row>
    <row r="61" spans="23:40" x14ac:dyDescent="0.3">
      <c r="W61" t="s">
        <v>391</v>
      </c>
      <c r="X61" t="s">
        <v>1342</v>
      </c>
      <c r="AI61" s="77" t="s">
        <v>963</v>
      </c>
      <c r="AJ61" s="77"/>
      <c r="AN61" s="77"/>
    </row>
    <row r="62" spans="23:40" x14ac:dyDescent="0.3">
      <c r="W62" t="s">
        <v>391</v>
      </c>
      <c r="X62" t="s">
        <v>1343</v>
      </c>
      <c r="AI62" s="77" t="s">
        <v>965</v>
      </c>
      <c r="AJ62" s="77"/>
      <c r="AN62" s="77"/>
    </row>
    <row r="63" spans="23:40" x14ac:dyDescent="0.3">
      <c r="W63" t="s">
        <v>391</v>
      </c>
      <c r="X63" t="s">
        <v>1345</v>
      </c>
      <c r="AI63" s="77" t="s">
        <v>967</v>
      </c>
      <c r="AJ63" s="77"/>
      <c r="AN63" s="77"/>
    </row>
    <row r="64" spans="23:40" x14ac:dyDescent="0.3">
      <c r="W64" t="s">
        <v>391</v>
      </c>
      <c r="X64" t="s">
        <v>1346</v>
      </c>
      <c r="AI64" s="77" t="s">
        <v>969</v>
      </c>
      <c r="AJ64" s="77"/>
      <c r="AN64" s="77"/>
    </row>
    <row r="65" spans="23:40" x14ac:dyDescent="0.3">
      <c r="W65" t="s">
        <v>391</v>
      </c>
      <c r="X65" t="s">
        <v>1347</v>
      </c>
      <c r="AI65" s="77" t="s">
        <v>971</v>
      </c>
      <c r="AJ65" s="77"/>
      <c r="AN65" s="77"/>
    </row>
    <row r="66" spans="23:40" x14ac:dyDescent="0.3">
      <c r="W66" t="s">
        <v>391</v>
      </c>
      <c r="X66" t="s">
        <v>1349</v>
      </c>
      <c r="AI66" s="77" t="s">
        <v>973</v>
      </c>
      <c r="AJ66" s="77"/>
      <c r="AN66" s="77"/>
    </row>
    <row r="67" spans="23:40" x14ac:dyDescent="0.3">
      <c r="W67" t="s">
        <v>391</v>
      </c>
      <c r="X67" t="s">
        <v>1361</v>
      </c>
      <c r="AI67" s="77" t="s">
        <v>975</v>
      </c>
      <c r="AJ67" s="77"/>
      <c r="AN67" s="77"/>
    </row>
    <row r="68" spans="23:40" x14ac:dyDescent="0.3">
      <c r="W68" t="s">
        <v>391</v>
      </c>
      <c r="X68" t="s">
        <v>1362</v>
      </c>
      <c r="AI68" s="77" t="s">
        <v>977</v>
      </c>
      <c r="AJ68" s="77"/>
      <c r="AN68" s="77"/>
    </row>
    <row r="69" spans="23:40" x14ac:dyDescent="0.3">
      <c r="W69" t="s">
        <v>391</v>
      </c>
      <c r="X69" t="s">
        <v>1363</v>
      </c>
      <c r="AI69" s="77" t="s">
        <v>979</v>
      </c>
      <c r="AJ69" s="77"/>
      <c r="AN69" s="77"/>
    </row>
    <row r="70" spans="23:40" x14ac:dyDescent="0.3">
      <c r="W70" t="s">
        <v>391</v>
      </c>
      <c r="X70" t="s">
        <v>1364</v>
      </c>
      <c r="AI70" s="77" t="s">
        <v>981</v>
      </c>
      <c r="AJ70" s="77"/>
      <c r="AN70" s="77"/>
    </row>
    <row r="71" spans="23:40" x14ac:dyDescent="0.3">
      <c r="W71" t="s">
        <v>391</v>
      </c>
      <c r="X71" t="s">
        <v>1365</v>
      </c>
      <c r="AI71" s="77" t="s">
        <v>983</v>
      </c>
      <c r="AJ71" s="77"/>
      <c r="AN71" s="77"/>
    </row>
    <row r="72" spans="23:40" x14ac:dyDescent="0.3">
      <c r="W72" t="s">
        <v>391</v>
      </c>
      <c r="X72" t="s">
        <v>1366</v>
      </c>
      <c r="AI72" s="77" t="s">
        <v>985</v>
      </c>
      <c r="AJ72" s="77"/>
      <c r="AN72" s="77"/>
    </row>
    <row r="73" spans="23:40" x14ac:dyDescent="0.3">
      <c r="W73" t="s">
        <v>391</v>
      </c>
      <c r="X73" t="s">
        <v>1367</v>
      </c>
      <c r="AI73" s="77" t="s">
        <v>987</v>
      </c>
      <c r="AJ73" s="77"/>
      <c r="AN73" s="77"/>
    </row>
    <row r="74" spans="23:40" x14ac:dyDescent="0.3">
      <c r="W74" t="s">
        <v>391</v>
      </c>
      <c r="X74" t="s">
        <v>1368</v>
      </c>
      <c r="AI74" s="77" t="s">
        <v>989</v>
      </c>
      <c r="AJ74" s="77"/>
      <c r="AN74" s="77"/>
    </row>
    <row r="75" spans="23:40" x14ac:dyDescent="0.3">
      <c r="W75" t="s">
        <v>391</v>
      </c>
      <c r="X75" t="s">
        <v>1369</v>
      </c>
      <c r="AI75" s="77" t="s">
        <v>991</v>
      </c>
      <c r="AJ75" s="77"/>
      <c r="AN75" s="77"/>
    </row>
    <row r="76" spans="23:40" x14ac:dyDescent="0.3">
      <c r="W76" t="s">
        <v>391</v>
      </c>
      <c r="X76" t="s">
        <v>1370</v>
      </c>
      <c r="AI76" s="77" t="s">
        <v>993</v>
      </c>
      <c r="AJ76" s="77"/>
      <c r="AN76" s="77"/>
    </row>
    <row r="77" spans="23:40" x14ac:dyDescent="0.3">
      <c r="W77" t="s">
        <v>391</v>
      </c>
      <c r="X77" t="s">
        <v>1371</v>
      </c>
      <c r="AI77" s="77" t="s">
        <v>995</v>
      </c>
      <c r="AJ77" s="77"/>
      <c r="AN77" s="77"/>
    </row>
    <row r="78" spans="23:40" x14ac:dyDescent="0.3">
      <c r="W78" t="s">
        <v>391</v>
      </c>
      <c r="X78" t="s">
        <v>1372</v>
      </c>
      <c r="AI78" s="77" t="s">
        <v>997</v>
      </c>
      <c r="AJ78" s="77"/>
      <c r="AN78" s="77"/>
    </row>
    <row r="79" spans="23:40" x14ac:dyDescent="0.3">
      <c r="W79" t="s">
        <v>391</v>
      </c>
      <c r="X79" t="s">
        <v>1373</v>
      </c>
      <c r="AI79" s="77" t="s">
        <v>999</v>
      </c>
      <c r="AJ79" s="77"/>
      <c r="AN79" s="77"/>
    </row>
    <row r="80" spans="23:40" x14ac:dyDescent="0.3">
      <c r="W80" t="s">
        <v>391</v>
      </c>
      <c r="X80" t="s">
        <v>1374</v>
      </c>
      <c r="AI80" s="77" t="s">
        <v>1001</v>
      </c>
      <c r="AJ80" s="77"/>
      <c r="AN80" s="77"/>
    </row>
    <row r="81" spans="23:40" x14ac:dyDescent="0.3">
      <c r="W81" t="s">
        <v>391</v>
      </c>
      <c r="X81" t="s">
        <v>1375</v>
      </c>
      <c r="AI81" s="77" t="s">
        <v>1003</v>
      </c>
      <c r="AJ81" s="77"/>
      <c r="AN81" s="77"/>
    </row>
    <row r="82" spans="23:40" x14ac:dyDescent="0.3">
      <c r="W82" t="s">
        <v>391</v>
      </c>
      <c r="X82" t="s">
        <v>1376</v>
      </c>
      <c r="AI82" s="77" t="s">
        <v>1005</v>
      </c>
      <c r="AJ82" s="77"/>
      <c r="AN82" s="77"/>
    </row>
    <row r="83" spans="23:40" x14ac:dyDescent="0.3">
      <c r="W83" t="s">
        <v>391</v>
      </c>
      <c r="X83" t="s">
        <v>1377</v>
      </c>
      <c r="AI83" s="77" t="s">
        <v>1007</v>
      </c>
      <c r="AJ83" s="77"/>
      <c r="AN83" s="77"/>
    </row>
    <row r="84" spans="23:40" x14ac:dyDescent="0.3">
      <c r="W84" t="s">
        <v>391</v>
      </c>
      <c r="X84" t="s">
        <v>1378</v>
      </c>
      <c r="AI84" s="77" t="s">
        <v>1009</v>
      </c>
      <c r="AJ84" s="77"/>
      <c r="AN84" s="77"/>
    </row>
    <row r="85" spans="23:40" x14ac:dyDescent="0.3">
      <c r="W85" t="s">
        <v>391</v>
      </c>
      <c r="X85" t="s">
        <v>1379</v>
      </c>
      <c r="AI85" s="77" t="s">
        <v>1011</v>
      </c>
      <c r="AJ85" s="77"/>
      <c r="AN85" s="77"/>
    </row>
    <row r="86" spans="23:40" x14ac:dyDescent="0.3">
      <c r="W86" t="s">
        <v>384</v>
      </c>
      <c r="X86" t="s">
        <v>1341</v>
      </c>
      <c r="AI86" s="77" t="s">
        <v>1013</v>
      </c>
      <c r="AJ86" s="77"/>
      <c r="AN86" s="77"/>
    </row>
    <row r="87" spans="23:40" x14ac:dyDescent="0.3">
      <c r="W87" t="s">
        <v>384</v>
      </c>
      <c r="X87" t="s">
        <v>1380</v>
      </c>
      <c r="AI87" s="77" t="s">
        <v>1015</v>
      </c>
      <c r="AJ87" s="77"/>
      <c r="AN87" s="77"/>
    </row>
    <row r="88" spans="23:40" x14ac:dyDescent="0.3">
      <c r="W88" t="s">
        <v>384</v>
      </c>
      <c r="X88" t="s">
        <v>1381</v>
      </c>
      <c r="AI88" s="77" t="s">
        <v>1017</v>
      </c>
      <c r="AJ88" s="77"/>
      <c r="AN88" s="77"/>
    </row>
    <row r="89" spans="23:40" x14ac:dyDescent="0.3">
      <c r="W89" t="s">
        <v>383</v>
      </c>
      <c r="X89" t="s">
        <v>1333</v>
      </c>
      <c r="AI89" s="77" t="s">
        <v>1019</v>
      </c>
      <c r="AJ89" s="77"/>
      <c r="AN89" s="77"/>
    </row>
    <row r="90" spans="23:40" x14ac:dyDescent="0.3">
      <c r="W90" t="s">
        <v>383</v>
      </c>
      <c r="X90" t="s">
        <v>1336</v>
      </c>
      <c r="AI90" s="77" t="s">
        <v>1021</v>
      </c>
      <c r="AJ90" s="77"/>
      <c r="AN90" s="77"/>
    </row>
    <row r="91" spans="23:40" x14ac:dyDescent="0.3">
      <c r="W91" t="s">
        <v>383</v>
      </c>
      <c r="X91" t="s">
        <v>1339</v>
      </c>
      <c r="AI91" s="77" t="s">
        <v>1023</v>
      </c>
      <c r="AJ91" s="77"/>
      <c r="AN91" s="77"/>
    </row>
    <row r="92" spans="23:40" x14ac:dyDescent="0.3">
      <c r="W92" t="s">
        <v>383</v>
      </c>
      <c r="X92" t="s">
        <v>1341</v>
      </c>
      <c r="AI92" s="77" t="s">
        <v>1025</v>
      </c>
      <c r="AJ92" s="77"/>
      <c r="AN92" s="77"/>
    </row>
    <row r="93" spans="23:40" x14ac:dyDescent="0.3">
      <c r="W93" t="s">
        <v>383</v>
      </c>
      <c r="X93" t="s">
        <v>1343</v>
      </c>
      <c r="AI93" s="77" t="s">
        <v>1027</v>
      </c>
      <c r="AJ93" s="77"/>
      <c r="AN93" s="77"/>
    </row>
    <row r="94" spans="23:40" x14ac:dyDescent="0.3">
      <c r="W94" t="s">
        <v>383</v>
      </c>
      <c r="X94" t="s">
        <v>1345</v>
      </c>
      <c r="AI94" s="77" t="s">
        <v>1029</v>
      </c>
      <c r="AJ94" s="77"/>
      <c r="AN94" s="77"/>
    </row>
    <row r="95" spans="23:40" x14ac:dyDescent="0.3">
      <c r="W95" t="s">
        <v>383</v>
      </c>
      <c r="X95" t="s">
        <v>1347</v>
      </c>
      <c r="AI95" s="77" t="s">
        <v>1031</v>
      </c>
      <c r="AJ95" s="77"/>
      <c r="AN95" s="77"/>
    </row>
    <row r="96" spans="23:40" x14ac:dyDescent="0.3">
      <c r="W96" t="s">
        <v>383</v>
      </c>
      <c r="X96" t="s">
        <v>1349</v>
      </c>
      <c r="AI96" s="77" t="s">
        <v>1033</v>
      </c>
      <c r="AJ96" s="77"/>
      <c r="AN96" s="77"/>
    </row>
    <row r="97" spans="23:40" x14ac:dyDescent="0.3">
      <c r="W97" t="s">
        <v>383</v>
      </c>
      <c r="X97" t="s">
        <v>1383</v>
      </c>
      <c r="AI97" s="77" t="s">
        <v>1035</v>
      </c>
      <c r="AJ97" s="77"/>
      <c r="AN97" s="77"/>
    </row>
    <row r="98" spans="23:40" x14ac:dyDescent="0.3">
      <c r="W98" t="s">
        <v>392</v>
      </c>
      <c r="X98" t="s">
        <v>1385</v>
      </c>
      <c r="AI98" s="77" t="s">
        <v>1037</v>
      </c>
      <c r="AJ98" s="77"/>
      <c r="AN98" s="77"/>
    </row>
    <row r="99" spans="23:40" x14ac:dyDescent="0.3">
      <c r="W99" t="s">
        <v>381</v>
      </c>
      <c r="X99" t="s">
        <v>1343</v>
      </c>
      <c r="AI99" s="77" t="s">
        <v>1039</v>
      </c>
      <c r="AJ99" s="77"/>
      <c r="AN99" s="77"/>
    </row>
    <row r="100" spans="23:40" x14ac:dyDescent="0.3">
      <c r="W100" t="s">
        <v>386</v>
      </c>
      <c r="X100" t="s">
        <v>1333</v>
      </c>
      <c r="AI100" s="77" t="s">
        <v>1041</v>
      </c>
      <c r="AJ100" s="77"/>
      <c r="AN100" s="77"/>
    </row>
    <row r="101" spans="23:40" x14ac:dyDescent="0.3">
      <c r="W101" t="s">
        <v>386</v>
      </c>
      <c r="X101" t="s">
        <v>1336</v>
      </c>
      <c r="AI101" s="77" t="s">
        <v>1043</v>
      </c>
      <c r="AJ101" s="77"/>
      <c r="AN101" s="77"/>
    </row>
    <row r="102" spans="23:40" x14ac:dyDescent="0.3">
      <c r="AI102" s="77" t="s">
        <v>1045</v>
      </c>
      <c r="AJ102" s="77"/>
      <c r="AN102" s="77"/>
    </row>
    <row r="103" spans="23:40" x14ac:dyDescent="0.3">
      <c r="AI103" s="77" t="s">
        <v>1047</v>
      </c>
      <c r="AJ103" s="77"/>
      <c r="AN103" s="77"/>
    </row>
    <row r="104" spans="23:40" x14ac:dyDescent="0.3">
      <c r="AI104" s="77" t="s">
        <v>1049</v>
      </c>
      <c r="AJ104" s="77"/>
      <c r="AN104" s="77"/>
    </row>
    <row r="105" spans="23:40" x14ac:dyDescent="0.3">
      <c r="AI105" s="77" t="s">
        <v>1051</v>
      </c>
      <c r="AJ105" s="77"/>
      <c r="AN105" s="77"/>
    </row>
    <row r="106" spans="23:40" x14ac:dyDescent="0.3">
      <c r="AI106" s="77" t="s">
        <v>1053</v>
      </c>
      <c r="AJ106" s="77"/>
      <c r="AN106" s="77"/>
    </row>
    <row r="107" spans="23:40" x14ac:dyDescent="0.3">
      <c r="AI107" s="77" t="s">
        <v>1055</v>
      </c>
      <c r="AJ107" s="77"/>
      <c r="AN107" s="77"/>
    </row>
    <row r="108" spans="23:40" x14ac:dyDescent="0.3">
      <c r="AI108" s="77" t="s">
        <v>1057</v>
      </c>
      <c r="AJ108" s="77"/>
      <c r="AN108" s="77"/>
    </row>
    <row r="109" spans="23:40" x14ac:dyDescent="0.3">
      <c r="AI109" s="77" t="s">
        <v>1059</v>
      </c>
      <c r="AJ109" s="77"/>
      <c r="AN109" s="77"/>
    </row>
    <row r="110" spans="23:40" x14ac:dyDescent="0.3">
      <c r="AI110" s="77" t="s">
        <v>1061</v>
      </c>
      <c r="AJ110" s="77"/>
      <c r="AN110" s="77"/>
    </row>
    <row r="111" spans="23:40" x14ac:dyDescent="0.3">
      <c r="AI111" s="77" t="s">
        <v>1063</v>
      </c>
      <c r="AJ111" s="77"/>
      <c r="AN111" s="77"/>
    </row>
    <row r="112" spans="23:40" x14ac:dyDescent="0.3">
      <c r="AI112" s="77" t="s">
        <v>1065</v>
      </c>
      <c r="AJ112" s="77"/>
      <c r="AN112" s="77"/>
    </row>
    <row r="113" spans="35:40" x14ac:dyDescent="0.3">
      <c r="AI113" s="77" t="s">
        <v>1067</v>
      </c>
      <c r="AJ113" s="77"/>
      <c r="AN113" s="77"/>
    </row>
    <row r="114" spans="35:40" x14ac:dyDescent="0.3">
      <c r="AI114" s="77" t="s">
        <v>1069</v>
      </c>
      <c r="AJ114" s="77"/>
      <c r="AN114" s="77"/>
    </row>
    <row r="115" spans="35:40" x14ac:dyDescent="0.3">
      <c r="AI115" s="77" t="s">
        <v>1071</v>
      </c>
      <c r="AJ115" s="77"/>
      <c r="AN115" s="77"/>
    </row>
    <row r="116" spans="35:40" x14ac:dyDescent="0.3">
      <c r="AI116" s="77" t="s">
        <v>1073</v>
      </c>
      <c r="AJ116" s="77"/>
      <c r="AN116" s="77"/>
    </row>
    <row r="117" spans="35:40" x14ac:dyDescent="0.3">
      <c r="AI117" s="77" t="s">
        <v>1075</v>
      </c>
      <c r="AJ117" s="77"/>
      <c r="AN117" s="77"/>
    </row>
    <row r="118" spans="35:40" x14ac:dyDescent="0.3">
      <c r="AI118" s="77" t="s">
        <v>1077</v>
      </c>
      <c r="AJ118" s="77"/>
      <c r="AN118" s="77"/>
    </row>
    <row r="119" spans="35:40" x14ac:dyDescent="0.3">
      <c r="AI119" s="77" t="s">
        <v>1079</v>
      </c>
      <c r="AJ119" s="77"/>
      <c r="AN119" s="77"/>
    </row>
    <row r="120" spans="35:40" x14ac:dyDescent="0.3">
      <c r="AI120" s="77" t="s">
        <v>1081</v>
      </c>
      <c r="AJ120" s="77"/>
      <c r="AN120" s="77"/>
    </row>
    <row r="121" spans="35:40" x14ac:dyDescent="0.3">
      <c r="AI121" s="77" t="s">
        <v>1083</v>
      </c>
      <c r="AJ121" s="77"/>
      <c r="AN121" s="77"/>
    </row>
    <row r="122" spans="35:40" x14ac:dyDescent="0.3">
      <c r="AI122" s="77" t="s">
        <v>1085</v>
      </c>
      <c r="AJ122" s="77"/>
      <c r="AN122" s="77"/>
    </row>
    <row r="123" spans="35:40" x14ac:dyDescent="0.3">
      <c r="AI123" s="77" t="s">
        <v>1087</v>
      </c>
      <c r="AJ123" s="77"/>
      <c r="AN123" s="77"/>
    </row>
    <row r="124" spans="35:40" x14ac:dyDescent="0.3">
      <c r="AI124" s="77" t="s">
        <v>1089</v>
      </c>
      <c r="AJ124" s="77"/>
      <c r="AN124" s="77"/>
    </row>
    <row r="125" spans="35:40" x14ac:dyDescent="0.3">
      <c r="AI125" s="77" t="s">
        <v>1091</v>
      </c>
      <c r="AJ125" s="77"/>
      <c r="AN125" s="77"/>
    </row>
    <row r="126" spans="35:40" x14ac:dyDescent="0.3">
      <c r="AI126" s="77" t="s">
        <v>1093</v>
      </c>
      <c r="AJ126" s="77"/>
      <c r="AN126" s="77"/>
    </row>
    <row r="127" spans="35:40" x14ac:dyDescent="0.3">
      <c r="AI127" s="77" t="s">
        <v>1095</v>
      </c>
      <c r="AJ127" s="77"/>
      <c r="AN127" s="77"/>
    </row>
    <row r="128" spans="35:40" x14ac:dyDescent="0.3">
      <c r="AI128" s="77" t="s">
        <v>1097</v>
      </c>
      <c r="AJ128" s="77"/>
      <c r="AN128" s="77"/>
    </row>
    <row r="129" spans="35:40" x14ac:dyDescent="0.3">
      <c r="AI129" s="77" t="s">
        <v>1099</v>
      </c>
      <c r="AJ129" s="77"/>
      <c r="AN129" s="77"/>
    </row>
    <row r="130" spans="35:40" x14ac:dyDescent="0.3">
      <c r="AI130" s="77" t="s">
        <v>1101</v>
      </c>
      <c r="AJ130" s="77"/>
      <c r="AN130" s="77"/>
    </row>
    <row r="131" spans="35:40" x14ac:dyDescent="0.3">
      <c r="AI131" s="77" t="s">
        <v>1103</v>
      </c>
      <c r="AJ131" s="77"/>
      <c r="AN131" s="77"/>
    </row>
    <row r="132" spans="35:40" x14ac:dyDescent="0.3">
      <c r="AI132" s="77" t="s">
        <v>1105</v>
      </c>
      <c r="AJ132" s="77"/>
      <c r="AN132" s="77"/>
    </row>
    <row r="133" spans="35:40" x14ac:dyDescent="0.3">
      <c r="AI133" s="77" t="s">
        <v>1107</v>
      </c>
      <c r="AJ133" s="77"/>
      <c r="AN133" s="77"/>
    </row>
    <row r="134" spans="35:40" x14ac:dyDescent="0.3">
      <c r="AI134" s="77" t="s">
        <v>1109</v>
      </c>
      <c r="AJ134" s="77"/>
      <c r="AN134" s="77"/>
    </row>
    <row r="135" spans="35:40" x14ac:dyDescent="0.3">
      <c r="AI135" s="77" t="s">
        <v>1111</v>
      </c>
      <c r="AJ135" s="77"/>
      <c r="AN135" s="77"/>
    </row>
    <row r="136" spans="35:40" x14ac:dyDescent="0.3">
      <c r="AI136" s="77" t="s">
        <v>1113</v>
      </c>
      <c r="AJ136" s="77"/>
      <c r="AN136" s="77"/>
    </row>
    <row r="137" spans="35:40" x14ac:dyDescent="0.3">
      <c r="AI137" s="77" t="s">
        <v>1115</v>
      </c>
      <c r="AJ137" s="77"/>
      <c r="AN137" s="77"/>
    </row>
    <row r="138" spans="35:40" x14ac:dyDescent="0.3">
      <c r="AI138" s="77" t="s">
        <v>1117</v>
      </c>
      <c r="AJ138" s="77"/>
      <c r="AN138" s="77"/>
    </row>
    <row r="139" spans="35:40" x14ac:dyDescent="0.3">
      <c r="AI139" s="77" t="s">
        <v>1119</v>
      </c>
      <c r="AJ139" s="77"/>
      <c r="AN139" s="77"/>
    </row>
    <row r="140" spans="35:40" x14ac:dyDescent="0.3">
      <c r="AI140" s="77" t="s">
        <v>1121</v>
      </c>
      <c r="AJ140" s="77"/>
      <c r="AN140" s="77"/>
    </row>
    <row r="141" spans="35:40" x14ac:dyDescent="0.3">
      <c r="AI141" s="77" t="s">
        <v>1123</v>
      </c>
      <c r="AJ141" s="77"/>
      <c r="AN141" s="77"/>
    </row>
    <row r="142" spans="35:40" x14ac:dyDescent="0.3">
      <c r="AI142" s="77" t="s">
        <v>1125</v>
      </c>
      <c r="AJ142" s="77"/>
      <c r="AN142" s="77"/>
    </row>
    <row r="143" spans="35:40" x14ac:dyDescent="0.3">
      <c r="AI143" s="77" t="s">
        <v>1127</v>
      </c>
      <c r="AJ143" s="77"/>
      <c r="AN143" s="77"/>
    </row>
    <row r="144" spans="35:40" x14ac:dyDescent="0.3">
      <c r="AI144" s="77" t="s">
        <v>1129</v>
      </c>
      <c r="AJ144" s="77"/>
      <c r="AN144" s="77"/>
    </row>
    <row r="145" spans="35:40" x14ac:dyDescent="0.3">
      <c r="AI145" s="77" t="s">
        <v>1131</v>
      </c>
      <c r="AJ145" s="77"/>
      <c r="AN145" s="77"/>
    </row>
    <row r="146" spans="35:40" x14ac:dyDescent="0.3">
      <c r="AI146" s="77" t="s">
        <v>1133</v>
      </c>
      <c r="AJ146" s="77"/>
      <c r="AN146" s="77"/>
    </row>
    <row r="147" spans="35:40" x14ac:dyDescent="0.3">
      <c r="AI147" s="77" t="s">
        <v>1135</v>
      </c>
      <c r="AJ147" s="77"/>
      <c r="AN147" s="77"/>
    </row>
    <row r="148" spans="35:40" x14ac:dyDescent="0.3">
      <c r="AI148" s="77" t="s">
        <v>1137</v>
      </c>
      <c r="AJ148" s="77"/>
      <c r="AN148" s="77"/>
    </row>
    <row r="149" spans="35:40" x14ac:dyDescent="0.3">
      <c r="AI149" s="77" t="s">
        <v>1139</v>
      </c>
      <c r="AJ149" s="77"/>
      <c r="AN149" s="77"/>
    </row>
    <row r="150" spans="35:40" x14ac:dyDescent="0.3">
      <c r="AI150" s="77" t="s">
        <v>1141</v>
      </c>
      <c r="AJ150" s="77"/>
      <c r="AN150" s="77"/>
    </row>
    <row r="151" spans="35:40" x14ac:dyDescent="0.3">
      <c r="AI151" s="77" t="s">
        <v>1143</v>
      </c>
      <c r="AJ151" s="77"/>
      <c r="AN151" s="77"/>
    </row>
    <row r="152" spans="35:40" x14ac:dyDescent="0.3">
      <c r="AI152" s="77" t="s">
        <v>1145</v>
      </c>
      <c r="AJ152" s="77"/>
      <c r="AN152" s="77"/>
    </row>
    <row r="153" spans="35:40" x14ac:dyDescent="0.3">
      <c r="AI153" s="77" t="s">
        <v>1147</v>
      </c>
      <c r="AJ153" s="77"/>
      <c r="AN153" s="77"/>
    </row>
    <row r="154" spans="35:40" x14ac:dyDescent="0.3">
      <c r="AI154" s="77" t="s">
        <v>1149</v>
      </c>
      <c r="AJ154" s="77"/>
      <c r="AN154" s="77"/>
    </row>
    <row r="155" spans="35:40" x14ac:dyDescent="0.3">
      <c r="AI155" s="77" t="s">
        <v>1151</v>
      </c>
      <c r="AJ155" s="77"/>
      <c r="AN155" s="77"/>
    </row>
    <row r="156" spans="35:40" x14ac:dyDescent="0.3">
      <c r="AI156" s="77" t="s">
        <v>1153</v>
      </c>
      <c r="AJ156" s="77"/>
      <c r="AN156" s="77"/>
    </row>
    <row r="157" spans="35:40" x14ac:dyDescent="0.3">
      <c r="AI157" s="77" t="s">
        <v>1155</v>
      </c>
      <c r="AJ157" s="77"/>
      <c r="AN157" s="77"/>
    </row>
    <row r="158" spans="35:40" x14ac:dyDescent="0.3">
      <c r="AI158" s="77" t="s">
        <v>1157</v>
      </c>
      <c r="AJ158" s="77"/>
      <c r="AN158" s="77"/>
    </row>
    <row r="159" spans="35:40" x14ac:dyDescent="0.3">
      <c r="AI159" s="77" t="s">
        <v>1159</v>
      </c>
      <c r="AJ159" s="77"/>
      <c r="AN159" s="77"/>
    </row>
    <row r="160" spans="35:40" x14ac:dyDescent="0.3">
      <c r="AI160" s="77" t="s">
        <v>1161</v>
      </c>
      <c r="AJ160" s="77"/>
      <c r="AN160" s="77"/>
    </row>
    <row r="161" spans="35:40" x14ac:dyDescent="0.3">
      <c r="AI161" s="77" t="s">
        <v>1163</v>
      </c>
      <c r="AJ161" s="77"/>
      <c r="AN161" s="77"/>
    </row>
    <row r="162" spans="35:40" x14ac:dyDescent="0.3">
      <c r="AI162" s="77" t="s">
        <v>1165</v>
      </c>
      <c r="AJ162" s="77"/>
      <c r="AN162" s="77"/>
    </row>
    <row r="163" spans="35:40" x14ac:dyDescent="0.3">
      <c r="AI163" s="77" t="s">
        <v>1167</v>
      </c>
      <c r="AJ163" s="77"/>
      <c r="AN163" s="77"/>
    </row>
    <row r="164" spans="35:40" x14ac:dyDescent="0.3">
      <c r="AI164" s="77" t="s">
        <v>1169</v>
      </c>
    </row>
    <row r="165" spans="35:40" x14ac:dyDescent="0.3">
      <c r="AI165" s="77" t="s">
        <v>1171</v>
      </c>
    </row>
    <row r="166" spans="35:40" x14ac:dyDescent="0.3">
      <c r="AI166" s="77" t="s">
        <v>1173</v>
      </c>
    </row>
    <row r="167" spans="35:40" x14ac:dyDescent="0.3">
      <c r="AI167" s="77" t="s">
        <v>1175</v>
      </c>
    </row>
    <row r="168" spans="35:40" x14ac:dyDescent="0.3">
      <c r="AI168" s="77" t="s">
        <v>1177</v>
      </c>
    </row>
    <row r="169" spans="35:40" x14ac:dyDescent="0.3">
      <c r="AI169" s="77" t="s">
        <v>1179</v>
      </c>
    </row>
    <row r="170" spans="35:40" x14ac:dyDescent="0.3">
      <c r="AI170" s="77" t="s">
        <v>1181</v>
      </c>
    </row>
    <row r="171" spans="35:40" x14ac:dyDescent="0.3">
      <c r="AI171" s="77" t="s">
        <v>1183</v>
      </c>
    </row>
    <row r="172" spans="35:40" x14ac:dyDescent="0.3">
      <c r="AI172" s="77" t="s">
        <v>1185</v>
      </c>
    </row>
    <row r="173" spans="35:40" x14ac:dyDescent="0.3">
      <c r="AI173" s="77" t="s">
        <v>1187</v>
      </c>
    </row>
    <row r="174" spans="35:40" x14ac:dyDescent="0.3">
      <c r="AI174" s="77" t="s">
        <v>1189</v>
      </c>
    </row>
    <row r="175" spans="35:40" x14ac:dyDescent="0.3">
      <c r="AI175" s="77" t="s">
        <v>1191</v>
      </c>
    </row>
    <row r="176" spans="35:40" x14ac:dyDescent="0.3">
      <c r="AI176" s="77" t="s">
        <v>1193</v>
      </c>
    </row>
    <row r="177" spans="35:35" x14ac:dyDescent="0.3">
      <c r="AI177" s="77" t="s">
        <v>1195</v>
      </c>
    </row>
    <row r="178" spans="35:35" x14ac:dyDescent="0.3">
      <c r="AI178" s="77" t="s">
        <v>1197</v>
      </c>
    </row>
    <row r="179" spans="35:35" x14ac:dyDescent="0.3">
      <c r="AI179" s="77" t="s">
        <v>1199</v>
      </c>
    </row>
    <row r="180" spans="35:35" x14ac:dyDescent="0.3">
      <c r="AI180" s="77" t="s">
        <v>1203</v>
      </c>
    </row>
    <row r="181" spans="35:35" x14ac:dyDescent="0.3">
      <c r="AI181" s="77" t="s">
        <v>1205</v>
      </c>
    </row>
    <row r="182" spans="35:35" x14ac:dyDescent="0.3">
      <c r="AI182" s="77" t="s">
        <v>1207</v>
      </c>
    </row>
    <row r="183" spans="35:35" x14ac:dyDescent="0.3">
      <c r="AI183" s="77" t="s">
        <v>1209</v>
      </c>
    </row>
    <row r="184" spans="35:35" x14ac:dyDescent="0.3">
      <c r="AI184" s="77" t="s">
        <v>1201</v>
      </c>
    </row>
    <row r="185" spans="35:35" x14ac:dyDescent="0.3">
      <c r="AI185" s="77" t="s">
        <v>769</v>
      </c>
    </row>
  </sheetData>
  <phoneticPr fontId="18" type="noConversion"/>
  <pageMargins left="0.7" right="0.7" top="0.75" bottom="0.75" header="0.3" footer="0.3"/>
  <pageSetup orientation="portrait" r:id="rId11"/>
  <tableParts count="2">
    <tablePart r:id="rId12"/>
    <tablePart r:id="rId1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D23"/>
  <sheetViews>
    <sheetView workbookViewId="0">
      <selection activeCell="A2" sqref="A2"/>
    </sheetView>
  </sheetViews>
  <sheetFormatPr baseColWidth="10" defaultColWidth="11.44140625" defaultRowHeight="14.4" x14ac:dyDescent="0.3"/>
  <cols>
    <col min="1" max="1" width="59.33203125" bestFit="1" customWidth="1"/>
    <col min="2" max="2" width="37.109375" customWidth="1"/>
    <col min="3" max="3" width="32.6640625" bestFit="1" customWidth="1"/>
    <col min="4" max="4" width="38.6640625" bestFit="1" customWidth="1"/>
  </cols>
  <sheetData>
    <row r="1" spans="1:4" x14ac:dyDescent="0.3">
      <c r="A1" s="103" t="s">
        <v>563</v>
      </c>
      <c r="B1" s="103" t="s">
        <v>562</v>
      </c>
      <c r="C1" s="103" t="s">
        <v>558</v>
      </c>
      <c r="D1" s="103" t="s">
        <v>590</v>
      </c>
    </row>
    <row r="2" spans="1:4" x14ac:dyDescent="0.3">
      <c r="A2" t="s">
        <v>534</v>
      </c>
      <c r="B2" t="s">
        <v>548</v>
      </c>
      <c r="C2" t="s">
        <v>560</v>
      </c>
      <c r="D2" t="s">
        <v>6</v>
      </c>
    </row>
    <row r="3" spans="1:4" x14ac:dyDescent="0.3">
      <c r="A3" t="s">
        <v>535</v>
      </c>
      <c r="B3" t="s">
        <v>549</v>
      </c>
      <c r="C3" t="s">
        <v>559</v>
      </c>
    </row>
    <row r="4" spans="1:4" x14ac:dyDescent="0.3">
      <c r="A4" t="s">
        <v>536</v>
      </c>
      <c r="B4" t="s">
        <v>550</v>
      </c>
      <c r="C4" t="s">
        <v>560</v>
      </c>
      <c r="D4" t="s">
        <v>477</v>
      </c>
    </row>
    <row r="5" spans="1:4" x14ac:dyDescent="0.3">
      <c r="A5" t="s">
        <v>537</v>
      </c>
      <c r="B5" t="s">
        <v>551</v>
      </c>
      <c r="C5" t="s">
        <v>560</v>
      </c>
      <c r="D5" t="s">
        <v>441</v>
      </c>
    </row>
    <row r="6" spans="1:4" x14ac:dyDescent="0.3">
      <c r="A6" t="s">
        <v>538</v>
      </c>
      <c r="B6" t="s">
        <v>552</v>
      </c>
      <c r="C6" t="s">
        <v>559</v>
      </c>
    </row>
    <row r="7" spans="1:4" x14ac:dyDescent="0.3">
      <c r="A7" t="s">
        <v>539</v>
      </c>
      <c r="B7" t="s">
        <v>553</v>
      </c>
      <c r="C7" t="s">
        <v>560</v>
      </c>
      <c r="D7" t="s">
        <v>51</v>
      </c>
    </row>
    <row r="8" spans="1:4" x14ac:dyDescent="0.3">
      <c r="A8" t="s">
        <v>540</v>
      </c>
      <c r="B8" s="104">
        <v>44347</v>
      </c>
      <c r="C8" t="s">
        <v>560</v>
      </c>
      <c r="D8" t="s">
        <v>5</v>
      </c>
    </row>
    <row r="9" spans="1:4" x14ac:dyDescent="0.3">
      <c r="A9" t="s">
        <v>541</v>
      </c>
      <c r="B9" s="104">
        <v>44301</v>
      </c>
      <c r="C9" t="s">
        <v>559</v>
      </c>
    </row>
    <row r="10" spans="1:4" x14ac:dyDescent="0.3">
      <c r="A10" t="s">
        <v>542</v>
      </c>
      <c r="B10" s="104">
        <v>45397</v>
      </c>
      <c r="C10" t="s">
        <v>559</v>
      </c>
    </row>
    <row r="11" spans="1:4" x14ac:dyDescent="0.3">
      <c r="A11" t="s">
        <v>543</v>
      </c>
      <c r="C11" t="s">
        <v>559</v>
      </c>
    </row>
    <row r="12" spans="1:4" x14ac:dyDescent="0.3">
      <c r="A12" t="s">
        <v>544</v>
      </c>
      <c r="C12" t="s">
        <v>559</v>
      </c>
    </row>
    <row r="13" spans="1:4" x14ac:dyDescent="0.3">
      <c r="A13" t="s">
        <v>545</v>
      </c>
      <c r="B13" t="s">
        <v>554</v>
      </c>
      <c r="C13" t="s">
        <v>560</v>
      </c>
      <c r="D13" t="s">
        <v>348</v>
      </c>
    </row>
    <row r="14" spans="1:4" x14ac:dyDescent="0.3">
      <c r="A14" t="s">
        <v>546</v>
      </c>
      <c r="B14" t="s">
        <v>555</v>
      </c>
      <c r="C14" t="s">
        <v>559</v>
      </c>
    </row>
    <row r="15" spans="1:4" x14ac:dyDescent="0.3">
      <c r="A15" t="s">
        <v>547</v>
      </c>
      <c r="B15" t="s">
        <v>556</v>
      </c>
      <c r="C15" t="s">
        <v>559</v>
      </c>
    </row>
    <row r="16" spans="1:4" x14ac:dyDescent="0.3">
      <c r="A16" t="s">
        <v>416</v>
      </c>
      <c r="B16" t="s">
        <v>557</v>
      </c>
      <c r="C16" t="s">
        <v>560</v>
      </c>
      <c r="D16" t="s">
        <v>451</v>
      </c>
    </row>
    <row r="17" spans="3:4" x14ac:dyDescent="0.3">
      <c r="C17" t="s">
        <v>561</v>
      </c>
      <c r="D17" t="s">
        <v>443</v>
      </c>
    </row>
    <row r="18" spans="3:4" x14ac:dyDescent="0.3">
      <c r="C18" t="s">
        <v>561</v>
      </c>
      <c r="D18" t="s">
        <v>7</v>
      </c>
    </row>
    <row r="19" spans="3:4" x14ac:dyDescent="0.3">
      <c r="C19" t="s">
        <v>561</v>
      </c>
      <c r="D19" t="s">
        <v>52</v>
      </c>
    </row>
    <row r="20" spans="3:4" x14ac:dyDescent="0.3">
      <c r="C20" t="s">
        <v>561</v>
      </c>
      <c r="D20" t="s">
        <v>340</v>
      </c>
    </row>
    <row r="21" spans="3:4" x14ac:dyDescent="0.3">
      <c r="C21" t="s">
        <v>561</v>
      </c>
      <c r="D21" t="s">
        <v>53</v>
      </c>
    </row>
    <row r="22" spans="3:4" x14ac:dyDescent="0.3">
      <c r="C22" t="s">
        <v>561</v>
      </c>
      <c r="D22" t="s">
        <v>8</v>
      </c>
    </row>
    <row r="23" spans="3:4" x14ac:dyDescent="0.3">
      <c r="C23" t="s">
        <v>561</v>
      </c>
      <c r="D23" t="s">
        <v>529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>
    <pageSetUpPr fitToPage="1"/>
  </sheetPr>
  <dimension ref="B1:J20"/>
  <sheetViews>
    <sheetView showGridLines="0" topLeftCell="A4" zoomScaleNormal="100" workbookViewId="0">
      <selection activeCell="F9" sqref="F9"/>
    </sheetView>
  </sheetViews>
  <sheetFormatPr baseColWidth="10" defaultColWidth="10.88671875" defaultRowHeight="15" x14ac:dyDescent="0.3"/>
  <cols>
    <col min="1" max="1" width="10.88671875" style="2"/>
    <col min="2" max="2" width="2.6640625" style="2" customWidth="1"/>
    <col min="3" max="3" width="25.6640625" style="3" customWidth="1"/>
    <col min="4" max="7" width="27.6640625" style="2" customWidth="1"/>
    <col min="8" max="8" width="31.5546875" style="2" bestFit="1" customWidth="1"/>
    <col min="9" max="9" width="27.6640625" style="2" customWidth="1"/>
    <col min="10" max="10" width="2.6640625" style="2" customWidth="1"/>
    <col min="11" max="16384" width="10.88671875" style="2"/>
  </cols>
  <sheetData>
    <row r="1" spans="2:10" ht="15.6" thickBot="1" x14ac:dyDescent="0.35"/>
    <row r="2" spans="2:10" ht="19.95" customHeight="1" x14ac:dyDescent="0.3">
      <c r="B2" s="12"/>
      <c r="C2" s="13"/>
      <c r="D2" s="7"/>
      <c r="E2" s="7"/>
      <c r="F2" s="7"/>
      <c r="G2" s="7"/>
      <c r="H2" s="7"/>
      <c r="I2" s="7"/>
      <c r="J2" s="8"/>
    </row>
    <row r="3" spans="2:10" ht="37.5" customHeight="1" x14ac:dyDescent="0.3">
      <c r="B3" s="14"/>
      <c r="C3" s="412" t="s">
        <v>4</v>
      </c>
      <c r="D3" s="412"/>
      <c r="E3" s="412"/>
      <c r="F3" s="412"/>
      <c r="G3" s="412"/>
      <c r="H3" s="412"/>
      <c r="I3" s="412"/>
      <c r="J3" s="9"/>
    </row>
    <row r="4" spans="2:10" ht="37.5" customHeight="1" thickBot="1" x14ac:dyDescent="0.35">
      <c r="B4" s="14"/>
      <c r="C4" s="2"/>
      <c r="J4" s="9"/>
    </row>
    <row r="5" spans="2:10" ht="30" customHeight="1" thickBot="1" x14ac:dyDescent="0.35">
      <c r="B5" s="14"/>
      <c r="C5" s="409" t="s">
        <v>1324</v>
      </c>
      <c r="D5" s="410"/>
      <c r="E5" s="410"/>
      <c r="F5" s="410"/>
      <c r="G5" s="410"/>
      <c r="H5" s="410"/>
      <c r="I5" s="411"/>
      <c r="J5" s="9"/>
    </row>
    <row r="6" spans="2:10" s="4" customFormat="1" ht="25.2" customHeight="1" thickBot="1" x14ac:dyDescent="0.35">
      <c r="B6" s="15"/>
      <c r="C6" s="5" t="s">
        <v>19</v>
      </c>
      <c r="D6" s="6" t="s">
        <v>68</v>
      </c>
      <c r="E6" s="6" t="s">
        <v>69</v>
      </c>
      <c r="F6" s="6">
        <v>1</v>
      </c>
      <c r="G6" s="6">
        <v>2</v>
      </c>
      <c r="H6" s="6">
        <v>3</v>
      </c>
      <c r="I6" s="6">
        <v>4</v>
      </c>
      <c r="J6" s="16"/>
    </row>
    <row r="7" spans="2:10" s="1" customFormat="1" ht="13.8" x14ac:dyDescent="0.3">
      <c r="B7" s="17"/>
      <c r="C7" s="21"/>
      <c r="D7" s="21"/>
      <c r="E7" s="21"/>
      <c r="F7" s="21"/>
      <c r="G7" s="21"/>
      <c r="H7" s="21"/>
      <c r="I7" s="22"/>
      <c r="J7" s="18"/>
    </row>
    <row r="8" spans="2:10" s="1" customFormat="1" ht="41.4" customHeight="1" x14ac:dyDescent="0.3">
      <c r="B8" s="17"/>
      <c r="C8" s="24" t="s">
        <v>20</v>
      </c>
      <c r="D8" s="21" t="s">
        <v>17</v>
      </c>
      <c r="E8" s="21" t="s">
        <v>44</v>
      </c>
      <c r="F8" s="21" t="s">
        <v>54</v>
      </c>
      <c r="G8" s="21" t="s">
        <v>55</v>
      </c>
      <c r="H8" s="21" t="s">
        <v>56</v>
      </c>
      <c r="I8" s="21" t="s">
        <v>57</v>
      </c>
      <c r="J8" s="18"/>
    </row>
    <row r="9" spans="2:10" s="1" customFormat="1" ht="41.4" customHeight="1" x14ac:dyDescent="0.3">
      <c r="B9" s="17"/>
      <c r="C9" s="24" t="s">
        <v>16</v>
      </c>
      <c r="D9" s="21" t="s">
        <v>41</v>
      </c>
      <c r="E9" s="21" t="s">
        <v>45</v>
      </c>
      <c r="F9" s="21" t="s">
        <v>506</v>
      </c>
      <c r="G9" s="21" t="s">
        <v>507</v>
      </c>
      <c r="H9" s="21" t="s">
        <v>508</v>
      </c>
      <c r="I9" s="21" t="s">
        <v>509</v>
      </c>
      <c r="J9" s="18"/>
    </row>
    <row r="10" spans="2:10" s="1" customFormat="1" ht="41.4" customHeight="1" x14ac:dyDescent="0.3">
      <c r="B10" s="17"/>
      <c r="C10" s="24" t="s">
        <v>17</v>
      </c>
      <c r="D10" s="21" t="s">
        <v>17</v>
      </c>
      <c r="E10" s="21" t="s">
        <v>46</v>
      </c>
      <c r="F10" s="21" t="s">
        <v>59</v>
      </c>
      <c r="G10" s="21" t="s">
        <v>62</v>
      </c>
      <c r="H10" s="21" t="s">
        <v>58</v>
      </c>
      <c r="I10" s="21" t="s">
        <v>60</v>
      </c>
      <c r="J10" s="18"/>
    </row>
    <row r="11" spans="2:10" s="1" customFormat="1" ht="41.4" customHeight="1" x14ac:dyDescent="0.3">
      <c r="B11" s="17"/>
      <c r="C11" s="24" t="s">
        <v>10</v>
      </c>
      <c r="D11" s="21" t="s">
        <v>42</v>
      </c>
      <c r="E11" s="21" t="s">
        <v>47</v>
      </c>
      <c r="F11" s="21" t="s">
        <v>61</v>
      </c>
      <c r="G11" s="21" t="s">
        <v>63</v>
      </c>
      <c r="H11" s="21" t="s">
        <v>64</v>
      </c>
      <c r="I11" s="21" t="s">
        <v>65</v>
      </c>
      <c r="J11" s="18"/>
    </row>
    <row r="12" spans="2:10" s="1" customFormat="1" ht="41.4" customHeight="1" x14ac:dyDescent="0.3">
      <c r="B12" s="17"/>
      <c r="C12" s="24" t="s">
        <v>11</v>
      </c>
      <c r="D12" s="21" t="s">
        <v>42</v>
      </c>
      <c r="E12" s="21" t="s">
        <v>47</v>
      </c>
      <c r="F12" s="21" t="s">
        <v>70</v>
      </c>
      <c r="G12" s="21" t="s">
        <v>71</v>
      </c>
      <c r="H12" s="21" t="s">
        <v>72</v>
      </c>
      <c r="I12" s="21" t="s">
        <v>73</v>
      </c>
      <c r="J12" s="18"/>
    </row>
    <row r="13" spans="2:10" s="1" customFormat="1" ht="41.4" customHeight="1" x14ac:dyDescent="0.3">
      <c r="B13" s="17"/>
      <c r="C13" s="24" t="s">
        <v>18</v>
      </c>
      <c r="D13" s="21" t="s">
        <v>41</v>
      </c>
      <c r="E13" s="21" t="s">
        <v>46</v>
      </c>
      <c r="F13" s="21" t="s">
        <v>74</v>
      </c>
      <c r="G13" s="21" t="s">
        <v>75</v>
      </c>
      <c r="H13" s="21" t="s">
        <v>76</v>
      </c>
      <c r="I13" s="21" t="s">
        <v>77</v>
      </c>
      <c r="J13" s="18"/>
    </row>
    <row r="14" spans="2:10" s="1" customFormat="1" ht="49.95" customHeight="1" x14ac:dyDescent="0.3">
      <c r="B14" s="17"/>
      <c r="C14" s="24" t="s">
        <v>23</v>
      </c>
      <c r="D14" s="21" t="s">
        <v>43</v>
      </c>
      <c r="E14" s="21" t="s">
        <v>48</v>
      </c>
      <c r="F14" s="21" t="s">
        <v>510</v>
      </c>
      <c r="G14" s="21" t="s">
        <v>511</v>
      </c>
      <c r="H14" s="21" t="s">
        <v>512</v>
      </c>
      <c r="I14" s="21" t="s">
        <v>513</v>
      </c>
      <c r="J14" s="18"/>
    </row>
    <row r="15" spans="2:10" s="1" customFormat="1" ht="76.2" customHeight="1" thickBot="1" x14ac:dyDescent="0.35">
      <c r="B15" s="17"/>
      <c r="C15" s="24" t="s">
        <v>26</v>
      </c>
      <c r="D15" s="21" t="s">
        <v>43</v>
      </c>
      <c r="E15" s="21" t="s">
        <v>49</v>
      </c>
      <c r="F15" s="21" t="s">
        <v>342</v>
      </c>
      <c r="G15" s="21" t="s">
        <v>341</v>
      </c>
      <c r="H15" s="21" t="s">
        <v>352</v>
      </c>
      <c r="I15" s="21" t="s">
        <v>353</v>
      </c>
      <c r="J15" s="18"/>
    </row>
    <row r="16" spans="2:10" s="1" customFormat="1" ht="25.2" customHeight="1" thickBot="1" x14ac:dyDescent="0.35">
      <c r="B16" s="17"/>
      <c r="C16" s="28" t="s">
        <v>36</v>
      </c>
      <c r="D16" s="29"/>
      <c r="E16" s="6"/>
      <c r="F16" s="6"/>
      <c r="G16" s="6"/>
      <c r="H16" s="6" t="s">
        <v>66</v>
      </c>
      <c r="I16" s="6"/>
      <c r="J16" s="18"/>
    </row>
    <row r="17" spans="2:10" ht="30" customHeight="1" x14ac:dyDescent="0.3">
      <c r="B17" s="14"/>
      <c r="C17" s="407"/>
      <c r="D17" s="408"/>
      <c r="E17" s="21"/>
      <c r="F17" s="21"/>
      <c r="G17" s="21"/>
      <c r="H17" s="30" t="s">
        <v>67</v>
      </c>
      <c r="I17" s="23">
        <v>13</v>
      </c>
      <c r="J17" s="9"/>
    </row>
    <row r="18" spans="2:10" s="1" customFormat="1" ht="27" customHeight="1" x14ac:dyDescent="0.3">
      <c r="B18" s="17"/>
      <c r="C18" s="25"/>
      <c r="D18" s="26"/>
      <c r="E18" s="26"/>
      <c r="F18" s="26"/>
      <c r="G18" s="26"/>
      <c r="H18" s="26"/>
      <c r="I18" s="27"/>
      <c r="J18" s="18"/>
    </row>
    <row r="19" spans="2:10" s="1" customFormat="1" ht="27" customHeight="1" x14ac:dyDescent="0.3">
      <c r="B19" s="17"/>
      <c r="C19" s="25"/>
      <c r="D19" s="26"/>
      <c r="E19" s="26"/>
      <c r="F19" s="26"/>
      <c r="G19" s="26"/>
      <c r="H19" s="26"/>
      <c r="I19" s="27"/>
      <c r="J19" s="18"/>
    </row>
    <row r="20" spans="2:10" ht="15.6" thickBot="1" x14ac:dyDescent="0.35">
      <c r="B20" s="19"/>
      <c r="C20" s="20"/>
      <c r="D20" s="10"/>
      <c r="E20" s="10"/>
      <c r="F20" s="10"/>
      <c r="G20" s="10"/>
      <c r="H20" s="10"/>
      <c r="I20" s="10"/>
      <c r="J20" s="11"/>
    </row>
  </sheetData>
  <mergeCells count="3">
    <mergeCell ref="C17:D17"/>
    <mergeCell ref="C5:I5"/>
    <mergeCell ref="C3:I3"/>
  </mergeCells>
  <dataValidations count="1">
    <dataValidation type="list" allowBlank="1" showInputMessage="1" showErrorMessage="1" sqref="I7 I18:I19" xr:uid="{00000000-0002-0000-0700-000000000000}">
      <formula1>#REF!</formula1>
    </dataValidation>
  </dataValidations>
  <printOptions horizontalCentered="1"/>
  <pageMargins left="0.59055118110236227" right="0.59055118110236227" top="0.78740157480314965" bottom="0.78740157480314965" header="0.31496062992125984" footer="0.31496062992125984"/>
  <pageSetup paperSize="9" scale="43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>
    <tabColor theme="8" tint="-0.499984740745262"/>
  </sheetPr>
  <dimension ref="A1:X45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18" sqref="H18"/>
    </sheetView>
  </sheetViews>
  <sheetFormatPr baseColWidth="10" defaultColWidth="11.44140625" defaultRowHeight="14.4" x14ac:dyDescent="0.3"/>
  <cols>
    <col min="1" max="1" width="29.5546875" bestFit="1" customWidth="1"/>
    <col min="2" max="2" width="30.33203125" customWidth="1"/>
    <col min="3" max="3" width="27.33203125" customWidth="1"/>
    <col min="4" max="4" width="21.5546875" customWidth="1"/>
    <col min="5" max="5" width="20.6640625" bestFit="1" customWidth="1"/>
    <col min="6" max="6" width="14.109375" customWidth="1"/>
    <col min="7" max="7" width="18.109375" customWidth="1"/>
    <col min="8" max="8" width="31" customWidth="1"/>
    <col min="9" max="9" width="21.5546875" style="32" customWidth="1"/>
    <col min="10" max="10" width="15.6640625" style="32" customWidth="1"/>
    <col min="11" max="11" width="17.5546875" style="32" customWidth="1"/>
    <col min="12" max="12" width="18.109375" style="32" customWidth="1"/>
    <col min="13" max="13" width="16.88671875" customWidth="1"/>
    <col min="14" max="14" width="12.33203125" customWidth="1"/>
    <col min="15" max="15" width="24" customWidth="1"/>
    <col min="16" max="16" width="19.33203125" customWidth="1"/>
    <col min="17" max="17" width="15.5546875" customWidth="1"/>
    <col min="18" max="18" width="19.33203125" bestFit="1" customWidth="1"/>
  </cols>
  <sheetData>
    <row r="1" spans="1:24" s="32" customFormat="1" ht="30.45" customHeight="1" thickBot="1" x14ac:dyDescent="0.35">
      <c r="A1" s="55" t="s">
        <v>318</v>
      </c>
      <c r="B1" s="82" t="s">
        <v>319</v>
      </c>
      <c r="C1" s="63" t="s">
        <v>324</v>
      </c>
      <c r="D1" s="53" t="s">
        <v>17</v>
      </c>
      <c r="E1" s="53" t="s">
        <v>317</v>
      </c>
      <c r="F1" s="54" t="s">
        <v>316</v>
      </c>
      <c r="G1" s="53" t="s">
        <v>315</v>
      </c>
      <c r="H1" s="52" t="s">
        <v>458</v>
      </c>
      <c r="I1" s="52" t="s">
        <v>460</v>
      </c>
      <c r="J1" s="52" t="s">
        <v>459</v>
      </c>
      <c r="K1" s="52" t="s">
        <v>461</v>
      </c>
      <c r="L1" s="51" t="s">
        <v>462</v>
      </c>
      <c r="M1" s="64" t="s">
        <v>326</v>
      </c>
      <c r="N1" s="65" t="s">
        <v>327</v>
      </c>
      <c r="O1" s="65" t="s">
        <v>328</v>
      </c>
      <c r="P1" s="52" t="s">
        <v>329</v>
      </c>
      <c r="Q1" s="84" t="s">
        <v>331</v>
      </c>
      <c r="R1" s="65" t="s">
        <v>474</v>
      </c>
      <c r="S1"/>
      <c r="T1" s="413" t="s">
        <v>325</v>
      </c>
      <c r="U1" s="413"/>
      <c r="V1" s="413"/>
      <c r="W1" s="413"/>
      <c r="X1" s="414"/>
    </row>
    <row r="2" spans="1:24" x14ac:dyDescent="0.3">
      <c r="A2" s="44" t="s">
        <v>125</v>
      </c>
      <c r="B2" s="130" t="s">
        <v>89</v>
      </c>
      <c r="C2" s="43">
        <v>5</v>
      </c>
      <c r="D2" s="47">
        <v>204105094.10999998</v>
      </c>
      <c r="E2" s="47">
        <v>1279534113.4900002</v>
      </c>
      <c r="F2" s="43">
        <v>200573</v>
      </c>
      <c r="G2" s="46">
        <v>11290.136284153003</v>
      </c>
      <c r="H2" s="132">
        <f>Tab_Productos[[#This Row],[N° Objetivos Estrategicos]]/Tab_Productos[[#Totals],[N° Objetivos Estrategicos]]</f>
        <v>0.38461538461538464</v>
      </c>
      <c r="I2" s="132">
        <f>Tab_Productos[[#This Row],[Ingresos]]/Tab_Productos[[#Totals],[Ingresos]]</f>
        <v>0.19073034246099874</v>
      </c>
      <c r="J2" s="132">
        <f>Tab_Productos[[#This Row],[Cartera / Saldo]]/Tab_Productos[[#Totals],[Cartera / Saldo]]</f>
        <v>0.1033470189580986</v>
      </c>
      <c r="K2" s="132">
        <f>Tab_Productos[[#This Row],[N° clientes]]/Tab_Productos[[#Totals],[N° clientes]]</f>
        <v>0.10432605709369648</v>
      </c>
      <c r="L2" s="133">
        <f>Tab_Productos[[#This Row],[Pérdida RO]]/Tab_Productos[[#Totals],[Pérdida RO]]</f>
        <v>2.1986118353199698E-2</v>
      </c>
      <c r="M2" s="43" t="s">
        <v>356</v>
      </c>
      <c r="N2" s="43">
        <v>2</v>
      </c>
      <c r="O2" s="43"/>
      <c r="P2" s="45"/>
      <c r="Q2" s="85" t="s">
        <v>355</v>
      </c>
      <c r="R2" s="62" t="str">
        <f>IFERROR(VLOOKUP(Tab_Productos[[#This Row],[Producto]],Tab_Productos_RO_Detalle[[Producto AQP]:[Tipo de Cartera]],6,FALSE),"Ingresar información")</f>
        <v>Activo</v>
      </c>
    </row>
    <row r="3" spans="1:24" x14ac:dyDescent="0.3">
      <c r="A3" s="44" t="s">
        <v>118</v>
      </c>
      <c r="B3" s="130" t="s">
        <v>89</v>
      </c>
      <c r="C3" s="43">
        <v>5</v>
      </c>
      <c r="D3" s="47">
        <v>272652376.43000001</v>
      </c>
      <c r="E3" s="47">
        <v>1074706062.4600003</v>
      </c>
      <c r="F3" s="43">
        <v>83397</v>
      </c>
      <c r="G3" s="46">
        <v>60234.220678571415</v>
      </c>
      <c r="H3" s="132">
        <f>Tab_Productos[[#This Row],[N° Objetivos Estrategicos]]/Tab_Productos[[#Totals],[N° Objetivos Estrategicos]]</f>
        <v>0.38461538461538464</v>
      </c>
      <c r="I3" s="132">
        <f>Tab_Productos[[#This Row],[Ingresos]]/Tab_Productos[[#Totals],[Ingresos]]</f>
        <v>0.25478580706698384</v>
      </c>
      <c r="J3" s="132">
        <f>Tab_Productos[[#This Row],[Cartera / Saldo]]/Tab_Productos[[#Totals],[Cartera / Saldo]]</f>
        <v>8.6803209574845899E-2</v>
      </c>
      <c r="K3" s="132">
        <f>Tab_Productos[[#This Row],[N° clientes]]/Tab_Productos[[#Totals],[N° clientes]]</f>
        <v>4.337812259597755E-2</v>
      </c>
      <c r="L3" s="133">
        <f>Tab_Productos[[#This Row],[Pérdida RO]]/Tab_Productos[[#Totals],[Pérdida RO]]</f>
        <v>0.1172985579111786</v>
      </c>
      <c r="M3" s="43" t="s">
        <v>356</v>
      </c>
      <c r="N3" s="43">
        <v>2</v>
      </c>
      <c r="O3" s="43"/>
      <c r="P3" s="45"/>
      <c r="Q3" s="85" t="s">
        <v>355</v>
      </c>
      <c r="R3" s="62" t="str">
        <f>IFERROR(VLOOKUP(Tab_Productos[[#This Row],[Producto]],Tab_Productos_RO_Detalle[[Producto AQP]:[Tipo de Cartera]],6,FALSE),"Ingresar información")</f>
        <v>Activo</v>
      </c>
    </row>
    <row r="4" spans="1:24" x14ac:dyDescent="0.3">
      <c r="A4" s="44" t="s">
        <v>314</v>
      </c>
      <c r="B4" s="130" t="s">
        <v>89</v>
      </c>
      <c r="C4" s="43">
        <v>5</v>
      </c>
      <c r="D4" s="47">
        <v>187553558.92999998</v>
      </c>
      <c r="E4" s="47">
        <v>750145287.39999998</v>
      </c>
      <c r="F4" s="43">
        <v>44575</v>
      </c>
      <c r="G4" s="46">
        <v>39341.562323232312</v>
      </c>
      <c r="H4" s="132">
        <f>Tab_Productos[[#This Row],[N° Objetivos Estrategicos]]/Tab_Productos[[#Totals],[N° Objetivos Estrategicos]]</f>
        <v>0.38461538461538464</v>
      </c>
      <c r="I4" s="132">
        <f>Tab_Productos[[#This Row],[Ingresos]]/Tab_Productos[[#Totals],[Ingresos]]</f>
        <v>0.17526340868895232</v>
      </c>
      <c r="J4" s="132">
        <f>Tab_Productos[[#This Row],[Cartera / Saldo]]/Tab_Productos[[#Totals],[Cartera / Saldo]]</f>
        <v>6.0588677098105358E-2</v>
      </c>
      <c r="K4" s="132">
        <f>Tab_Productos[[#This Row],[N° clientes]]/Tab_Productos[[#Totals],[N° clientes]]</f>
        <v>2.3185244249981404E-2</v>
      </c>
      <c r="L4" s="133">
        <f>Tab_Productos[[#This Row],[Pérdida RO]]/Tab_Productos[[#Totals],[Pérdida RO]]</f>
        <v>7.6612737319428956E-2</v>
      </c>
      <c r="M4" s="43" t="s">
        <v>356</v>
      </c>
      <c r="N4" s="43"/>
      <c r="O4" s="43"/>
      <c r="P4" s="45"/>
      <c r="Q4" s="85" t="s">
        <v>355</v>
      </c>
      <c r="R4" s="62" t="str">
        <f>IFERROR(VLOOKUP(Tab_Productos[[#This Row],[Producto]],Tab_Productos_RO_Detalle[[Producto AQP]:[Tipo de Cartera]],6,FALSE),"Ingresar información")</f>
        <v>Ingresar información</v>
      </c>
    </row>
    <row r="5" spans="1:24" x14ac:dyDescent="0.3">
      <c r="A5" s="44" t="s">
        <v>91</v>
      </c>
      <c r="B5" s="130" t="s">
        <v>89</v>
      </c>
      <c r="C5" s="43">
        <v>4</v>
      </c>
      <c r="D5" s="47">
        <v>76138607.590000004</v>
      </c>
      <c r="E5" s="47">
        <v>551999297.88999999</v>
      </c>
      <c r="F5" s="43">
        <v>21015</v>
      </c>
      <c r="G5" s="46">
        <v>84845.966363636369</v>
      </c>
      <c r="H5" s="132">
        <f>Tab_Productos[[#This Row],[N° Objetivos Estrategicos]]/Tab_Productos[[#Totals],[N° Objetivos Estrategicos]]</f>
        <v>0.30769230769230771</v>
      </c>
      <c r="I5" s="132">
        <f>Tab_Productos[[#This Row],[Ingresos]]/Tab_Productos[[#Totals],[Ingresos]]</f>
        <v>7.1149339821562074E-2</v>
      </c>
      <c r="J5" s="132">
        <f>Tab_Productos[[#This Row],[Cartera / Saldo]]/Tab_Productos[[#Totals],[Cartera / Saldo]]</f>
        <v>4.4584572855423742E-2</v>
      </c>
      <c r="K5" s="132">
        <f>Tab_Productos[[#This Row],[N° clientes]]/Tab_Productos[[#Totals],[N° clientes]]</f>
        <v>1.0930743867938512E-2</v>
      </c>
      <c r="L5" s="133">
        <f>Tab_Productos[[#This Row],[Pérdida RO]]/Tab_Productos[[#Totals],[Pérdida RO]]</f>
        <v>0.1652268326362773</v>
      </c>
      <c r="M5" s="43" t="s">
        <v>356</v>
      </c>
      <c r="N5" s="43">
        <v>2</v>
      </c>
      <c r="O5" s="43"/>
      <c r="P5" s="45"/>
      <c r="Q5" s="85" t="s">
        <v>355</v>
      </c>
      <c r="R5" s="62" t="str">
        <f>IFERROR(VLOOKUP(Tab_Productos[[#This Row],[Producto]],Tab_Productos_RO_Detalle[[Producto AQP]:[Tipo de Cartera]],6,FALSE),"Ingresar información")</f>
        <v>Activo</v>
      </c>
    </row>
    <row r="6" spans="1:24" x14ac:dyDescent="0.3">
      <c r="A6" s="44" t="s">
        <v>96</v>
      </c>
      <c r="B6" s="130" t="s">
        <v>89</v>
      </c>
      <c r="C6" s="43">
        <v>4</v>
      </c>
      <c r="D6" s="47">
        <v>121884260.92</v>
      </c>
      <c r="E6" s="47">
        <v>573959400.70000005</v>
      </c>
      <c r="F6" s="43">
        <v>77097</v>
      </c>
      <c r="G6" s="46">
        <v>15931.437196969693</v>
      </c>
      <c r="H6" s="132">
        <f>Tab_Productos[[#This Row],[N° Objetivos Estrategicos]]/Tab_Productos[[#Totals],[N° Objetivos Estrategicos]]</f>
        <v>0.30769230769230771</v>
      </c>
      <c r="I6" s="132">
        <f>Tab_Productos[[#This Row],[Ingresos]]/Tab_Productos[[#Totals],[Ingresos]]</f>
        <v>0.11389733767913024</v>
      </c>
      <c r="J6" s="132">
        <f>Tab_Productos[[#This Row],[Cartera / Saldo]]/Tab_Productos[[#Totals],[Cartera / Saldo]]</f>
        <v>4.6358274031109203E-2</v>
      </c>
      <c r="K6" s="132">
        <f>Tab_Productos[[#This Row],[N° clientes]]/Tab_Productos[[#Totals],[N° clientes]]</f>
        <v>4.0101240065974569E-2</v>
      </c>
      <c r="L6" s="133">
        <f>Tab_Productos[[#This Row],[Pérdida RO]]/Tab_Productos[[#Totals],[Pérdida RO]]</f>
        <v>3.1024467281301853E-2</v>
      </c>
      <c r="M6" s="43" t="s">
        <v>356</v>
      </c>
      <c r="N6" s="43">
        <v>2</v>
      </c>
      <c r="O6" s="43"/>
      <c r="P6" s="45"/>
      <c r="Q6" s="85" t="s">
        <v>355</v>
      </c>
      <c r="R6" s="62" t="str">
        <f>IFERROR(VLOOKUP(Tab_Productos[[#This Row],[Producto]],Tab_Productos_RO_Detalle[[Producto AQP]:[Tipo de Cartera]],6,FALSE),"Ingresar información")</f>
        <v>Activo</v>
      </c>
    </row>
    <row r="7" spans="1:24" x14ac:dyDescent="0.3">
      <c r="A7" s="44" t="s">
        <v>164</v>
      </c>
      <c r="B7" s="130" t="s">
        <v>89</v>
      </c>
      <c r="C7" s="43">
        <v>5</v>
      </c>
      <c r="D7" s="47">
        <v>0</v>
      </c>
      <c r="E7" s="131">
        <v>1509934000</v>
      </c>
      <c r="F7" s="43">
        <v>1203225</v>
      </c>
      <c r="G7" s="46">
        <v>10048.805245901642</v>
      </c>
      <c r="H7" s="132">
        <f>Tab_Productos[[#This Row],[N° Objetivos Estrategicos]]/Tab_Productos[[#Totals],[N° Objetivos Estrategicos]]</f>
        <v>0.38461538461538464</v>
      </c>
      <c r="I7" s="132">
        <f>Tab_Productos[[#This Row],[Ingresos]]/Tab_Productos[[#Totals],[Ingresos]]</f>
        <v>0</v>
      </c>
      <c r="J7" s="132">
        <f>Tab_Productos[[#This Row],[Cartera / Saldo]]/Tab_Productos[[#Totals],[Cartera / Saldo]]</f>
        <v>0.12195624647931451</v>
      </c>
      <c r="K7" s="132">
        <f>Tab_Productos[[#This Row],[N° clientes]]/Tab_Productos[[#Totals],[N° clientes]]</f>
        <v>0.62584555272425968</v>
      </c>
      <c r="L7" s="133">
        <f>Tab_Productos[[#This Row],[Pérdida RO]]/Tab_Productos[[#Totals],[Pérdida RO]]</f>
        <v>1.9568782509273509E-2</v>
      </c>
      <c r="M7" s="43" t="s">
        <v>356</v>
      </c>
      <c r="N7" s="43">
        <v>1</v>
      </c>
      <c r="O7" s="43"/>
      <c r="P7" s="45"/>
      <c r="Q7" s="85" t="s">
        <v>356</v>
      </c>
      <c r="R7" s="62" t="str">
        <f>IFERROR(VLOOKUP(Tab_Productos[[#This Row],[Producto]],Tab_Productos_RO_Detalle[[Producto AQP]:[Tipo de Cartera]],6,FALSE),"Ingresar información")</f>
        <v>Pasivo</v>
      </c>
    </row>
    <row r="8" spans="1:24" x14ac:dyDescent="0.3">
      <c r="A8" s="44" t="s">
        <v>133</v>
      </c>
      <c r="B8" s="130" t="s">
        <v>89</v>
      </c>
      <c r="C8" s="43">
        <v>5</v>
      </c>
      <c r="D8" s="42">
        <v>36740790.82</v>
      </c>
      <c r="E8" s="47">
        <v>200695381.83000001</v>
      </c>
      <c r="F8" s="43">
        <v>11190</v>
      </c>
      <c r="G8" s="46">
        <v>36754.194117647065</v>
      </c>
      <c r="H8" s="132">
        <f>Tab_Productos[[#This Row],[N° Objetivos Estrategicos]]/Tab_Productos[[#Totals],[N° Objetivos Estrategicos]]</f>
        <v>0.38461538461538464</v>
      </c>
      <c r="I8" s="132">
        <f>Tab_Productos[[#This Row],[Ingresos]]/Tab_Productos[[#Totals],[Ingresos]]</f>
        <v>3.4333212730152954E-2</v>
      </c>
      <c r="J8" s="132">
        <f>Tab_Productos[[#This Row],[Cartera / Saldo]]/Tab_Productos[[#Totals],[Cartera / Saldo]]</f>
        <v>1.6210016764785493E-2</v>
      </c>
      <c r="K8" s="132">
        <f>Tab_Productos[[#This Row],[N° clientes]]/Tab_Productos[[#Totals],[N° clientes]]</f>
        <v>5.8203675413862465E-3</v>
      </c>
      <c r="L8" s="133">
        <f>Tab_Productos[[#This Row],[Pérdida RO]]/Tab_Productos[[#Totals],[Pérdida RO]]</f>
        <v>7.1574163633551541E-2</v>
      </c>
      <c r="M8" s="43" t="s">
        <v>356</v>
      </c>
      <c r="N8" s="43">
        <v>2</v>
      </c>
      <c r="O8" s="43"/>
      <c r="P8" s="45"/>
      <c r="Q8" s="85" t="s">
        <v>355</v>
      </c>
      <c r="R8" s="62" t="str">
        <f>IFERROR(VLOOKUP(Tab_Productos[[#This Row],[Producto]],Tab_Productos_RO_Detalle[[Producto AQP]:[Tipo de Cartera]],6,FALSE),"Ingresar información")</f>
        <v>Activo</v>
      </c>
    </row>
    <row r="9" spans="1:24" x14ac:dyDescent="0.3">
      <c r="A9" s="44" t="s">
        <v>140</v>
      </c>
      <c r="B9" s="130" t="s">
        <v>89</v>
      </c>
      <c r="C9" s="43">
        <v>5</v>
      </c>
      <c r="D9" s="47">
        <v>31054882.840000004</v>
      </c>
      <c r="E9" s="47">
        <v>128276772.09</v>
      </c>
      <c r="F9" s="43">
        <v>7553</v>
      </c>
      <c r="G9" s="46">
        <v>25611.051851851851</v>
      </c>
      <c r="H9" s="132">
        <f>Tab_Productos[[#This Row],[N° Objetivos Estrategicos]]/Tab_Productos[[#Totals],[N° Objetivos Estrategicos]]</f>
        <v>0.38461538461538464</v>
      </c>
      <c r="I9" s="132">
        <f>Tab_Productos[[#This Row],[Ingresos]]/Tab_Productos[[#Totals],[Ingresos]]</f>
        <v>2.9019895191676134E-2</v>
      </c>
      <c r="J9" s="132">
        <f>Tab_Productos[[#This Row],[Cartera / Saldo]]/Tab_Productos[[#Totals],[Cartera / Saldo]]</f>
        <v>1.036081950242785E-2</v>
      </c>
      <c r="K9" s="132">
        <f>Tab_Productos[[#This Row],[N° clientes]]/Tab_Productos[[#Totals],[N° clientes]]</f>
        <v>3.9286180554146842E-3</v>
      </c>
      <c r="L9" s="133">
        <f>Tab_Productos[[#This Row],[Pérdida RO]]/Tab_Productos[[#Totals],[Pérdida RO]]</f>
        <v>4.9874297616327889E-2</v>
      </c>
      <c r="M9" s="43" t="s">
        <v>356</v>
      </c>
      <c r="N9" s="43">
        <v>2</v>
      </c>
      <c r="O9" s="43"/>
      <c r="P9" s="45"/>
      <c r="Q9" s="85" t="s">
        <v>355</v>
      </c>
      <c r="R9" s="62" t="str">
        <f>IFERROR(VLOOKUP(Tab_Productos[[#This Row],[Producto]],Tab_Productos_RO_Detalle[[Producto AQP]:[Tipo de Cartera]],6,FALSE),"Ingresar información")</f>
        <v>Activo</v>
      </c>
    </row>
    <row r="10" spans="1:24" x14ac:dyDescent="0.3">
      <c r="A10" s="44" t="s">
        <v>153</v>
      </c>
      <c r="B10" s="130" t="s">
        <v>89</v>
      </c>
      <c r="C10" s="43">
        <v>4</v>
      </c>
      <c r="D10" s="47">
        <v>26944203.220000003</v>
      </c>
      <c r="E10" s="47">
        <v>194908213.10999998</v>
      </c>
      <c r="F10" s="43">
        <v>3090</v>
      </c>
      <c r="G10" s="46">
        <v>12222.263333333334</v>
      </c>
      <c r="H10" s="132">
        <f>Tab_Productos[[#This Row],[N° Objetivos Estrategicos]]/Tab_Productos[[#Totals],[N° Objetivos Estrategicos]]</f>
        <v>0.30769230769230771</v>
      </c>
      <c r="I10" s="132">
        <f>Tab_Productos[[#This Row],[Ingresos]]/Tab_Productos[[#Totals],[Ingresos]]</f>
        <v>2.5178583268086887E-2</v>
      </c>
      <c r="J10" s="132">
        <f>Tab_Productos[[#This Row],[Cartera / Saldo]]/Tab_Productos[[#Totals],[Cartera / Saldo]]</f>
        <v>1.5742591450279227E-2</v>
      </c>
      <c r="K10" s="132">
        <f>Tab_Productos[[#This Row],[N° clientes]]/Tab_Productos[[#Totals],[N° clientes]]</f>
        <v>1.6072328599538428E-3</v>
      </c>
      <c r="L10" s="133">
        <f>Tab_Productos[[#This Row],[Pérdida RO]]/Tab_Productos[[#Totals],[Pérdida RO]]</f>
        <v>2.3801318374501747E-2</v>
      </c>
      <c r="M10" s="43" t="s">
        <v>356</v>
      </c>
      <c r="N10" s="43">
        <v>2</v>
      </c>
      <c r="O10" s="43"/>
      <c r="P10" s="45"/>
      <c r="Q10" s="85" t="s">
        <v>355</v>
      </c>
      <c r="R10" s="62" t="str">
        <f>IFERROR(VLOOKUP(Tab_Productos[[#This Row],[Producto]],Tab_Productos_RO_Detalle[[Producto AQP]:[Tipo de Cartera]],6,FALSE),"Ingresar información")</f>
        <v>Activo</v>
      </c>
    </row>
    <row r="11" spans="1:24" x14ac:dyDescent="0.3">
      <c r="A11" s="44" t="s">
        <v>192</v>
      </c>
      <c r="B11" s="130" t="s">
        <v>185</v>
      </c>
      <c r="C11" s="43">
        <v>4</v>
      </c>
      <c r="D11" s="47">
        <v>18652146.559999999</v>
      </c>
      <c r="E11" s="47">
        <v>161254698.60999998</v>
      </c>
      <c r="F11" s="43">
        <v>280</v>
      </c>
      <c r="G11" s="46">
        <v>30600.57</v>
      </c>
      <c r="H11" s="132">
        <f>Tab_Productos[[#This Row],[N° Objetivos Estrategicos]]/Tab_Productos[[#Totals],[N° Objetivos Estrategicos]]</f>
        <v>0.30769230769230771</v>
      </c>
      <c r="I11" s="132">
        <f>Tab_Productos[[#This Row],[Ingresos]]/Tab_Productos[[#Totals],[Ingresos]]</f>
        <v>1.742989471445652E-2</v>
      </c>
      <c r="J11" s="132">
        <f>Tab_Productos[[#This Row],[Cartera / Saldo]]/Tab_Productos[[#Totals],[Cartera / Saldo]]</f>
        <v>1.3024422106945557E-2</v>
      </c>
      <c r="K11" s="132">
        <f>Tab_Productos[[#This Row],[N° clientes]]/Tab_Productos[[#Totals],[N° clientes]]</f>
        <v>1.4563922355568802E-4</v>
      </c>
      <c r="L11" s="133">
        <f>Tab_Productos[[#This Row],[Pérdida RO]]/Tab_Productos[[#Totals],[Pérdida RO]]</f>
        <v>5.9590755750194672E-2</v>
      </c>
      <c r="M11" s="43" t="s">
        <v>356</v>
      </c>
      <c r="N11" s="43">
        <v>3</v>
      </c>
      <c r="O11" s="43"/>
      <c r="P11" s="45"/>
      <c r="Q11" s="85" t="s">
        <v>355</v>
      </c>
      <c r="R11" s="62" t="str">
        <f>IFERROR(VLOOKUP(Tab_Productos[[#This Row],[Producto]],Tab_Productos_RO_Detalle[[Producto AQP]:[Tipo de Cartera]],6,FALSE),"Ingresar información")</f>
        <v>Activo</v>
      </c>
    </row>
    <row r="12" spans="1:24" x14ac:dyDescent="0.3">
      <c r="A12" s="44" t="s">
        <v>178</v>
      </c>
      <c r="B12" s="130" t="s">
        <v>89</v>
      </c>
      <c r="C12" s="43">
        <v>5</v>
      </c>
      <c r="D12" s="47">
        <v>0</v>
      </c>
      <c r="E12" s="131">
        <v>2455111000</v>
      </c>
      <c r="F12" s="43">
        <v>67477</v>
      </c>
      <c r="G12" s="46">
        <v>81186.671428571426</v>
      </c>
      <c r="H12" s="132">
        <f>Tab_Productos[[#This Row],[N° Objetivos Estrategicos]]/Tab_Productos[[#Totals],[N° Objetivos Estrategicos]]</f>
        <v>0.38461538461538464</v>
      </c>
      <c r="I12" s="132">
        <f>Tab_Productos[[#This Row],[Ingresos]]/Tab_Productos[[#Totals],[Ingresos]]</f>
        <v>0</v>
      </c>
      <c r="J12" s="132">
        <f>Tab_Productos[[#This Row],[Cartera / Saldo]]/Tab_Productos[[#Totals],[Cartera / Saldo]]</f>
        <v>0.19829748998967922</v>
      </c>
      <c r="K12" s="132">
        <f>Tab_Productos[[#This Row],[N° clientes]]/Tab_Productos[[#Totals],[N° clientes]]</f>
        <v>3.5097492456668433E-2</v>
      </c>
      <c r="L12" s="133">
        <f>Tab_Productos[[#This Row],[Pérdida RO]]/Tab_Productos[[#Totals],[Pérdida RO]]</f>
        <v>0.15810081666032066</v>
      </c>
      <c r="M12" s="43" t="s">
        <v>356</v>
      </c>
      <c r="N12" s="43">
        <v>1</v>
      </c>
      <c r="O12" s="43"/>
      <c r="P12" s="45"/>
      <c r="Q12" s="85" t="s">
        <v>356</v>
      </c>
      <c r="R12" s="62" t="str">
        <f>IFERROR(VLOOKUP(Tab_Productos[[#This Row],[Producto]],Tab_Productos_RO_Detalle[[Producto AQP]:[Tipo de Cartera]],6,FALSE),"Ingresar información")</f>
        <v>Pasivo</v>
      </c>
    </row>
    <row r="13" spans="1:24" x14ac:dyDescent="0.3">
      <c r="A13" s="44" t="s">
        <v>183</v>
      </c>
      <c r="B13" s="130" t="s">
        <v>89</v>
      </c>
      <c r="C13" s="43">
        <v>5</v>
      </c>
      <c r="D13" s="47">
        <v>0</v>
      </c>
      <c r="E13" s="131">
        <v>579357000</v>
      </c>
      <c r="F13" s="43">
        <v>60440</v>
      </c>
      <c r="G13" s="46">
        <v>3916.8672727272728</v>
      </c>
      <c r="H13" s="132">
        <f>Tab_Productos[[#This Row],[N° Objetivos Estrategicos]]/Tab_Productos[[#Totals],[N° Objetivos Estrategicos]]</f>
        <v>0.38461538461538464</v>
      </c>
      <c r="I13" s="132">
        <f>Tab_Productos[[#This Row],[Ingresos]]/Tab_Productos[[#Totals],[Ingresos]]</f>
        <v>0</v>
      </c>
      <c r="J13" s="132">
        <f>Tab_Productos[[#This Row],[Cartera / Saldo]]/Tab_Productos[[#Totals],[Cartera / Saldo]]</f>
        <v>4.6794234113223636E-2</v>
      </c>
      <c r="K13" s="132">
        <f>Tab_Productos[[#This Row],[N° clientes]]/Tab_Productos[[#Totals],[N° clientes]]</f>
        <v>3.1437266684663512E-2</v>
      </c>
      <c r="L13" s="133">
        <f>Tab_Productos[[#This Row],[Pérdida RO]]/Tab_Productos[[#Totals],[Pérdida RO]]</f>
        <v>7.6276056607776279E-3</v>
      </c>
      <c r="M13" s="43" t="s">
        <v>356</v>
      </c>
      <c r="N13" s="43">
        <v>2</v>
      </c>
      <c r="O13" s="43"/>
      <c r="P13" s="45"/>
      <c r="Q13" s="85" t="s">
        <v>356</v>
      </c>
      <c r="R13" s="62" t="str">
        <f>IFERROR(VLOOKUP(Tab_Productos[[#This Row],[Producto]],Tab_Productos_RO_Detalle[[Producto AQP]:[Tipo de Cartera]],6,FALSE),"Ingresar información")</f>
        <v>Pasivo</v>
      </c>
    </row>
    <row r="14" spans="1:24" x14ac:dyDescent="0.3">
      <c r="A14" s="44" t="s">
        <v>123</v>
      </c>
      <c r="B14" s="130" t="s">
        <v>89</v>
      </c>
      <c r="C14" s="43">
        <v>5</v>
      </c>
      <c r="D14" s="47">
        <v>34742789.959999979</v>
      </c>
      <c r="E14" s="47">
        <v>277439319.18999982</v>
      </c>
      <c r="F14" s="43">
        <v>1638</v>
      </c>
      <c r="G14" s="46">
        <v>28024.928000000004</v>
      </c>
      <c r="H14" s="132">
        <f>Tab_Productos[[#This Row],[N° Objetivos Estrategicos]]/Tab_Productos[[#Totals],[N° Objetivos Estrategicos]]</f>
        <v>0.38461538461538464</v>
      </c>
      <c r="I14" s="132">
        <f>Tab_Productos[[#This Row],[Ingresos]]/Tab_Productos[[#Totals],[Ingresos]]</f>
        <v>3.2466138368648798E-2</v>
      </c>
      <c r="J14" s="132">
        <f>Tab_Productos[[#This Row],[Cartera / Saldo]]/Tab_Productos[[#Totals],[Cartera / Saldo]]</f>
        <v>2.2408567522943935E-2</v>
      </c>
      <c r="K14" s="132">
        <f>Tab_Productos[[#This Row],[N° clientes]]/Tab_Productos[[#Totals],[N° clientes]]</f>
        <v>8.5198945780077487E-4</v>
      </c>
      <c r="L14" s="133">
        <f>Tab_Productos[[#This Row],[Pérdida RO]]/Tab_Productos[[#Totals],[Pérdida RO]]</f>
        <v>5.4575017372708805E-2</v>
      </c>
      <c r="M14" s="43" t="s">
        <v>356</v>
      </c>
      <c r="N14" s="43">
        <v>2</v>
      </c>
      <c r="O14" s="43"/>
      <c r="P14" s="45"/>
      <c r="Q14" s="85" t="s">
        <v>355</v>
      </c>
      <c r="R14" s="62" t="str">
        <f>IFERROR(VLOOKUP(Tab_Productos[[#This Row],[Producto]],Tab_Productos_RO_Detalle[[Producto AQP]:[Tipo de Cartera]],6,FALSE),"Ingresar información")</f>
        <v>Activo</v>
      </c>
    </row>
    <row r="15" spans="1:24" x14ac:dyDescent="0.3">
      <c r="A15" s="44" t="s">
        <v>228</v>
      </c>
      <c r="B15" s="130" t="s">
        <v>211</v>
      </c>
      <c r="C15" s="43">
        <v>1</v>
      </c>
      <c r="D15" s="47">
        <v>6989876.9900000002</v>
      </c>
      <c r="E15" s="47">
        <v>684657467.78999996</v>
      </c>
      <c r="F15" s="43">
        <v>6</v>
      </c>
      <c r="G15" s="46">
        <v>0</v>
      </c>
      <c r="H15" s="132">
        <f>Tab_Productos[[#This Row],[N° Objetivos Estrategicos]]/Tab_Productos[[#Totals],[N° Objetivos Estrategicos]]</f>
        <v>7.6923076923076927E-2</v>
      </c>
      <c r="I15" s="132">
        <f>Tab_Productos[[#This Row],[Ingresos]]/Tab_Productos[[#Totals],[Ingresos]]</f>
        <v>6.5318390894469926E-3</v>
      </c>
      <c r="J15" s="132">
        <f>Tab_Productos[[#This Row],[Cartera / Saldo]]/Tab_Productos[[#Totals],[Cartera / Saldo]]</f>
        <v>5.5299274601208113E-2</v>
      </c>
      <c r="K15" s="132">
        <f>Tab_Productos[[#This Row],[N° clientes]]/Tab_Productos[[#Totals],[N° clientes]]</f>
        <v>3.1208405047647431E-6</v>
      </c>
      <c r="L15" s="133">
        <f>Tab_Productos[[#This Row],[Pérdida RO]]/Tab_Productos[[#Totals],[Pérdida RO]]</f>
        <v>0</v>
      </c>
      <c r="M15" s="43" t="s">
        <v>356</v>
      </c>
      <c r="N15" s="43">
        <v>2</v>
      </c>
      <c r="O15" s="43"/>
      <c r="P15" s="45"/>
      <c r="Q15" s="85" t="s">
        <v>355</v>
      </c>
      <c r="R15" s="62" t="str">
        <f>IFERROR(VLOOKUP(Tab_Productos[[#This Row],[Producto]],Tab_Productos_RO_Detalle[[Producto AQP]:[Tipo de Cartera]],6,FALSE),"Ingresar información")</f>
        <v>Finanzas</v>
      </c>
    </row>
    <row r="16" spans="1:24" x14ac:dyDescent="0.3">
      <c r="A16" s="44" t="s">
        <v>313</v>
      </c>
      <c r="B16" s="130" t="s">
        <v>211</v>
      </c>
      <c r="C16" s="43">
        <v>1</v>
      </c>
      <c r="D16" s="47">
        <v>2687079.68</v>
      </c>
      <c r="E16" s="47">
        <v>456601001.19</v>
      </c>
      <c r="F16" s="43">
        <v>1</v>
      </c>
      <c r="G16" s="46">
        <v>0</v>
      </c>
      <c r="H16" s="132">
        <f>Tab_Productos[[#This Row],[N° Objetivos Estrategicos]]/Tab_Productos[[#Totals],[N° Objetivos Estrategicos]]</f>
        <v>7.6923076923076927E-2</v>
      </c>
      <c r="I16" s="132">
        <f>Tab_Productos[[#This Row],[Ingresos]]/Tab_Productos[[#Totals],[Ingresos]]</f>
        <v>2.5109987079018278E-3</v>
      </c>
      <c r="J16" s="132">
        <f>Tab_Productos[[#This Row],[Cartera / Saldo]]/Tab_Productos[[#Totals],[Cartera / Saldo]]</f>
        <v>3.6879323363689681E-2</v>
      </c>
      <c r="K16" s="132">
        <f>Tab_Productos[[#This Row],[N° clientes]]/Tab_Productos[[#Totals],[N° clientes]]</f>
        <v>5.2014008412745721E-7</v>
      </c>
      <c r="L16" s="133">
        <f>Tab_Productos[[#This Row],[Pérdida RO]]/Tab_Productos[[#Totals],[Pérdida RO]]</f>
        <v>0</v>
      </c>
      <c r="M16" s="43"/>
      <c r="N16" s="43"/>
      <c r="O16" s="43"/>
      <c r="P16" s="45"/>
      <c r="Q16" s="85" t="s">
        <v>355</v>
      </c>
      <c r="R16" s="62" t="str">
        <f>IFERROR(VLOOKUP(Tab_Productos[[#This Row],[Producto]],Tab_Productos_RO_Detalle[[Producto AQP]:[Tipo de Cartera]],6,FALSE),"Ingresar información")</f>
        <v>Ingresar información</v>
      </c>
    </row>
    <row r="17" spans="1:18" x14ac:dyDescent="0.3">
      <c r="A17" s="44" t="s">
        <v>264</v>
      </c>
      <c r="B17" s="130" t="s">
        <v>262</v>
      </c>
      <c r="C17" s="43">
        <v>1</v>
      </c>
      <c r="D17" s="47">
        <v>3869642.24</v>
      </c>
      <c r="E17" s="47">
        <v>68536830.829999998</v>
      </c>
      <c r="F17" s="43">
        <v>416</v>
      </c>
      <c r="G17" s="46">
        <v>0</v>
      </c>
      <c r="H17" s="132">
        <f>Tab_Productos[[#This Row],[N° Objetivos Estrategicos]]/Tab_Productos[[#Totals],[N° Objetivos Estrategicos]]</f>
        <v>7.6923076923076927E-2</v>
      </c>
      <c r="I17" s="132">
        <f>Tab_Productos[[#This Row],[Ingresos]]/Tab_Productos[[#Totals],[Ingresos]]</f>
        <v>3.6160694217606281E-3</v>
      </c>
      <c r="J17" s="132">
        <f>Tab_Productos[[#This Row],[Cartera / Saldo]]/Tab_Productos[[#Totals],[Cartera / Saldo]]</f>
        <v>5.5356688660660406E-3</v>
      </c>
      <c r="K17" s="132">
        <f>Tab_Productos[[#This Row],[N° clientes]]/Tab_Productos[[#Totals],[N° clientes]]</f>
        <v>2.163782749970222E-4</v>
      </c>
      <c r="L17" s="133">
        <f>Tab_Productos[[#This Row],[Pérdida RO]]/Tab_Productos[[#Totals],[Pérdida RO]]</f>
        <v>0</v>
      </c>
      <c r="M17" s="43" t="s">
        <v>356</v>
      </c>
      <c r="N17" s="43">
        <v>6</v>
      </c>
      <c r="O17" s="43"/>
      <c r="P17" s="45"/>
      <c r="Q17" s="85" t="s">
        <v>355</v>
      </c>
      <c r="R17" s="62" t="str">
        <f>IFERROR(VLOOKUP(Tab_Productos[[#This Row],[Producto]],Tab_Productos_RO_Detalle[[Producto AQP]:[Tipo de Cartera]],6,FALSE),"Ingresar información")</f>
        <v>Servicios</v>
      </c>
    </row>
    <row r="18" spans="1:18" x14ac:dyDescent="0.3">
      <c r="A18" s="44" t="s">
        <v>206</v>
      </c>
      <c r="B18" s="130" t="s">
        <v>185</v>
      </c>
      <c r="C18" s="43">
        <v>4</v>
      </c>
      <c r="D18" s="47">
        <v>0</v>
      </c>
      <c r="E18" s="131">
        <v>300581000</v>
      </c>
      <c r="F18" s="43">
        <v>25348</v>
      </c>
      <c r="G18" s="46">
        <v>5059</v>
      </c>
      <c r="H18" s="132">
        <f>Tab_Productos[[#This Row],[N° Objetivos Estrategicos]]/Tab_Productos[[#Totals],[N° Objetivos Estrategicos]]</f>
        <v>0.30769230769230771</v>
      </c>
      <c r="I18" s="132">
        <f>Tab_Productos[[#This Row],[Ingresos]]/Tab_Productos[[#Totals],[Ingresos]]</f>
        <v>0</v>
      </c>
      <c r="J18" s="132">
        <f>Tab_Productos[[#This Row],[Cartera / Saldo]]/Tab_Productos[[#Totals],[Cartera / Saldo]]</f>
        <v>2.4277703875135493E-2</v>
      </c>
      <c r="K18" s="132">
        <f>Tab_Productos[[#This Row],[N° clientes]]/Tab_Productos[[#Totals],[N° clientes]]</f>
        <v>1.3184510852462786E-2</v>
      </c>
      <c r="L18" s="133">
        <f>Tab_Productos[[#This Row],[Pérdida RO]]/Tab_Productos[[#Totals],[Pérdida RO]]</f>
        <v>9.8517652886934738E-3</v>
      </c>
      <c r="M18" s="43" t="s">
        <v>356</v>
      </c>
      <c r="N18" s="43">
        <v>1</v>
      </c>
      <c r="O18" s="43"/>
      <c r="P18" s="45"/>
      <c r="Q18" s="85" t="s">
        <v>355</v>
      </c>
      <c r="R18" s="62" t="str">
        <f>IFERROR(VLOOKUP(Tab_Productos[[#This Row],[Producto]],Tab_Productos_RO_Detalle[[Producto AQP]:[Tipo de Cartera]],6,FALSE),"Ingresar información")</f>
        <v>Pasivo</v>
      </c>
    </row>
    <row r="19" spans="1:18" x14ac:dyDescent="0.3">
      <c r="A19" s="48" t="s">
        <v>271</v>
      </c>
      <c r="B19" s="83" t="s">
        <v>269</v>
      </c>
      <c r="C19" s="43">
        <v>2</v>
      </c>
      <c r="D19" s="42">
        <v>19917030.91</v>
      </c>
      <c r="E19" s="47">
        <v>0</v>
      </c>
      <c r="F19" s="43">
        <v>70416</v>
      </c>
      <c r="G19" s="46">
        <v>0</v>
      </c>
      <c r="H19" s="132">
        <f>Tab_Productos[[#This Row],[N° Objetivos Estrategicos]]/Tab_Productos[[#Totals],[N° Objetivos Estrategicos]]</f>
        <v>0.15384615384615385</v>
      </c>
      <c r="I19" s="132">
        <f>Tab_Productos[[#This Row],[Ingresos]]/Tab_Productos[[#Totals],[Ingresos]]</f>
        <v>1.8611892774333644E-2</v>
      </c>
      <c r="J19" s="132">
        <f>Tab_Productos[[#This Row],[Cartera / Saldo]]/Tab_Productos[[#Totals],[Cartera / Saldo]]</f>
        <v>0</v>
      </c>
      <c r="K19" s="132">
        <f>Tab_Productos[[#This Row],[N° clientes]]/Tab_Productos[[#Totals],[N° clientes]]</f>
        <v>3.6626184163919023E-2</v>
      </c>
      <c r="L19" s="133">
        <f>Tab_Productos[[#This Row],[Pérdida RO]]/Tab_Productos[[#Totals],[Pérdida RO]]</f>
        <v>0</v>
      </c>
      <c r="M19" s="43" t="s">
        <v>356</v>
      </c>
      <c r="N19" s="43">
        <v>18</v>
      </c>
      <c r="O19" s="43"/>
      <c r="P19" s="45"/>
      <c r="Q19" s="85" t="s">
        <v>355</v>
      </c>
      <c r="R19" s="62" t="str">
        <f>IFERROR(VLOOKUP(Tab_Productos[[#This Row],[Producto]],Tab_Productos_RO_Detalle[[Producto AQP]:[Tipo de Cartera]],6,FALSE),"Ingresar información")</f>
        <v>Ingresar información</v>
      </c>
    </row>
    <row r="20" spans="1:18" x14ac:dyDescent="0.3">
      <c r="A20" s="48" t="s">
        <v>217</v>
      </c>
      <c r="B20" s="83" t="s">
        <v>211</v>
      </c>
      <c r="C20" s="43">
        <v>1</v>
      </c>
      <c r="D20" s="49">
        <v>5483124.2799999714</v>
      </c>
      <c r="E20" s="47">
        <v>0</v>
      </c>
      <c r="F20" s="50">
        <v>18820</v>
      </c>
      <c r="G20" s="46">
        <v>0</v>
      </c>
      <c r="H20" s="132">
        <f>Tab_Productos[[#This Row],[N° Objetivos Estrategicos]]/Tab_Productos[[#Totals],[N° Objetivos Estrategicos]]</f>
        <v>7.6923076923076927E-2</v>
      </c>
      <c r="I20" s="132">
        <f>Tab_Productos[[#This Row],[Ingresos]]/Tab_Productos[[#Totals],[Ingresos]]</f>
        <v>5.1238220008217499E-3</v>
      </c>
      <c r="J20" s="132">
        <f>Tab_Productos[[#This Row],[Cartera / Saldo]]/Tab_Productos[[#Totals],[Cartera / Saldo]]</f>
        <v>0</v>
      </c>
      <c r="K20" s="132">
        <f>Tab_Productos[[#This Row],[N° clientes]]/Tab_Productos[[#Totals],[N° clientes]]</f>
        <v>9.7890363832787448E-3</v>
      </c>
      <c r="L20" s="133">
        <f>Tab_Productos[[#This Row],[Pérdida RO]]/Tab_Productos[[#Totals],[Pérdida RO]]</f>
        <v>0</v>
      </c>
      <c r="M20" s="43" t="s">
        <v>356</v>
      </c>
      <c r="N20" s="43">
        <v>6</v>
      </c>
      <c r="O20" s="43"/>
      <c r="P20" s="45"/>
      <c r="Q20" s="85" t="s">
        <v>355</v>
      </c>
      <c r="R20" s="62" t="str">
        <f>IFERROR(VLOOKUP(Tab_Productos[[#This Row],[Producto]],Tab_Productos_RO_Detalle[[Producto AQP]:[Tipo de Cartera]],6,FALSE),"Ingresar información")</f>
        <v>Finanzas</v>
      </c>
    </row>
    <row r="21" spans="1:18" x14ac:dyDescent="0.3">
      <c r="A21" s="48" t="s">
        <v>241</v>
      </c>
      <c r="B21" s="83" t="s">
        <v>211</v>
      </c>
      <c r="C21" s="43">
        <v>1</v>
      </c>
      <c r="D21" s="42">
        <v>0</v>
      </c>
      <c r="E21" s="47">
        <v>381887885.22000003</v>
      </c>
      <c r="F21" s="43">
        <v>4</v>
      </c>
      <c r="G21" s="46">
        <v>0</v>
      </c>
      <c r="H21" s="132">
        <f>Tab_Productos[[#This Row],[N° Objetivos Estrategicos]]/Tab_Productos[[#Totals],[N° Objetivos Estrategicos]]</f>
        <v>7.6923076923076927E-2</v>
      </c>
      <c r="I21" s="132">
        <f>Tab_Productos[[#This Row],[Ingresos]]/Tab_Productos[[#Totals],[Ingresos]]</f>
        <v>0</v>
      </c>
      <c r="J21" s="132">
        <f>Tab_Productos[[#This Row],[Cartera / Saldo]]/Tab_Productos[[#Totals],[Cartera / Saldo]]</f>
        <v>3.0844800539198726E-2</v>
      </c>
      <c r="K21" s="132">
        <f>Tab_Productos[[#This Row],[N° clientes]]/Tab_Productos[[#Totals],[N° clientes]]</f>
        <v>2.0805603365098289E-6</v>
      </c>
      <c r="L21" s="133">
        <f>Tab_Productos[[#This Row],[Pérdida RO]]/Tab_Productos[[#Totals],[Pérdida RO]]</f>
        <v>0</v>
      </c>
      <c r="M21" s="43"/>
      <c r="N21" s="43"/>
      <c r="O21" s="43"/>
      <c r="P21" s="45"/>
      <c r="Q21" s="85" t="s">
        <v>355</v>
      </c>
      <c r="R21" s="62" t="str">
        <f>IFERROR(VLOOKUP(Tab_Productos[[#This Row],[Producto]],Tab_Productos_RO_Detalle[[Producto AQP]:[Tipo de Cartera]],6,FALSE),"Ingresar información")</f>
        <v>Finanzas</v>
      </c>
    </row>
    <row r="22" spans="1:18" x14ac:dyDescent="0.3">
      <c r="A22" s="48" t="s">
        <v>224</v>
      </c>
      <c r="B22" s="83" t="s">
        <v>211</v>
      </c>
      <c r="C22" s="43">
        <v>1</v>
      </c>
      <c r="D22" s="42">
        <v>0</v>
      </c>
      <c r="E22" s="47">
        <v>467927789.47000003</v>
      </c>
      <c r="F22" s="43">
        <v>1</v>
      </c>
      <c r="G22" s="46">
        <v>0</v>
      </c>
      <c r="H22" s="132">
        <f>Tab_Productos[[#This Row],[N° Objetivos Estrategicos]]/Tab_Productos[[#Totals],[N° Objetivos Estrategicos]]</f>
        <v>7.6923076923076927E-2</v>
      </c>
      <c r="I22" s="132">
        <f>Tab_Productos[[#This Row],[Ingresos]]/Tab_Productos[[#Totals],[Ingresos]]</f>
        <v>0</v>
      </c>
      <c r="J22" s="132">
        <f>Tab_Productos[[#This Row],[Cartera / Saldo]]/Tab_Productos[[#Totals],[Cartera / Saldo]]</f>
        <v>3.7794179631112423E-2</v>
      </c>
      <c r="K22" s="132">
        <f>Tab_Productos[[#This Row],[N° clientes]]/Tab_Productos[[#Totals],[N° clientes]]</f>
        <v>5.2014008412745721E-7</v>
      </c>
      <c r="L22" s="133">
        <f>Tab_Productos[[#This Row],[Pérdida RO]]/Tab_Productos[[#Totals],[Pérdida RO]]</f>
        <v>0</v>
      </c>
      <c r="M22" s="43" t="s">
        <v>356</v>
      </c>
      <c r="N22" s="43">
        <v>1</v>
      </c>
      <c r="O22" s="43"/>
      <c r="P22" s="45"/>
      <c r="Q22" s="85" t="s">
        <v>355</v>
      </c>
      <c r="R22" s="62" t="str">
        <f>IFERROR(VLOOKUP(Tab_Productos[[#This Row],[Producto]],Tab_Productos_RO_Detalle[[Producto AQP]:[Tipo de Cartera]],6,FALSE),"Ingresar información")</f>
        <v>Finanzas</v>
      </c>
    </row>
    <row r="23" spans="1:18" x14ac:dyDescent="0.3">
      <c r="A23" s="48" t="s">
        <v>143</v>
      </c>
      <c r="B23" s="83" t="s">
        <v>89</v>
      </c>
      <c r="C23" s="43">
        <v>4</v>
      </c>
      <c r="D23" s="42">
        <v>1490151.5199999998</v>
      </c>
      <c r="E23" s="47">
        <v>10194690.939999999</v>
      </c>
      <c r="F23" s="43">
        <v>218</v>
      </c>
      <c r="G23" s="46">
        <v>21151.690000000002</v>
      </c>
      <c r="H23" s="132">
        <f>Tab_Productos[[#This Row],[N° Objetivos Estrategicos]]/Tab_Productos[[#Totals],[N° Objetivos Estrategicos]]</f>
        <v>0.30769230769230771</v>
      </c>
      <c r="I23" s="132">
        <f>Tab_Productos[[#This Row],[Ingresos]]/Tab_Productos[[#Totals],[Ingresos]]</f>
        <v>1.3925037538514466E-3</v>
      </c>
      <c r="J23" s="132">
        <f>Tab_Productos[[#This Row],[Cartera / Saldo]]/Tab_Productos[[#Totals],[Cartera / Saldo]]</f>
        <v>8.2341760703386665E-4</v>
      </c>
      <c r="K23" s="132">
        <f>Tab_Productos[[#This Row],[N° clientes]]/Tab_Productos[[#Totals],[N° clientes]]</f>
        <v>1.1339053833978567E-4</v>
      </c>
      <c r="L23" s="133">
        <f>Tab_Productos[[#This Row],[Pérdida RO]]/Tab_Productos[[#Totals],[Pérdida RO]]</f>
        <v>4.1190252093141901E-2</v>
      </c>
      <c r="M23" s="43" t="s">
        <v>356</v>
      </c>
      <c r="N23" s="43">
        <v>2</v>
      </c>
      <c r="O23" s="43"/>
      <c r="P23" s="45"/>
      <c r="Q23" s="85" t="s">
        <v>355</v>
      </c>
      <c r="R23" s="62" t="str">
        <f>IFERROR(VLOOKUP(Tab_Productos[[#This Row],[Producto]],Tab_Productos_RO_Detalle[[Producto AQP]:[Tipo de Cartera]],6,FALSE),"Ingresar información")</f>
        <v>Activo</v>
      </c>
    </row>
    <row r="24" spans="1:18" x14ac:dyDescent="0.3">
      <c r="A24" s="48" t="s">
        <v>187</v>
      </c>
      <c r="B24" s="83" t="s">
        <v>185</v>
      </c>
      <c r="C24" s="43">
        <v>1</v>
      </c>
      <c r="D24" s="42">
        <v>3995022.71</v>
      </c>
      <c r="E24" s="47">
        <v>25000000</v>
      </c>
      <c r="F24" s="43">
        <v>1</v>
      </c>
      <c r="G24" s="46">
        <v>0</v>
      </c>
      <c r="H24" s="132">
        <f>Tab_Productos[[#This Row],[N° Objetivos Estrategicos]]/Tab_Productos[[#Totals],[N° Objetivos Estrategicos]]</f>
        <v>7.6923076923076927E-2</v>
      </c>
      <c r="I24" s="132">
        <f>Tab_Productos[[#This Row],[Ingresos]]/Tab_Productos[[#Totals],[Ingresos]]</f>
        <v>3.733233866309635E-3</v>
      </c>
      <c r="J24" s="132">
        <f>Tab_Productos[[#This Row],[Cartera / Saldo]]/Tab_Productos[[#Totals],[Cartera / Saldo]]</f>
        <v>2.0192314114278256E-3</v>
      </c>
      <c r="K24" s="132">
        <f>Tab_Productos[[#This Row],[N° clientes]]/Tab_Productos[[#Totals],[N° clientes]]</f>
        <v>5.2014008412745721E-7</v>
      </c>
      <c r="L24" s="133">
        <f>Tab_Productos[[#This Row],[Pérdida RO]]/Tab_Productos[[#Totals],[Pérdida RO]]</f>
        <v>0</v>
      </c>
      <c r="M24" s="43"/>
      <c r="N24" s="43"/>
      <c r="O24" s="43"/>
      <c r="P24" s="45"/>
      <c r="Q24" s="85" t="s">
        <v>355</v>
      </c>
      <c r="R24" s="62" t="str">
        <f>IFERROR(VLOOKUP(Tab_Productos[[#This Row],[Producto]],Tab_Productos_RO_Detalle[[Producto AQP]:[Tipo de Cartera]],6,FALSE),"Ingresar información")</f>
        <v>Pasivo</v>
      </c>
    </row>
    <row r="25" spans="1:18" x14ac:dyDescent="0.3">
      <c r="A25" s="48" t="s">
        <v>115</v>
      </c>
      <c r="B25" s="83" t="s">
        <v>89</v>
      </c>
      <c r="C25" s="43">
        <v>4</v>
      </c>
      <c r="D25" s="42">
        <v>2502639.86</v>
      </c>
      <c r="E25" s="47">
        <v>4487462.04</v>
      </c>
      <c r="F25" s="43">
        <v>2909</v>
      </c>
      <c r="G25" s="46">
        <v>771.79</v>
      </c>
      <c r="H25" s="132">
        <f>Tab_Productos[[#This Row],[N° Objetivos Estrategicos]]/Tab_Productos[[#Totals],[N° Objetivos Estrategicos]]</f>
        <v>0.30769230769230771</v>
      </c>
      <c r="I25" s="132">
        <f>Tab_Productos[[#This Row],[Ingresos]]/Tab_Productos[[#Totals],[Ingresos]]</f>
        <v>2.3386449987235253E-3</v>
      </c>
      <c r="J25" s="132">
        <f>Tab_Productos[[#This Row],[Cartera / Saldo]]/Tab_Productos[[#Totals],[Cartera / Saldo]]</f>
        <v>3.6244897235031959E-4</v>
      </c>
      <c r="K25" s="132">
        <f>Tab_Productos[[#This Row],[N° clientes]]/Tab_Productos[[#Totals],[N° clientes]]</f>
        <v>1.5130875047267729E-3</v>
      </c>
      <c r="L25" s="133">
        <f>Tab_Productos[[#This Row],[Pérdida RO]]/Tab_Productos[[#Totals],[Pérdida RO]]</f>
        <v>1.5029638134336303E-3</v>
      </c>
      <c r="M25" s="43" t="s">
        <v>356</v>
      </c>
      <c r="N25" s="43">
        <v>2</v>
      </c>
      <c r="O25" s="43"/>
      <c r="P25" s="45"/>
      <c r="Q25" s="85" t="s">
        <v>355</v>
      </c>
      <c r="R25" s="62" t="str">
        <f>IFERROR(VLOOKUP(Tab_Productos[[#This Row],[Producto]],Tab_Productos_RO_Detalle[[Producto AQP]:[Tipo de Cartera]],6,FALSE),"Ingresar información")</f>
        <v>Activo</v>
      </c>
    </row>
    <row r="26" spans="1:18" x14ac:dyDescent="0.3">
      <c r="A26" s="48" t="s">
        <v>312</v>
      </c>
      <c r="B26" s="83" t="s">
        <v>89</v>
      </c>
      <c r="C26" s="43">
        <v>4</v>
      </c>
      <c r="D26" s="42">
        <v>3624143.98</v>
      </c>
      <c r="E26" s="47">
        <v>24428007.68</v>
      </c>
      <c r="F26" s="43">
        <v>2670</v>
      </c>
      <c r="G26" s="46">
        <v>0</v>
      </c>
      <c r="H26" s="132">
        <f>Tab_Productos[[#This Row],[N° Objetivos Estrategicos]]/Tab_Productos[[#Totals],[N° Objetivos Estrategicos]]</f>
        <v>0.30769230769230771</v>
      </c>
      <c r="I26" s="132">
        <f>Tab_Productos[[#This Row],[Ingresos]]/Tab_Productos[[#Totals],[Ingresos]]</f>
        <v>3.3866583558215088E-3</v>
      </c>
      <c r="J26" s="132">
        <f>Tab_Productos[[#This Row],[Cartera / Saldo]]/Tab_Productos[[#Totals],[Cartera / Saldo]]</f>
        <v>1.9730320170422465E-3</v>
      </c>
      <c r="K26" s="132">
        <f>Tab_Productos[[#This Row],[N° clientes]]/Tab_Productos[[#Totals],[N° clientes]]</f>
        <v>1.3887740246203107E-3</v>
      </c>
      <c r="L26" s="133">
        <f>Tab_Productos[[#This Row],[Pérdida RO]]/Tab_Productos[[#Totals],[Pérdida RO]]</f>
        <v>0</v>
      </c>
      <c r="M26" s="43"/>
      <c r="N26" s="43"/>
      <c r="O26" s="43"/>
      <c r="P26" s="45"/>
      <c r="Q26" s="85" t="s">
        <v>355</v>
      </c>
      <c r="R26" s="62" t="str">
        <f>IFERROR(VLOOKUP(Tab_Productos[[#This Row],[Producto]],Tab_Productos_RO_Detalle[[Producto AQP]:[Tipo de Cartera]],6,FALSE),"Ingresar información")</f>
        <v>Ingresar información</v>
      </c>
    </row>
    <row r="27" spans="1:18" x14ac:dyDescent="0.3">
      <c r="A27" s="48" t="s">
        <v>194</v>
      </c>
      <c r="B27" s="83" t="s">
        <v>185</v>
      </c>
      <c r="C27" s="43">
        <v>4</v>
      </c>
      <c r="D27" s="42">
        <v>1232554.2</v>
      </c>
      <c r="E27" s="47">
        <v>46981623.109999999</v>
      </c>
      <c r="F27" s="43">
        <v>277</v>
      </c>
      <c r="G27" s="46">
        <v>0</v>
      </c>
      <c r="H27" s="132">
        <f>Tab_Productos[[#This Row],[N° Objetivos Estrategicos]]/Tab_Productos[[#Totals],[N° Objetivos Estrategicos]]</f>
        <v>0.30769230769230771</v>
      </c>
      <c r="I27" s="132">
        <f>Tab_Productos[[#This Row],[Ingresos]]/Tab_Productos[[#Totals],[Ingresos]]</f>
        <v>1.1517864641881295E-3</v>
      </c>
      <c r="J27" s="132">
        <f>Tab_Productos[[#This Row],[Cartera / Saldo]]/Tab_Productos[[#Totals],[Cartera / Saldo]]</f>
        <v>3.794670765743018E-3</v>
      </c>
      <c r="K27" s="132">
        <f>Tab_Productos[[#This Row],[N° clientes]]/Tab_Productos[[#Totals],[N° clientes]]</f>
        <v>1.4407880330330564E-4</v>
      </c>
      <c r="L27" s="133">
        <f>Tab_Productos[[#This Row],[Pérdida RO]]/Tab_Productos[[#Totals],[Pérdida RO]]</f>
        <v>0</v>
      </c>
      <c r="M27" s="43" t="s">
        <v>356</v>
      </c>
      <c r="N27" s="43">
        <v>3</v>
      </c>
      <c r="O27" s="43"/>
      <c r="P27" s="45"/>
      <c r="Q27" s="85" t="s">
        <v>355</v>
      </c>
      <c r="R27" s="62" t="str">
        <f>IFERROR(VLOOKUP(Tab_Productos[[#This Row],[Producto]],Tab_Productos_RO_Detalle[[Producto AQP]:[Tipo de Cartera]],6,FALSE),"Ingresar información")</f>
        <v>Activo</v>
      </c>
    </row>
    <row r="28" spans="1:18" x14ac:dyDescent="0.3">
      <c r="A28" s="48" t="s">
        <v>196</v>
      </c>
      <c r="B28" s="83" t="s">
        <v>185</v>
      </c>
      <c r="C28" s="43">
        <v>4</v>
      </c>
      <c r="D28" s="42">
        <v>1572882.65</v>
      </c>
      <c r="E28" s="47">
        <v>12373170.84</v>
      </c>
      <c r="F28" s="43">
        <v>128</v>
      </c>
      <c r="G28" s="46">
        <v>0</v>
      </c>
      <c r="H28" s="132">
        <f>Tab_Productos[[#This Row],[N° Objetivos Estrategicos]]/Tab_Productos[[#Totals],[N° Objetivos Estrategicos]]</f>
        <v>0.30769230769230771</v>
      </c>
      <c r="I28" s="132">
        <f>Tab_Productos[[#This Row],[Ingresos]]/Tab_Productos[[#Totals],[Ingresos]]</f>
        <v>1.4698136163313186E-3</v>
      </c>
      <c r="J28" s="132">
        <f>Tab_Productos[[#This Row],[Cartera / Saldo]]/Tab_Productos[[#Totals],[Cartera / Saldo]]</f>
        <v>9.9937180876363265E-4</v>
      </c>
      <c r="K28" s="132">
        <f>Tab_Productos[[#This Row],[N° clientes]]/Tab_Productos[[#Totals],[N° clientes]]</f>
        <v>6.6577930768314523E-5</v>
      </c>
      <c r="L28" s="133">
        <f>Tab_Productos[[#This Row],[Pérdida RO]]/Tab_Productos[[#Totals],[Pérdida RO]]</f>
        <v>0</v>
      </c>
      <c r="M28" s="43" t="s">
        <v>356</v>
      </c>
      <c r="N28" s="43">
        <v>3</v>
      </c>
      <c r="O28" s="43"/>
      <c r="P28" s="45"/>
      <c r="Q28" s="85" t="s">
        <v>355</v>
      </c>
      <c r="R28" s="62" t="str">
        <f>IFERROR(VLOOKUP(Tab_Productos[[#This Row],[Producto]],Tab_Productos_RO_Detalle[[Producto AQP]:[Tipo de Cartera]],6,FALSE),"Ingresar información")</f>
        <v>Activo</v>
      </c>
    </row>
    <row r="29" spans="1:18" x14ac:dyDescent="0.3">
      <c r="A29" s="48" t="s">
        <v>213</v>
      </c>
      <c r="B29" s="83" t="s">
        <v>211</v>
      </c>
      <c r="C29" s="43">
        <v>1</v>
      </c>
      <c r="D29" s="49">
        <v>1268781.4699999976</v>
      </c>
      <c r="E29" s="47">
        <v>0</v>
      </c>
      <c r="F29" s="43">
        <v>7</v>
      </c>
      <c r="G29" s="46">
        <v>0</v>
      </c>
      <c r="H29" s="132">
        <f>Tab_Productos[[#This Row],[N° Objetivos Estrategicos]]/Tab_Productos[[#Totals],[N° Objetivos Estrategicos]]</f>
        <v>7.6923076923076927E-2</v>
      </c>
      <c r="I29" s="132">
        <f>Tab_Productos[[#This Row],[Ingresos]]/Tab_Productos[[#Totals],[Ingresos]]</f>
        <v>1.1856398064756216E-3</v>
      </c>
      <c r="J29" s="132">
        <f>Tab_Productos[[#This Row],[Cartera / Saldo]]/Tab_Productos[[#Totals],[Cartera / Saldo]]</f>
        <v>0</v>
      </c>
      <c r="K29" s="132">
        <f>Tab_Productos[[#This Row],[N° clientes]]/Tab_Productos[[#Totals],[N° clientes]]</f>
        <v>3.6409805888922004E-6</v>
      </c>
      <c r="L29" s="133">
        <f>Tab_Productos[[#This Row],[Pérdida RO]]/Tab_Productos[[#Totals],[Pérdida RO]]</f>
        <v>0</v>
      </c>
      <c r="M29" s="43" t="s">
        <v>356</v>
      </c>
      <c r="N29" s="43">
        <v>2</v>
      </c>
      <c r="O29" s="43"/>
      <c r="P29" s="45"/>
      <c r="Q29" s="85" t="s">
        <v>355</v>
      </c>
      <c r="R29" s="62" t="str">
        <f>IFERROR(VLOOKUP(Tab_Productos[[#This Row],[Producto]],Tab_Productos_RO_Detalle[[Producto AQP]:[Tipo de Cartera]],6,FALSE),"Ingresar información")</f>
        <v>Finanzas</v>
      </c>
    </row>
    <row r="30" spans="1:18" x14ac:dyDescent="0.3">
      <c r="A30" s="48" t="s">
        <v>233</v>
      </c>
      <c r="B30" s="83" t="s">
        <v>211</v>
      </c>
      <c r="C30" s="43">
        <v>1</v>
      </c>
      <c r="D30" s="42">
        <v>1904256.96</v>
      </c>
      <c r="E30" s="47">
        <v>0</v>
      </c>
      <c r="F30" s="43">
        <v>5</v>
      </c>
      <c r="G30" s="46">
        <v>0</v>
      </c>
      <c r="H30" s="132">
        <f>Tab_Productos[[#This Row],[N° Objetivos Estrategicos]]/Tab_Productos[[#Totals],[N° Objetivos Estrategicos]]</f>
        <v>7.6923076923076927E-2</v>
      </c>
      <c r="I30" s="132">
        <f>Tab_Productos[[#This Row],[Ingresos]]/Tab_Productos[[#Totals],[Ingresos]]</f>
        <v>1.7794733820744243E-3</v>
      </c>
      <c r="J30" s="132">
        <f>Tab_Productos[[#This Row],[Cartera / Saldo]]/Tab_Productos[[#Totals],[Cartera / Saldo]]</f>
        <v>0</v>
      </c>
      <c r="K30" s="132">
        <f>Tab_Productos[[#This Row],[N° clientes]]/Tab_Productos[[#Totals],[N° clientes]]</f>
        <v>2.6007004206372862E-6</v>
      </c>
      <c r="L30" s="133">
        <f>Tab_Productos[[#This Row],[Pérdida RO]]/Tab_Productos[[#Totals],[Pérdida RO]]</f>
        <v>0</v>
      </c>
      <c r="M30" s="43" t="s">
        <v>356</v>
      </c>
      <c r="N30" s="43">
        <v>3</v>
      </c>
      <c r="O30" s="43"/>
      <c r="P30" s="45"/>
      <c r="Q30" s="85" t="s">
        <v>355</v>
      </c>
      <c r="R30" s="62" t="str">
        <f>IFERROR(VLOOKUP(Tab_Productos[[#This Row],[Producto]],Tab_Productos_RO_Detalle[[Producto AQP]:[Tipo de Cartera]],6,FALSE),"Ingresar información")</f>
        <v>Finanzas</v>
      </c>
    </row>
    <row r="31" spans="1:18" x14ac:dyDescent="0.3">
      <c r="A31" s="48" t="s">
        <v>209</v>
      </c>
      <c r="B31" s="83" t="s">
        <v>185</v>
      </c>
      <c r="C31" s="43">
        <v>4</v>
      </c>
      <c r="D31" s="42">
        <v>0</v>
      </c>
      <c r="E31" s="131">
        <v>59627000</v>
      </c>
      <c r="F31" s="43">
        <v>129</v>
      </c>
      <c r="G31" s="46">
        <v>0</v>
      </c>
      <c r="H31" s="132">
        <f>Tab_Productos[[#This Row],[N° Objetivos Estrategicos]]/Tab_Productos[[#Totals],[N° Objetivos Estrategicos]]</f>
        <v>0.30769230769230771</v>
      </c>
      <c r="I31" s="132">
        <f>Tab_Productos[[#This Row],[Ingresos]]/Tab_Productos[[#Totals],[Ingresos]]</f>
        <v>0</v>
      </c>
      <c r="J31" s="132">
        <f>Tab_Productos[[#This Row],[Cartera / Saldo]]/Tab_Productos[[#Totals],[Cartera / Saldo]]</f>
        <v>4.8160284547682786E-3</v>
      </c>
      <c r="K31" s="132">
        <f>Tab_Productos[[#This Row],[N° clientes]]/Tab_Productos[[#Totals],[N° clientes]]</f>
        <v>6.7098070852441983E-5</v>
      </c>
      <c r="L31" s="133">
        <f>Tab_Productos[[#This Row],[Pérdida RO]]/Tab_Productos[[#Totals],[Pérdida RO]]</f>
        <v>0</v>
      </c>
      <c r="M31" s="43" t="s">
        <v>356</v>
      </c>
      <c r="N31" s="43">
        <v>1</v>
      </c>
      <c r="O31" s="43"/>
      <c r="P31" s="45"/>
      <c r="Q31" s="85" t="s">
        <v>355</v>
      </c>
      <c r="R31" s="62" t="str">
        <f>IFERROR(VLOOKUP(Tab_Productos[[#This Row],[Producto]],Tab_Productos_RO_Detalle[[Producto AQP]:[Tipo de Cartera]],6,FALSE),"Ingresar información")</f>
        <v>Pasivo</v>
      </c>
    </row>
    <row r="32" spans="1:18" x14ac:dyDescent="0.3">
      <c r="A32" s="48" t="s">
        <v>255</v>
      </c>
      <c r="B32" s="83" t="s">
        <v>211</v>
      </c>
      <c r="C32" s="43">
        <v>1</v>
      </c>
      <c r="D32" s="42">
        <v>0</v>
      </c>
      <c r="E32" s="47">
        <v>77640000</v>
      </c>
      <c r="F32" s="43">
        <v>3</v>
      </c>
      <c r="G32" s="46">
        <v>0</v>
      </c>
      <c r="H32" s="132">
        <f>Tab_Productos[[#This Row],[N° Objetivos Estrategicos]]/Tab_Productos[[#Totals],[N° Objetivos Estrategicos]]</f>
        <v>7.6923076923076927E-2</v>
      </c>
      <c r="I32" s="132">
        <f>Tab_Productos[[#This Row],[Ingresos]]/Tab_Productos[[#Totals],[Ingresos]]</f>
        <v>0</v>
      </c>
      <c r="J32" s="132">
        <f>Tab_Productos[[#This Row],[Cartera / Saldo]]/Tab_Productos[[#Totals],[Cartera / Saldo]]</f>
        <v>6.270925071330256E-3</v>
      </c>
      <c r="K32" s="132">
        <f>Tab_Productos[[#This Row],[N° clientes]]/Tab_Productos[[#Totals],[N° clientes]]</f>
        <v>1.5604202523823715E-6</v>
      </c>
      <c r="L32" s="133">
        <f>Tab_Productos[[#This Row],[Pérdida RO]]/Tab_Productos[[#Totals],[Pérdida RO]]</f>
        <v>0</v>
      </c>
      <c r="M32" s="43"/>
      <c r="N32" s="43"/>
      <c r="O32" s="43"/>
      <c r="P32" s="45"/>
      <c r="Q32" s="85" t="s">
        <v>355</v>
      </c>
      <c r="R32" s="62" t="str">
        <f>IFERROR(VLOOKUP(Tab_Productos[[#This Row],[Producto]],Tab_Productos_RO_Detalle[[Producto AQP]:[Tipo de Cartera]],6,FALSE),"Ingresar información")</f>
        <v>Finanzas</v>
      </c>
    </row>
    <row r="33" spans="1:19" x14ac:dyDescent="0.3">
      <c r="A33" s="48" t="s">
        <v>311</v>
      </c>
      <c r="B33" s="83" t="s">
        <v>269</v>
      </c>
      <c r="C33" s="43">
        <v>3</v>
      </c>
      <c r="D33" s="42">
        <v>1214555.8899999999</v>
      </c>
      <c r="E33" s="47">
        <v>0</v>
      </c>
      <c r="F33" s="43">
        <v>19535</v>
      </c>
      <c r="G33" s="46">
        <v>0</v>
      </c>
      <c r="H33" s="132">
        <f>Tab_Productos[[#This Row],[N° Objetivos Estrategicos]]/Tab_Productos[[#Totals],[N° Objetivos Estrategicos]]</f>
        <v>0.23076923076923078</v>
      </c>
      <c r="I33" s="132">
        <f>Tab_Productos[[#This Row],[Ingresos]]/Tab_Productos[[#Totals],[Ingresos]]</f>
        <v>1.1349675609413092E-3</v>
      </c>
      <c r="J33" s="132">
        <f>Tab_Productos[[#This Row],[Cartera / Saldo]]/Tab_Productos[[#Totals],[Cartera / Saldo]]</f>
        <v>0</v>
      </c>
      <c r="K33" s="132">
        <f>Tab_Productos[[#This Row],[N° clientes]]/Tab_Productos[[#Totals],[N° clientes]]</f>
        <v>1.0160936543429876E-2</v>
      </c>
      <c r="L33" s="133">
        <f>Tab_Productos[[#This Row],[Pérdida RO]]/Tab_Productos[[#Totals],[Pérdida RO]]</f>
        <v>0</v>
      </c>
      <c r="M33" s="43"/>
      <c r="N33" s="43"/>
      <c r="O33" s="43"/>
      <c r="P33" s="45"/>
      <c r="Q33" s="85" t="s">
        <v>355</v>
      </c>
      <c r="R33" s="62" t="str">
        <f>IFERROR(VLOOKUP(Tab_Productos[[#This Row],[Producto]],Tab_Productos_RO_Detalle[[Producto AQP]:[Tipo de Cartera]],6,FALSE),"Ingresar información")</f>
        <v>Ingresar información</v>
      </c>
    </row>
    <row r="34" spans="1:19" x14ac:dyDescent="0.3">
      <c r="A34" s="48" t="s">
        <v>236</v>
      </c>
      <c r="B34" s="83" t="s">
        <v>211</v>
      </c>
      <c r="C34" s="43">
        <v>1</v>
      </c>
      <c r="D34" s="42">
        <v>41734.53</v>
      </c>
      <c r="E34" s="47">
        <v>0</v>
      </c>
      <c r="F34" s="43">
        <v>5</v>
      </c>
      <c r="G34" s="46">
        <v>42521.880000000005</v>
      </c>
      <c r="H34" s="132">
        <f>Tab_Productos[[#This Row],[N° Objetivos Estrategicos]]/Tab_Productos[[#Totals],[N° Objetivos Estrategicos]]</f>
        <v>7.6923076923076927E-2</v>
      </c>
      <c r="I34" s="132">
        <f>Tab_Productos[[#This Row],[Ingresos]]/Tab_Productos[[#Totals],[Ingresos]]</f>
        <v>3.8999718424758456E-5</v>
      </c>
      <c r="J34" s="132">
        <f>Tab_Productos[[#This Row],[Cartera / Saldo]]/Tab_Productos[[#Totals],[Cartera / Saldo]]</f>
        <v>0</v>
      </c>
      <c r="K34" s="132">
        <f>Tab_Productos[[#This Row],[N° clientes]]/Tab_Productos[[#Totals],[N° clientes]]</f>
        <v>2.6007004206372862E-6</v>
      </c>
      <c r="L34" s="133">
        <f>Tab_Productos[[#This Row],[Pérdida RO]]/Tab_Productos[[#Totals],[Pérdida RO]]</f>
        <v>8.2806005414902017E-2</v>
      </c>
      <c r="M34" s="43"/>
      <c r="N34" s="43"/>
      <c r="O34" s="43"/>
      <c r="P34" s="45"/>
      <c r="Q34" s="85" t="s">
        <v>355</v>
      </c>
      <c r="R34" s="62" t="str">
        <f>IFERROR(VLOOKUP(Tab_Productos[[#This Row],[Producto]],Tab_Productos_RO_Detalle[[Producto AQP]:[Tipo de Cartera]],6,FALSE),"Ingresar información")</f>
        <v>Finanzas</v>
      </c>
    </row>
    <row r="35" spans="1:19" x14ac:dyDescent="0.3">
      <c r="A35" s="48" t="s">
        <v>111</v>
      </c>
      <c r="B35" s="83" t="s">
        <v>89</v>
      </c>
      <c r="C35" s="43">
        <v>4</v>
      </c>
      <c r="D35" s="42">
        <v>788955.93</v>
      </c>
      <c r="E35" s="47">
        <v>3691476.96</v>
      </c>
      <c r="F35" s="43">
        <v>65</v>
      </c>
      <c r="G35" s="46">
        <v>3998.9966666666664</v>
      </c>
      <c r="H35" s="132">
        <f>Tab_Productos[[#This Row],[N° Objetivos Estrategicos]]/Tab_Productos[[#Totals],[N° Objetivos Estrategicos]]</f>
        <v>0.30769230769230771</v>
      </c>
      <c r="I35" s="132">
        <f>Tab_Productos[[#This Row],[Ingresos]]/Tab_Productos[[#Totals],[Ingresos]]</f>
        <v>7.3725663424371727E-4</v>
      </c>
      <c r="J35" s="132">
        <f>Tab_Productos[[#This Row],[Cartera / Saldo]]/Tab_Productos[[#Totals],[Cartera / Saldo]]</f>
        <v>2.9815784928776399E-4</v>
      </c>
      <c r="K35" s="132">
        <f>Tab_Productos[[#This Row],[N° clientes]]/Tab_Productos[[#Totals],[N° clientes]]</f>
        <v>3.3809105468284721E-5</v>
      </c>
      <c r="L35" s="133">
        <f>Tab_Productos[[#This Row],[Pérdida RO]]/Tab_Productos[[#Totals],[Pérdida RO]]</f>
        <v>7.7875423107862368E-3</v>
      </c>
      <c r="M35" s="43" t="s">
        <v>356</v>
      </c>
      <c r="N35" s="43">
        <v>2</v>
      </c>
      <c r="O35" s="43"/>
      <c r="P35" s="45"/>
      <c r="Q35" s="85" t="s">
        <v>355</v>
      </c>
      <c r="R35" s="62" t="str">
        <f>IFERROR(VLOOKUP(Tab_Productos[[#This Row],[Producto]],Tab_Productos_RO_Detalle[[Producto AQP]:[Tipo de Cartera]],6,FALSE),"Ingresar información")</f>
        <v>Activo</v>
      </c>
    </row>
    <row r="36" spans="1:19" x14ac:dyDescent="0.3">
      <c r="A36" s="48" t="s">
        <v>146</v>
      </c>
      <c r="B36" s="83" t="s">
        <v>89</v>
      </c>
      <c r="C36" s="43">
        <v>5</v>
      </c>
      <c r="D36" s="42">
        <v>85094.57</v>
      </c>
      <c r="E36" s="47">
        <v>2630550.4499999997</v>
      </c>
      <c r="F36" s="43">
        <v>30</v>
      </c>
      <c r="G36" s="46">
        <v>0</v>
      </c>
      <c r="H36" s="132">
        <f>Tab_Productos[[#This Row],[N° Objetivos Estrategicos]]/Tab_Productos[[#Totals],[N° Objetivos Estrategicos]]</f>
        <v>0.38461538461538464</v>
      </c>
      <c r="I36" s="132">
        <f>Tab_Productos[[#This Row],[Ingresos]]/Tab_Productos[[#Totals],[Ingresos]]</f>
        <v>7.9518429211396385E-5</v>
      </c>
      <c r="J36" s="132">
        <f>Tab_Productos[[#This Row],[Cartera / Saldo]]/Tab_Productos[[#Totals],[Cartera / Saldo]]</f>
        <v>2.1246760391942406E-4</v>
      </c>
      <c r="K36" s="132">
        <f>Tab_Productos[[#This Row],[N° clientes]]/Tab_Productos[[#Totals],[N° clientes]]</f>
        <v>1.5604202523823715E-5</v>
      </c>
      <c r="L36" s="133">
        <f>Tab_Productos[[#This Row],[Pérdida RO]]/Tab_Productos[[#Totals],[Pérdida RO]]</f>
        <v>0</v>
      </c>
      <c r="M36" s="43" t="s">
        <v>356</v>
      </c>
      <c r="N36" s="43">
        <v>3</v>
      </c>
      <c r="O36" s="43"/>
      <c r="P36" s="45"/>
      <c r="Q36" s="85" t="s">
        <v>355</v>
      </c>
      <c r="R36" s="62" t="str">
        <f>IFERROR(VLOOKUP(Tab_Productos[[#This Row],[Producto]],Tab_Productos_RO_Detalle[[Producto AQP]:[Tipo de Cartera]],6,FALSE),"Ingresar información")</f>
        <v>Activo</v>
      </c>
    </row>
    <row r="37" spans="1:19" x14ac:dyDescent="0.3">
      <c r="A37" s="48" t="s">
        <v>201</v>
      </c>
      <c r="B37" s="83" t="s">
        <v>185</v>
      </c>
      <c r="C37" s="43">
        <v>4</v>
      </c>
      <c r="D37" s="42">
        <v>153346.92000000001</v>
      </c>
      <c r="E37" s="47">
        <v>784232.91</v>
      </c>
      <c r="F37" s="43">
        <v>4</v>
      </c>
      <c r="G37" s="46">
        <v>0</v>
      </c>
      <c r="H37" s="132">
        <f>Tab_Productos[[#This Row],[N° Objetivos Estrategicos]]/Tab_Productos[[#Totals],[N° Objetivos Estrategicos]]</f>
        <v>0.30769230769230771</v>
      </c>
      <c r="I37" s="132">
        <f>Tab_Productos[[#This Row],[Ingresos]]/Tab_Productos[[#Totals],[Ingresos]]</f>
        <v>1.4329828804359273E-4</v>
      </c>
      <c r="J37" s="132">
        <f>Tab_Productos[[#This Row],[Cartera / Saldo]]/Tab_Productos[[#Totals],[Cartera / Saldo]]</f>
        <v>6.3341909029898043E-5</v>
      </c>
      <c r="K37" s="132">
        <f>Tab_Productos[[#This Row],[N° clientes]]/Tab_Productos[[#Totals],[N° clientes]]</f>
        <v>2.0805603365098289E-6</v>
      </c>
      <c r="L37" s="133">
        <f>Tab_Productos[[#This Row],[Pérdida RO]]/Tab_Productos[[#Totals],[Pérdida RO]]</f>
        <v>0</v>
      </c>
      <c r="M37" s="43" t="s">
        <v>356</v>
      </c>
      <c r="N37" s="43">
        <v>3</v>
      </c>
      <c r="O37" s="43"/>
      <c r="P37" s="45"/>
      <c r="Q37" s="85" t="s">
        <v>355</v>
      </c>
      <c r="R37" s="62" t="str">
        <f>IFERROR(VLOOKUP(Tab_Productos[[#This Row],[Producto]],Tab_Productos_RO_Detalle[[Producto AQP]:[Tipo de Cartera]],6,FALSE),"Ingresar información")</f>
        <v>Activo</v>
      </c>
    </row>
    <row r="38" spans="1:19" x14ac:dyDescent="0.3">
      <c r="A38" s="48" t="s">
        <v>246</v>
      </c>
      <c r="B38" s="83" t="s">
        <v>211</v>
      </c>
      <c r="C38" s="43">
        <v>1</v>
      </c>
      <c r="D38" s="42">
        <v>834293.34</v>
      </c>
      <c r="E38" s="47">
        <v>14682404.609999999</v>
      </c>
      <c r="F38" s="43">
        <v>5</v>
      </c>
      <c r="G38" s="46">
        <v>0</v>
      </c>
      <c r="H38" s="132">
        <f>Tab_Productos[[#This Row],[N° Objetivos Estrategicos]]/Tab_Productos[[#Totals],[N° Objetivos Estrategicos]]</f>
        <v>7.6923076923076927E-2</v>
      </c>
      <c r="I38" s="132">
        <f>Tab_Productos[[#This Row],[Ingresos]]/Tab_Productos[[#Totals],[Ingresos]]</f>
        <v>7.7962314044632277E-4</v>
      </c>
      <c r="J38" s="132">
        <f>Tab_Productos[[#This Row],[Cartera / Saldo]]/Tab_Productos[[#Totals],[Cartera / Saldo]]</f>
        <v>1.1858869033521886E-3</v>
      </c>
      <c r="K38" s="132">
        <f>Tab_Productos[[#This Row],[N° clientes]]/Tab_Productos[[#Totals],[N° clientes]]</f>
        <v>2.6007004206372862E-6</v>
      </c>
      <c r="L38" s="133">
        <f>Tab_Productos[[#This Row],[Pérdida RO]]/Tab_Productos[[#Totals],[Pérdida RO]]</f>
        <v>0</v>
      </c>
      <c r="M38" s="43" t="s">
        <v>356</v>
      </c>
      <c r="N38" s="43">
        <v>2</v>
      </c>
      <c r="O38" s="43"/>
      <c r="P38" s="45"/>
      <c r="Q38" s="85" t="s">
        <v>355</v>
      </c>
      <c r="R38" s="62" t="str">
        <f>IFERROR(VLOOKUP(Tab_Productos[[#This Row],[Producto]],Tab_Productos_RO_Detalle[[Producto AQP]:[Tipo de Cartera]],6,FALSE),"Ingresar información")</f>
        <v>Finanzas</v>
      </c>
    </row>
    <row r="39" spans="1:19" x14ac:dyDescent="0.3">
      <c r="A39" s="44" t="s">
        <v>203</v>
      </c>
      <c r="B39" s="130" t="s">
        <v>185</v>
      </c>
      <c r="C39" s="43">
        <v>4</v>
      </c>
      <c r="D39" s="42">
        <v>0</v>
      </c>
      <c r="E39" s="47">
        <v>915302.5</v>
      </c>
      <c r="F39" s="43">
        <v>6</v>
      </c>
      <c r="G39" s="46">
        <v>0</v>
      </c>
      <c r="H39" s="132">
        <f>Tab_Productos[[#This Row],[N° Objetivos Estrategicos]]/Tab_Productos[[#Totals],[N° Objetivos Estrategicos]]</f>
        <v>0.30769230769230771</v>
      </c>
      <c r="I39" s="132">
        <f>Tab_Productos[[#This Row],[Ingresos]]/Tab_Productos[[#Totals],[Ingresos]]</f>
        <v>0</v>
      </c>
      <c r="J39" s="132">
        <f>Tab_Productos[[#This Row],[Cartera / Saldo]]/Tab_Productos[[#Totals],[Cartera / Saldo]]</f>
        <v>7.3928302358336692E-5</v>
      </c>
      <c r="K39" s="134">
        <f>Tab_Productos[[#This Row],[N° clientes]]/Tab_Productos[[#Totals],[N° clientes]]</f>
        <v>3.1208405047647431E-6</v>
      </c>
      <c r="L39" s="133">
        <f>Tab_Productos[[#This Row],[Pérdida RO]]/Tab_Productos[[#Totals],[Pérdida RO]]</f>
        <v>0</v>
      </c>
      <c r="M39" s="43" t="s">
        <v>356</v>
      </c>
      <c r="N39" s="43">
        <v>3</v>
      </c>
      <c r="O39" s="43"/>
      <c r="P39" s="45"/>
      <c r="Q39" s="85" t="s">
        <v>355</v>
      </c>
      <c r="R39" s="62" t="str">
        <f>IFERROR(VLOOKUP(Tab_Productos[[#This Row],[Producto]],Tab_Productos_RO_Detalle[[Producto AQP]:[Tipo de Cartera]],6,FALSE),"Ingresar información")</f>
        <v>Activo</v>
      </c>
      <c r="S39" s="96"/>
    </row>
    <row r="40" spans="1:19" x14ac:dyDescent="0.3">
      <c r="A40" s="111" t="s">
        <v>467</v>
      </c>
      <c r="B40" s="112" t="str">
        <f>+Tab_Productos[[#Totals],[Producto]]</f>
        <v>Total</v>
      </c>
      <c r="C40" s="113" t="s">
        <v>772</v>
      </c>
      <c r="D40" s="118">
        <f>SUBTOTAL(109,Tab_Productos[Ingresos])</f>
        <v>1070123880.0099999</v>
      </c>
      <c r="E40" s="118">
        <f>SUBTOTAL(109,Tab_Productos[Cartera / Saldo])</f>
        <v>12380948443.310003</v>
      </c>
      <c r="F40" s="119">
        <f>SUBTOTAL(109,Tab_Productos[N° clientes])</f>
        <v>1922559</v>
      </c>
      <c r="G40" s="120">
        <f>SUBTOTAL(109,Tab_Productos[Pérdida RO])</f>
        <v>513512.03076326201</v>
      </c>
      <c r="H40" s="115"/>
      <c r="I40" s="114">
        <f>SUBTOTAL(109,Tab_Productos[Ingresos (%)])</f>
        <v>1</v>
      </c>
      <c r="J40" s="114">
        <f>SUBTOTAL(109,Tab_Productos[Cartera / Saldo (%)])</f>
        <v>0.99999999999999956</v>
      </c>
      <c r="K40" s="114">
        <f>SUBTOTAL(109,Tab_Productos[N° clientes (%)])</f>
        <v>1</v>
      </c>
      <c r="L40" s="116">
        <f>SUBTOTAL(109,Tab_Productos[Pérdida RO (%)])</f>
        <v>1</v>
      </c>
      <c r="M40" s="113">
        <f>COUNTIFS(Tab_Productos[Parte del Plan],"Si")</f>
        <v>31</v>
      </c>
      <c r="N40" s="113">
        <f>COUNTIFS(Tab_Productos[Parte del Plan],"Si",Tab_Productos[RTO PCN],"&lt;=4")</f>
        <v>27</v>
      </c>
      <c r="O40" s="113"/>
      <c r="P40" s="115"/>
      <c r="Q40" s="117">
        <f>COUNTA(Tab_Productos[PCI - directo])</f>
        <v>38</v>
      </c>
      <c r="R40" s="113">
        <f>SUBTOTAL(103,Tab_Productos[Tipo Cartera])</f>
        <v>38</v>
      </c>
    </row>
    <row r="44" spans="1:19" x14ac:dyDescent="0.3">
      <c r="D44" s="41"/>
      <c r="E44" s="41"/>
      <c r="F44" s="41"/>
    </row>
    <row r="45" spans="1:19" x14ac:dyDescent="0.3">
      <c r="N45" t="s">
        <v>478</v>
      </c>
    </row>
  </sheetData>
  <mergeCells count="1">
    <mergeCell ref="T1:X1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>
    <tabColor theme="5" tint="-0.249977111117893"/>
  </sheetPr>
  <dimension ref="A1:Q11"/>
  <sheetViews>
    <sheetView workbookViewId="0">
      <pane xSplit="2" ySplit="1" topLeftCell="C2" activePane="bottomRight" state="frozen"/>
      <selection pane="topRight" activeCell="D1" sqref="D1"/>
      <selection pane="bottomLeft" activeCell="A3" sqref="A3"/>
      <selection pane="bottomRight" activeCell="B15" sqref="B15"/>
    </sheetView>
  </sheetViews>
  <sheetFormatPr baseColWidth="10" defaultColWidth="11.44140625" defaultRowHeight="14.4" x14ac:dyDescent="0.3"/>
  <cols>
    <col min="1" max="1" width="28.44140625" bestFit="1" customWidth="1"/>
    <col min="2" max="2" width="29.109375" customWidth="1"/>
    <col min="3" max="3" width="27.5546875" customWidth="1"/>
    <col min="4" max="4" width="18.5546875" customWidth="1"/>
    <col min="5" max="5" width="19.44140625" customWidth="1"/>
    <col min="6" max="6" width="30.5546875" customWidth="1"/>
    <col min="7" max="7" width="14.6640625" customWidth="1"/>
    <col min="8" max="8" width="30.6640625" customWidth="1"/>
    <col min="9" max="9" width="17.44140625" customWidth="1"/>
    <col min="10" max="10" width="22.6640625" customWidth="1"/>
    <col min="11" max="11" width="33.6640625" customWidth="1"/>
    <col min="12" max="12" width="17.88671875" customWidth="1"/>
    <col min="13" max="13" width="16.88671875" customWidth="1"/>
    <col min="14" max="14" width="12.33203125" customWidth="1"/>
    <col min="15" max="15" width="24.6640625" customWidth="1"/>
    <col min="16" max="16" width="19.33203125" customWidth="1"/>
    <col min="17" max="17" width="17.109375" customWidth="1"/>
  </cols>
  <sheetData>
    <row r="1" spans="1:17" ht="46.2" customHeight="1" thickBot="1" x14ac:dyDescent="0.35">
      <c r="A1" s="86" t="s">
        <v>320</v>
      </c>
      <c r="B1" s="56" t="s">
        <v>79</v>
      </c>
      <c r="C1" s="53" t="s">
        <v>324</v>
      </c>
      <c r="D1" s="53" t="s">
        <v>323</v>
      </c>
      <c r="E1" s="53" t="s">
        <v>321</v>
      </c>
      <c r="F1" s="53" t="s">
        <v>333</v>
      </c>
      <c r="G1" s="53" t="s">
        <v>315</v>
      </c>
      <c r="H1" s="57" t="s">
        <v>458</v>
      </c>
      <c r="I1" s="57" t="s">
        <v>463</v>
      </c>
      <c r="J1" s="57" t="s">
        <v>464</v>
      </c>
      <c r="K1" s="57" t="s">
        <v>465</v>
      </c>
      <c r="L1" s="57" t="s">
        <v>462</v>
      </c>
      <c r="M1" s="64" t="s">
        <v>326</v>
      </c>
      <c r="N1" s="64" t="s">
        <v>327</v>
      </c>
      <c r="O1" s="65" t="s">
        <v>445</v>
      </c>
      <c r="P1" s="52" t="s">
        <v>329</v>
      </c>
      <c r="Q1" s="84" t="s">
        <v>330</v>
      </c>
    </row>
    <row r="2" spans="1:17" x14ac:dyDescent="0.3">
      <c r="A2" s="48" t="s">
        <v>287</v>
      </c>
      <c r="B2" s="58" t="s">
        <v>286</v>
      </c>
      <c r="C2" s="59">
        <v>3</v>
      </c>
      <c r="D2" s="66">
        <v>4771576.55</v>
      </c>
      <c r="E2" s="48">
        <v>47</v>
      </c>
      <c r="F2" s="48">
        <v>3958</v>
      </c>
      <c r="G2" s="66">
        <v>17743.363269230769</v>
      </c>
      <c r="H2" s="127">
        <f>Tab_Proc_soporte[[#This Row],[N° Objetivos Estrategicos]]/Tab_Proc_soporte[[#Totals],[N° Objetivos Estrategicos]]</f>
        <v>0.25</v>
      </c>
      <c r="I2" s="127">
        <f>Tab_Proc_soporte[[#This Row],[Gasto Real]]/Tab_Proc_soporte[[#Totals],[Gasto Real]]</f>
        <v>3.7196446051604069E-2</v>
      </c>
      <c r="J2" s="127">
        <f>Tab_Proc_soporte[[#This Row],[N° productos RO]]/Tab_Proc_soporte[[#Totals],[N° productos RO]]</f>
        <v>1</v>
      </c>
      <c r="K2" s="127">
        <f>Tab_Proc_soporte[[#This Row],[N° personas (colaboradores)]]/Tab_Proc_soporte[[#Totals],[N° personas (colaboradores)]]</f>
        <v>1</v>
      </c>
      <c r="L2" s="127">
        <f>Tab_Proc_soporte[[#This Row],[Pérdida RO]]/Tab_Proc_soporte[[#Totals],[Pérdida RO]]</f>
        <v>6.6831264210403488E-2</v>
      </c>
      <c r="M2" s="43" t="s">
        <v>355</v>
      </c>
      <c r="N2" s="43"/>
      <c r="O2" s="43"/>
      <c r="P2" s="45"/>
      <c r="Q2" s="85" t="s">
        <v>356</v>
      </c>
    </row>
    <row r="3" spans="1:17" x14ac:dyDescent="0.3">
      <c r="A3" s="48" t="s">
        <v>292</v>
      </c>
      <c r="B3" s="58" t="s">
        <v>286</v>
      </c>
      <c r="C3" s="59">
        <v>4</v>
      </c>
      <c r="D3" s="66">
        <v>10375716.93</v>
      </c>
      <c r="E3" s="48">
        <v>47</v>
      </c>
      <c r="F3" s="48">
        <v>487</v>
      </c>
      <c r="G3" s="66">
        <v>63521.365384615368</v>
      </c>
      <c r="H3" s="127">
        <f>Tab_Proc_soporte[[#This Row],[N° Objetivos Estrategicos]]/Tab_Proc_soporte[[#Totals],[N° Objetivos Estrategicos]]</f>
        <v>0.33333333333333331</v>
      </c>
      <c r="I3" s="127">
        <f>Tab_Proc_soporte[[#This Row],[Gasto Real]]/Tab_Proc_soporte[[#Totals],[Gasto Real]]</f>
        <v>8.0883077320316701E-2</v>
      </c>
      <c r="J3" s="127">
        <f>Tab_Proc_soporte[[#This Row],[N° productos RO]]/Tab_Proc_soporte[[#Totals],[N° productos RO]]</f>
        <v>1</v>
      </c>
      <c r="K3" s="127">
        <f>Tab_Proc_soporte[[#This Row],[N° personas (colaboradores)]]/Tab_Proc_soporte[[#Totals],[N° personas (colaboradores)]]</f>
        <v>0.12304194037392623</v>
      </c>
      <c r="L3" s="127">
        <f>Tab_Proc_soporte[[#This Row],[Pérdida RO]]/Tab_Proc_soporte[[#Totals],[Pérdida RO]]</f>
        <v>0.23925639624290077</v>
      </c>
      <c r="M3" s="97" t="s">
        <v>355</v>
      </c>
      <c r="N3" s="43"/>
      <c r="O3" s="43"/>
      <c r="P3" s="45"/>
      <c r="Q3" s="85" t="s">
        <v>356</v>
      </c>
    </row>
    <row r="4" spans="1:17" x14ac:dyDescent="0.3">
      <c r="A4" s="48" t="s">
        <v>296</v>
      </c>
      <c r="B4" s="58" t="s">
        <v>286</v>
      </c>
      <c r="C4" s="59">
        <v>4</v>
      </c>
      <c r="D4" s="66">
        <v>86359390.399999961</v>
      </c>
      <c r="E4" s="48">
        <v>35</v>
      </c>
      <c r="F4" s="48">
        <v>982</v>
      </c>
      <c r="G4" s="66">
        <v>45263.288499999988</v>
      </c>
      <c r="H4" s="127">
        <f>Tab_Proc_soporte[[#This Row],[N° Objetivos Estrategicos]]/Tab_Proc_soporte[[#Totals],[N° Objetivos Estrategicos]]</f>
        <v>0.33333333333333331</v>
      </c>
      <c r="I4" s="127">
        <f>Tab_Proc_soporte[[#This Row],[Gasto Real]]/Tab_Proc_soporte[[#Totals],[Gasto Real]]</f>
        <v>0.67320776946626015</v>
      </c>
      <c r="J4" s="127">
        <f>Tab_Proc_soporte[[#This Row],[N° productos RO]]/Tab_Proc_soporte[[#Totals],[N° productos RO]]</f>
        <v>0.74468085106382975</v>
      </c>
      <c r="K4" s="127">
        <f>Tab_Proc_soporte[[#This Row],[N° personas (colaboradores)]]/Tab_Proc_soporte[[#Totals],[N° personas (colaboradores)]]</f>
        <v>0.24810510358767054</v>
      </c>
      <c r="L4" s="127">
        <f>Tab_Proc_soporte[[#This Row],[Pérdida RO]]/Tab_Proc_soporte[[#Totals],[Pérdida RO]]</f>
        <v>0.17048643748510484</v>
      </c>
      <c r="M4" s="97" t="s">
        <v>356</v>
      </c>
      <c r="N4" s="43">
        <v>4</v>
      </c>
      <c r="O4" s="43"/>
      <c r="P4" s="45"/>
      <c r="Q4" s="85" t="s">
        <v>355</v>
      </c>
    </row>
    <row r="5" spans="1:17" x14ac:dyDescent="0.3">
      <c r="A5" s="59" t="s">
        <v>308</v>
      </c>
      <c r="B5" s="58" t="s">
        <v>286</v>
      </c>
      <c r="C5" s="59">
        <v>5</v>
      </c>
      <c r="D5" s="67">
        <v>2160049.65</v>
      </c>
      <c r="E5" s="48">
        <v>32</v>
      </c>
      <c r="F5" s="59">
        <v>916</v>
      </c>
      <c r="G5" s="66">
        <v>7765.7714285714255</v>
      </c>
      <c r="H5" s="127">
        <f>Tab_Proc_soporte[[#This Row],[N° Objetivos Estrategicos]]/Tab_Proc_soporte[[#Totals],[N° Objetivos Estrategicos]]</f>
        <v>0.41666666666666669</v>
      </c>
      <c r="I5" s="127">
        <f>Tab_Proc_soporte[[#This Row],[Gasto Real]]/Tab_Proc_soporte[[#Totals],[Gasto Real]]</f>
        <v>1.6838495502081226E-2</v>
      </c>
      <c r="J5" s="127">
        <f>Tab_Proc_soporte[[#This Row],[N° productos RO]]/Tab_Proc_soporte[[#Totals],[N° productos RO]]</f>
        <v>0.68085106382978722</v>
      </c>
      <c r="K5" s="127">
        <f>Tab_Proc_soporte[[#This Row],[N° personas (colaboradores)]]/Tab_Proc_soporte[[#Totals],[N° personas (colaboradores)]]</f>
        <v>0.2314300151591713</v>
      </c>
      <c r="L5" s="127">
        <f>Tab_Proc_soporte[[#This Row],[Pérdida RO]]/Tab_Proc_soporte[[#Totals],[Pérdida RO]]</f>
        <v>2.9250166062961953E-2</v>
      </c>
      <c r="M5" s="43" t="s">
        <v>356</v>
      </c>
      <c r="N5" s="43">
        <v>4</v>
      </c>
      <c r="O5" s="43"/>
      <c r="P5" s="45"/>
      <c r="Q5" s="85" t="s">
        <v>355</v>
      </c>
    </row>
    <row r="6" spans="1:17" x14ac:dyDescent="0.3">
      <c r="A6" s="48" t="s">
        <v>322</v>
      </c>
      <c r="B6" s="58" t="s">
        <v>286</v>
      </c>
      <c r="C6" s="59">
        <v>4</v>
      </c>
      <c r="D6" s="66">
        <v>1150044.8099999996</v>
      </c>
      <c r="E6" s="48">
        <v>47</v>
      </c>
      <c r="F6" s="48">
        <v>468</v>
      </c>
      <c r="G6" s="66">
        <v>116322.07034482757</v>
      </c>
      <c r="H6" s="127">
        <f>Tab_Proc_soporte[[#This Row],[N° Objetivos Estrategicos]]/Tab_Proc_soporte[[#Totals],[N° Objetivos Estrategicos]]</f>
        <v>0.33333333333333331</v>
      </c>
      <c r="I6" s="127">
        <f>Tab_Proc_soporte[[#This Row],[Gasto Real]]/Tab_Proc_soporte[[#Totals],[Gasto Real]]</f>
        <v>8.9650829833364479E-3</v>
      </c>
      <c r="J6" s="127">
        <f>Tab_Proc_soporte[[#This Row],[N° productos RO]]/Tab_Proc_soporte[[#Totals],[N° productos RO]]</f>
        <v>1</v>
      </c>
      <c r="K6" s="127">
        <f>Tab_Proc_soporte[[#This Row],[N° personas (colaboradores)]]/Tab_Proc_soporte[[#Totals],[N° personas (colaboradores)]]</f>
        <v>0.11824153612935827</v>
      </c>
      <c r="L6" s="127">
        <f>Tab_Proc_soporte[[#This Row],[Pérdida RO]]/Tab_Proc_soporte[[#Totals],[Pérdida RO]]</f>
        <v>0.43813288939404876</v>
      </c>
      <c r="M6" s="43" t="s">
        <v>355</v>
      </c>
      <c r="N6" s="43"/>
      <c r="O6" s="43"/>
      <c r="P6" s="45"/>
      <c r="Q6" s="85" t="s">
        <v>355</v>
      </c>
    </row>
    <row r="7" spans="1:17" ht="15" thickBot="1" x14ac:dyDescent="0.35">
      <c r="A7" s="61" t="s">
        <v>304</v>
      </c>
      <c r="B7" s="60" t="s">
        <v>286</v>
      </c>
      <c r="C7" s="94">
        <v>4</v>
      </c>
      <c r="D7" s="68">
        <v>1415774.23</v>
      </c>
      <c r="E7" s="61">
        <v>37</v>
      </c>
      <c r="F7" s="61">
        <v>507</v>
      </c>
      <c r="G7" s="69">
        <v>14879.092857142856</v>
      </c>
      <c r="H7" s="127">
        <f>Tab_Proc_soporte[[#This Row],[N° Objetivos Estrategicos]]/Tab_Proc_soporte[[#Totals],[N° Objetivos Estrategicos]]</f>
        <v>0.33333333333333331</v>
      </c>
      <c r="I7" s="127">
        <f>Tab_Proc_soporte[[#This Row],[Gasto Real]]/Tab_Proc_soporte[[#Totals],[Gasto Real]]</f>
        <v>1.1036555573533929E-2</v>
      </c>
      <c r="J7" s="127">
        <f>Tab_Proc_soporte[[#This Row],[N° productos RO]]/Tab_Proc_soporte[[#Totals],[N° productos RO]]</f>
        <v>0.78723404255319152</v>
      </c>
      <c r="K7" s="127">
        <f>Tab_Proc_soporte[[#This Row],[N° personas (colaboradores)]]/Tab_Proc_soporte[[#Totals],[N° personas (colaboradores)]]</f>
        <v>0.12809499747347144</v>
      </c>
      <c r="L7" s="127">
        <f>Tab_Proc_soporte[[#This Row],[Pérdida RO]]/Tab_Proc_soporte[[#Totals],[Pérdida RO]]</f>
        <v>5.6042846604580136E-2</v>
      </c>
      <c r="M7" s="97" t="s">
        <v>355</v>
      </c>
      <c r="N7" s="43"/>
      <c r="O7" s="43"/>
      <c r="P7" s="45"/>
      <c r="Q7" s="85" t="s">
        <v>355</v>
      </c>
    </row>
    <row r="8" spans="1:17" ht="15" thickTop="1" x14ac:dyDescent="0.3">
      <c r="A8" s="70" t="s">
        <v>358</v>
      </c>
      <c r="B8" s="70" t="s">
        <v>286</v>
      </c>
      <c r="C8" s="95">
        <v>5</v>
      </c>
      <c r="D8" s="71">
        <v>10533947.210000001</v>
      </c>
      <c r="E8" s="72">
        <v>47</v>
      </c>
      <c r="F8" s="73">
        <v>3958</v>
      </c>
      <c r="G8" s="74">
        <v>0</v>
      </c>
      <c r="H8" s="129">
        <f>Tab_Proc_soporte[[#This Row],[N° Objetivos Estrategicos]]/Tab_Proc_soporte[[#Totals],[N° Objetivos Estrategicos]]</f>
        <v>0.41666666666666669</v>
      </c>
      <c r="I8" s="128">
        <f>Tab_Proc_soporte[[#This Row],[Gasto Real]]/Tab_Proc_soporte[[#Totals],[Gasto Real]]</f>
        <v>8.2116548901894959E-2</v>
      </c>
      <c r="J8" s="128">
        <f>Tab_Proc_soporte[[#This Row],[N° productos RO]]/Tab_Proc_soporte[[#Totals],[N° productos RO]]</f>
        <v>1</v>
      </c>
      <c r="K8" s="128">
        <f>Tab_Proc_soporte[[#This Row],[N° personas (colaboradores)]]/Tab_Proc_soporte[[#Totals],[N° personas (colaboradores)]]</f>
        <v>1</v>
      </c>
      <c r="L8" s="128">
        <f>Tab_Proc_soporte[[#This Row],[Pérdida RO]]/Tab_Proc_soporte[[#Totals],[Pérdida RO]]</f>
        <v>0</v>
      </c>
      <c r="M8" s="97" t="s">
        <v>356</v>
      </c>
      <c r="N8" s="43">
        <v>1</v>
      </c>
      <c r="O8" s="43"/>
      <c r="P8" s="45"/>
      <c r="Q8" s="85" t="s">
        <v>355</v>
      </c>
    </row>
    <row r="9" spans="1:17" s="282" customFormat="1" x14ac:dyDescent="0.3">
      <c r="A9" s="272" t="s">
        <v>359</v>
      </c>
      <c r="B9" s="272" t="s">
        <v>286</v>
      </c>
      <c r="C9" s="272">
        <v>3</v>
      </c>
      <c r="D9" s="273">
        <v>3127898.7</v>
      </c>
      <c r="E9" s="274">
        <v>40</v>
      </c>
      <c r="F9" s="275">
        <v>3883</v>
      </c>
      <c r="G9" s="276">
        <v>0</v>
      </c>
      <c r="H9" s="277">
        <f>Tab_Proc_soporte[[#This Row],[N° Objetivos Estrategicos]]/Tab_Proc_soporte[[#Totals],[N° Objetivos Estrategicos]]</f>
        <v>0.25</v>
      </c>
      <c r="I9" s="278">
        <f>Tab_Proc_soporte[[#This Row],[Gasto Real]]/Tab_Proc_soporte[[#Totals],[Gasto Real]]</f>
        <v>2.4383285907764073E-2</v>
      </c>
      <c r="J9" s="278">
        <f>Tab_Proc_soporte[[#This Row],[N° productos RO]]/Tab_Proc_soporte[[#Totals],[N° productos RO]]</f>
        <v>0.85106382978723405</v>
      </c>
      <c r="K9" s="278">
        <f>Tab_Proc_soporte[[#This Row],[N° personas (colaboradores)]]/Tab_Proc_soporte[[#Totals],[N° personas (colaboradores)]]</f>
        <v>0.98105103587670539</v>
      </c>
      <c r="L9" s="278">
        <f>Tab_Proc_soporte[[#This Row],[Pérdida RO]]/Tab_Proc_soporte[[#Totals],[Pérdida RO]]</f>
        <v>0</v>
      </c>
      <c r="M9" s="279" t="s">
        <v>355</v>
      </c>
      <c r="N9" s="279"/>
      <c r="O9" s="279"/>
      <c r="P9" s="280"/>
      <c r="Q9" s="281" t="s">
        <v>355</v>
      </c>
    </row>
    <row r="10" spans="1:17" s="282" customFormat="1" x14ac:dyDescent="0.3">
      <c r="A10" s="272" t="s">
        <v>360</v>
      </c>
      <c r="B10" s="272" t="s">
        <v>286</v>
      </c>
      <c r="C10" s="272">
        <v>3</v>
      </c>
      <c r="D10" s="273">
        <v>8386043.7800000003</v>
      </c>
      <c r="E10" s="274">
        <v>33</v>
      </c>
      <c r="F10" s="283">
        <v>3599</v>
      </c>
      <c r="G10" s="276">
        <v>0</v>
      </c>
      <c r="H10" s="277">
        <f>Tab_Proc_soporte[[#This Row],[N° Objetivos Estrategicos]]/Tab_Proc_soporte[[#Totals],[N° Objetivos Estrategicos]]</f>
        <v>0.25</v>
      </c>
      <c r="I10" s="278">
        <f>Tab_Proc_soporte[[#This Row],[Gasto Real]]/Tab_Proc_soporte[[#Totals],[Gasto Real]]</f>
        <v>6.5372738293208332E-2</v>
      </c>
      <c r="J10" s="278">
        <f>Tab_Proc_soporte[[#This Row],[N° productos RO]]/Tab_Proc_soporte[[#Totals],[N° productos RO]]</f>
        <v>0.7021276595744681</v>
      </c>
      <c r="K10" s="278">
        <f>Tab_Proc_soporte[[#This Row],[N° personas (colaboradores)]]/Tab_Proc_soporte[[#Totals],[N° personas (colaboradores)]]</f>
        <v>0.90929762506316325</v>
      </c>
      <c r="L10" s="278">
        <f>Tab_Proc_soporte[[#This Row],[Pérdida RO]]/Tab_Proc_soporte[[#Totals],[Pérdida RO]]</f>
        <v>0</v>
      </c>
      <c r="M10" s="279" t="s">
        <v>355</v>
      </c>
      <c r="N10" s="279"/>
      <c r="O10" s="279"/>
      <c r="P10" s="280"/>
      <c r="Q10" s="281" t="s">
        <v>356</v>
      </c>
    </row>
    <row r="11" spans="1:17" x14ac:dyDescent="0.3">
      <c r="A11" s="121" t="s">
        <v>467</v>
      </c>
      <c r="B11" s="121" t="str">
        <f>Tab_Proc_soporte[[#Totals],[Nivel 2 - Producto AQP]]</f>
        <v>Total</v>
      </c>
      <c r="C11" t="s">
        <v>799</v>
      </c>
      <c r="D11" s="122">
        <f>SUBTOTAL(109,Tab_Proc_soporte[Gasto Real])</f>
        <v>128280442.25999998</v>
      </c>
      <c r="E11" s="123" t="s">
        <v>773</v>
      </c>
      <c r="F11">
        <f>MAX(Tab_Proc_soporte[N° personas (colaboradores)])</f>
        <v>3958</v>
      </c>
      <c r="G11" s="124">
        <f>SUBTOTAL(109,Tab_Proc_soporte[Pérdida RO])</f>
        <v>265494.95178438799</v>
      </c>
      <c r="H11" s="125"/>
      <c r="I11" s="126">
        <f>SUBTOTAL(109,Tab_Proc_soporte[Gasto Real (%)])</f>
        <v>0.99999999999999989</v>
      </c>
      <c r="J11" s="121"/>
      <c r="K11" s="121"/>
      <c r="L11" s="126">
        <f>SUBTOTAL(109,Tab_Proc_soporte[Pérdida RO (%)])</f>
        <v>1</v>
      </c>
      <c r="M11" s="113">
        <f>COUNTIFS(Tab_Proc_soporte[Parte del Plan],"Si")</f>
        <v>3</v>
      </c>
      <c r="N11" s="113">
        <f>COUNTIFS(Tab_Proc_soporte[Parte del Plan],"Si",Tab_Proc_soporte[RTO PCN],"&lt;=4")</f>
        <v>3</v>
      </c>
      <c r="O11" s="113"/>
      <c r="P11" s="115"/>
      <c r="Q11" s="117">
        <f>COUNTA(Tab_Proc_soporte[Afecto a LPDP])</f>
        <v>9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1:H18"/>
  <sheetViews>
    <sheetView workbookViewId="0">
      <selection activeCell="H1" sqref="H1:H1048576"/>
    </sheetView>
  </sheetViews>
  <sheetFormatPr baseColWidth="10" defaultColWidth="11.44140625" defaultRowHeight="14.4" x14ac:dyDescent="0.3"/>
  <cols>
    <col min="1" max="1" width="18.6640625" customWidth="1"/>
    <col min="2" max="2" width="31.6640625" bestFit="1" customWidth="1"/>
    <col min="3" max="3" width="17.44140625" customWidth="1"/>
    <col min="4" max="4" width="21" bestFit="1" customWidth="1"/>
    <col min="5" max="5" width="33.6640625" bestFit="1" customWidth="1"/>
    <col min="6" max="6" width="17.6640625" customWidth="1"/>
    <col min="7" max="7" width="41.33203125" bestFit="1" customWidth="1"/>
  </cols>
  <sheetData>
    <row r="1" spans="1:8" ht="15" thickBot="1" x14ac:dyDescent="0.35">
      <c r="A1" s="88" t="s">
        <v>319</v>
      </c>
      <c r="B1" s="81" t="s">
        <v>3</v>
      </c>
      <c r="C1" s="81" t="s">
        <v>438</v>
      </c>
      <c r="D1" s="89" t="s">
        <v>334</v>
      </c>
      <c r="E1" s="81" t="s">
        <v>332</v>
      </c>
      <c r="F1" s="90" t="s">
        <v>439</v>
      </c>
      <c r="G1" s="81" t="s">
        <v>584</v>
      </c>
    </row>
    <row r="2" spans="1:8" x14ac:dyDescent="0.3">
      <c r="A2" s="83" t="s">
        <v>89</v>
      </c>
      <c r="B2" s="48" t="s">
        <v>588</v>
      </c>
      <c r="C2" s="48" t="s">
        <v>365</v>
      </c>
      <c r="D2" s="48" t="s">
        <v>356</v>
      </c>
      <c r="E2" s="48" t="s">
        <v>357</v>
      </c>
      <c r="F2" s="87" t="s">
        <v>355</v>
      </c>
      <c r="G2" s="44" t="s">
        <v>580</v>
      </c>
    </row>
    <row r="3" spans="1:8" x14ac:dyDescent="0.3">
      <c r="A3" s="83" t="s">
        <v>89</v>
      </c>
      <c r="B3" s="48" t="s">
        <v>421</v>
      </c>
      <c r="C3" s="48" t="s">
        <v>365</v>
      </c>
      <c r="D3" s="48" t="s">
        <v>356</v>
      </c>
      <c r="E3" s="48" t="s">
        <v>434</v>
      </c>
      <c r="F3" s="87" t="s">
        <v>355</v>
      </c>
      <c r="G3" s="48" t="s">
        <v>580</v>
      </c>
      <c r="H3" t="s">
        <v>583</v>
      </c>
    </row>
    <row r="4" spans="1:8" x14ac:dyDescent="0.3">
      <c r="A4" s="83" t="s">
        <v>89</v>
      </c>
      <c r="B4" s="48" t="s">
        <v>422</v>
      </c>
      <c r="C4" s="48" t="s">
        <v>365</v>
      </c>
      <c r="D4" s="48" t="s">
        <v>355</v>
      </c>
      <c r="E4" s="48" t="s">
        <v>434</v>
      </c>
      <c r="F4" s="87" t="s">
        <v>355</v>
      </c>
      <c r="G4" s="48" t="s">
        <v>580</v>
      </c>
      <c r="H4" t="s">
        <v>582</v>
      </c>
    </row>
    <row r="5" spans="1:8" x14ac:dyDescent="0.3">
      <c r="A5" s="83" t="s">
        <v>89</v>
      </c>
      <c r="B5" s="48" t="s">
        <v>423</v>
      </c>
      <c r="C5" s="48" t="s">
        <v>365</v>
      </c>
      <c r="D5" s="48" t="s">
        <v>356</v>
      </c>
      <c r="E5" s="48" t="s">
        <v>434</v>
      </c>
      <c r="F5" s="87" t="s">
        <v>355</v>
      </c>
      <c r="G5" s="48" t="s">
        <v>580</v>
      </c>
      <c r="H5" t="s">
        <v>583</v>
      </c>
    </row>
    <row r="6" spans="1:8" x14ac:dyDescent="0.3">
      <c r="A6" s="83" t="s">
        <v>89</v>
      </c>
      <c r="B6" s="48" t="s">
        <v>425</v>
      </c>
      <c r="C6" s="48" t="s">
        <v>365</v>
      </c>
      <c r="D6" s="48" t="s">
        <v>355</v>
      </c>
      <c r="E6" s="48" t="s">
        <v>435</v>
      </c>
      <c r="F6" s="87" t="s">
        <v>355</v>
      </c>
      <c r="G6" s="48" t="s">
        <v>13</v>
      </c>
      <c r="H6" t="s">
        <v>582</v>
      </c>
    </row>
    <row r="7" spans="1:8" x14ac:dyDescent="0.3">
      <c r="A7" s="83" t="s">
        <v>89</v>
      </c>
      <c r="B7" s="48" t="s">
        <v>426</v>
      </c>
      <c r="C7" s="48" t="s">
        <v>365</v>
      </c>
      <c r="D7" s="48" t="s">
        <v>355</v>
      </c>
      <c r="E7" s="48" t="s">
        <v>435</v>
      </c>
      <c r="F7" s="87" t="s">
        <v>355</v>
      </c>
      <c r="G7" s="48" t="s">
        <v>13</v>
      </c>
      <c r="H7" t="s">
        <v>582</v>
      </c>
    </row>
    <row r="8" spans="1:8" x14ac:dyDescent="0.3">
      <c r="A8" s="83" t="s">
        <v>89</v>
      </c>
      <c r="B8" s="48" t="s">
        <v>427</v>
      </c>
      <c r="C8" s="48" t="s">
        <v>365</v>
      </c>
      <c r="D8" s="48" t="s">
        <v>355</v>
      </c>
      <c r="E8" s="48" t="s">
        <v>435</v>
      </c>
      <c r="F8" s="87" t="s">
        <v>355</v>
      </c>
      <c r="G8" s="48" t="s">
        <v>13</v>
      </c>
      <c r="H8" t="s">
        <v>582</v>
      </c>
    </row>
    <row r="9" spans="1:8" x14ac:dyDescent="0.3">
      <c r="A9" s="83" t="s">
        <v>89</v>
      </c>
      <c r="B9" s="48" t="s">
        <v>428</v>
      </c>
      <c r="C9" s="48" t="s">
        <v>365</v>
      </c>
      <c r="D9" s="48" t="s">
        <v>355</v>
      </c>
      <c r="E9" s="48" t="s">
        <v>435</v>
      </c>
      <c r="F9" s="87" t="s">
        <v>355</v>
      </c>
      <c r="G9" s="48" t="s">
        <v>13</v>
      </c>
      <c r="H9" t="s">
        <v>582</v>
      </c>
    </row>
    <row r="10" spans="1:8" x14ac:dyDescent="0.3">
      <c r="A10" s="83" t="s">
        <v>89</v>
      </c>
      <c r="B10" s="48" t="s">
        <v>429</v>
      </c>
      <c r="C10" s="48" t="s">
        <v>365</v>
      </c>
      <c r="D10" s="48" t="s">
        <v>355</v>
      </c>
      <c r="E10" s="48" t="s">
        <v>435</v>
      </c>
      <c r="F10" s="87" t="s">
        <v>355</v>
      </c>
      <c r="G10" s="48" t="s">
        <v>13</v>
      </c>
      <c r="H10" t="s">
        <v>582</v>
      </c>
    </row>
    <row r="11" spans="1:8" x14ac:dyDescent="0.3">
      <c r="A11" s="83" t="s">
        <v>89</v>
      </c>
      <c r="B11" s="48" t="s">
        <v>424</v>
      </c>
      <c r="C11" s="48" t="s">
        <v>365</v>
      </c>
      <c r="D11" s="48" t="s">
        <v>437</v>
      </c>
      <c r="E11" s="48" t="s">
        <v>437</v>
      </c>
      <c r="F11" s="87" t="s">
        <v>437</v>
      </c>
      <c r="G11" s="48" t="s">
        <v>581</v>
      </c>
    </row>
    <row r="12" spans="1:8" x14ac:dyDescent="0.3">
      <c r="A12" s="83" t="s">
        <v>89</v>
      </c>
      <c r="B12" s="48" t="s">
        <v>431</v>
      </c>
      <c r="C12" s="48" t="s">
        <v>365</v>
      </c>
      <c r="D12" s="48" t="s">
        <v>356</v>
      </c>
      <c r="E12" s="48" t="s">
        <v>430</v>
      </c>
      <c r="F12" s="87" t="s">
        <v>437</v>
      </c>
      <c r="G12" s="48" t="s">
        <v>581</v>
      </c>
    </row>
    <row r="13" spans="1:8" x14ac:dyDescent="0.3">
      <c r="A13" s="83" t="s">
        <v>89</v>
      </c>
      <c r="B13" s="48" t="s">
        <v>432</v>
      </c>
      <c r="C13" s="48" t="s">
        <v>365</v>
      </c>
      <c r="D13" s="48" t="s">
        <v>356</v>
      </c>
      <c r="E13" s="48" t="s">
        <v>430</v>
      </c>
      <c r="F13" s="87" t="s">
        <v>437</v>
      </c>
      <c r="G13" s="48" t="s">
        <v>581</v>
      </c>
    </row>
    <row r="14" spans="1:8" x14ac:dyDescent="0.3">
      <c r="A14" s="83" t="s">
        <v>89</v>
      </c>
      <c r="B14" s="48" t="s">
        <v>433</v>
      </c>
      <c r="C14" s="48" t="s">
        <v>365</v>
      </c>
      <c r="D14" s="48" t="s">
        <v>356</v>
      </c>
      <c r="E14" s="48" t="s">
        <v>363</v>
      </c>
      <c r="F14" s="87" t="s">
        <v>355</v>
      </c>
      <c r="G14" s="48" t="s">
        <v>580</v>
      </c>
      <c r="H14" t="s">
        <v>583</v>
      </c>
    </row>
    <row r="15" spans="1:8" x14ac:dyDescent="0.3">
      <c r="A15" s="83" t="s">
        <v>89</v>
      </c>
      <c r="B15" s="48" t="s">
        <v>420</v>
      </c>
      <c r="C15" s="48" t="s">
        <v>365</v>
      </c>
      <c r="D15" s="48" t="s">
        <v>355</v>
      </c>
      <c r="E15" s="48" t="s">
        <v>364</v>
      </c>
      <c r="F15" s="87" t="s">
        <v>355</v>
      </c>
      <c r="G15" s="48" t="s">
        <v>580</v>
      </c>
      <c r="H15" t="s">
        <v>582</v>
      </c>
    </row>
    <row r="16" spans="1:8" x14ac:dyDescent="0.3">
      <c r="A16" s="83" t="s">
        <v>89</v>
      </c>
      <c r="B16" s="48" t="s">
        <v>436</v>
      </c>
      <c r="C16" s="48" t="s">
        <v>365</v>
      </c>
      <c r="D16" s="48" t="s">
        <v>356</v>
      </c>
      <c r="E16" s="48" t="s">
        <v>362</v>
      </c>
      <c r="F16" s="87" t="s">
        <v>356</v>
      </c>
      <c r="G16" s="48" t="s">
        <v>362</v>
      </c>
    </row>
    <row r="17" spans="1:7" x14ac:dyDescent="0.3">
      <c r="A17" s="83" t="s">
        <v>89</v>
      </c>
      <c r="B17" s="48" t="s">
        <v>440</v>
      </c>
      <c r="C17" s="48" t="s">
        <v>365</v>
      </c>
      <c r="D17" s="48" t="s">
        <v>356</v>
      </c>
      <c r="E17" s="48" t="s">
        <v>362</v>
      </c>
      <c r="F17" s="87" t="s">
        <v>356</v>
      </c>
      <c r="G17" s="48" t="s">
        <v>362</v>
      </c>
    </row>
    <row r="18" spans="1:7" x14ac:dyDescent="0.3">
      <c r="A18" s="91" t="s">
        <v>89</v>
      </c>
      <c r="B18" s="92" t="s">
        <v>589</v>
      </c>
      <c r="C18" s="92" t="s">
        <v>22</v>
      </c>
      <c r="D18" s="92" t="s">
        <v>356</v>
      </c>
      <c r="E18" s="92" t="s">
        <v>361</v>
      </c>
      <c r="F18" s="93" t="s">
        <v>355</v>
      </c>
      <c r="G18" s="48" t="s">
        <v>13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50"/>
  </sheetPr>
  <dimension ref="A1:J24"/>
  <sheetViews>
    <sheetView showGridLines="0" topLeftCell="A16" workbookViewId="0">
      <selection activeCell="H25" sqref="H25"/>
    </sheetView>
  </sheetViews>
  <sheetFormatPr baseColWidth="10" defaultColWidth="32.44140625" defaultRowHeight="14.4" x14ac:dyDescent="0.3"/>
  <cols>
    <col min="1" max="1" width="8.33203125" customWidth="1"/>
    <col min="2" max="2" width="13" customWidth="1"/>
    <col min="3" max="3" width="23.6640625" style="258" customWidth="1"/>
    <col min="4" max="4" width="34.6640625" style="258" customWidth="1"/>
    <col min="5" max="5" width="28.6640625" customWidth="1"/>
    <col min="6" max="6" width="19.33203125" customWidth="1"/>
    <col min="7" max="7" width="22.5546875" customWidth="1"/>
    <col min="8" max="8" width="10.5546875" customWidth="1"/>
    <col min="9" max="9" width="13.6640625" bestFit="1" customWidth="1"/>
    <col min="10" max="10" width="15" customWidth="1"/>
  </cols>
  <sheetData>
    <row r="1" spans="1:10" s="110" customFormat="1" x14ac:dyDescent="0.3">
      <c r="A1" s="109" t="s">
        <v>394</v>
      </c>
      <c r="B1" s="109" t="s">
        <v>409</v>
      </c>
      <c r="C1" s="257" t="s">
        <v>354</v>
      </c>
      <c r="D1" s="257" t="s">
        <v>395</v>
      </c>
      <c r="E1" s="109" t="s">
        <v>411</v>
      </c>
      <c r="F1" s="109" t="s">
        <v>410</v>
      </c>
      <c r="G1" s="109" t="s">
        <v>407</v>
      </c>
      <c r="H1" s="109" t="s">
        <v>408</v>
      </c>
      <c r="I1" s="109" t="s">
        <v>327</v>
      </c>
      <c r="J1" s="109" t="s">
        <v>406</v>
      </c>
    </row>
    <row r="2" spans="1:10" ht="24" x14ac:dyDescent="0.3">
      <c r="A2" s="266">
        <v>1</v>
      </c>
      <c r="B2" s="267">
        <v>20139491077</v>
      </c>
      <c r="C2" s="268" t="s">
        <v>1293</v>
      </c>
      <c r="D2" s="268" t="s">
        <v>399</v>
      </c>
      <c r="E2" s="256"/>
      <c r="F2" s="208"/>
      <c r="G2" s="208"/>
      <c r="H2" s="208"/>
      <c r="I2" s="209"/>
      <c r="J2" s="209"/>
    </row>
    <row r="3" spans="1:10" x14ac:dyDescent="0.3">
      <c r="A3" s="266">
        <v>2</v>
      </c>
      <c r="B3" s="267">
        <v>20122476309</v>
      </c>
      <c r="C3" s="268" t="s">
        <v>405</v>
      </c>
      <c r="D3" s="268" t="s">
        <v>1294</v>
      </c>
      <c r="E3" s="256"/>
      <c r="F3" s="208"/>
      <c r="G3" s="208"/>
      <c r="H3" s="208"/>
      <c r="I3" s="209"/>
      <c r="J3" s="209"/>
    </row>
    <row r="4" spans="1:10" x14ac:dyDescent="0.3">
      <c r="A4" s="266">
        <v>3</v>
      </c>
      <c r="B4" s="267">
        <v>20600007174</v>
      </c>
      <c r="C4" s="268" t="s">
        <v>1295</v>
      </c>
      <c r="D4" s="268" t="s">
        <v>1296</v>
      </c>
      <c r="E4" s="256"/>
      <c r="F4" s="208"/>
      <c r="G4" s="208"/>
      <c r="H4" s="208"/>
      <c r="I4" s="209"/>
      <c r="J4" s="209"/>
    </row>
    <row r="5" spans="1:10" x14ac:dyDescent="0.3">
      <c r="A5" s="266">
        <v>4</v>
      </c>
      <c r="B5" s="267">
        <v>20566504589</v>
      </c>
      <c r="C5" s="268" t="s">
        <v>1297</v>
      </c>
      <c r="D5" s="268" t="s">
        <v>1298</v>
      </c>
      <c r="E5" s="256"/>
      <c r="F5" s="208"/>
      <c r="G5" s="208"/>
      <c r="H5" s="208"/>
      <c r="I5" s="209"/>
      <c r="J5" s="209"/>
    </row>
    <row r="6" spans="1:10" ht="24" x14ac:dyDescent="0.3">
      <c r="A6" s="266">
        <v>5</v>
      </c>
      <c r="B6" s="267">
        <v>20515849531</v>
      </c>
      <c r="C6" s="268" t="s">
        <v>397</v>
      </c>
      <c r="D6" s="268" t="s">
        <v>1299</v>
      </c>
      <c r="E6" s="256"/>
      <c r="F6" s="208"/>
      <c r="G6" s="208"/>
      <c r="H6" s="208"/>
      <c r="I6" s="209"/>
      <c r="J6" s="209"/>
    </row>
    <row r="7" spans="1:10" x14ac:dyDescent="0.3">
      <c r="A7" s="266">
        <v>6</v>
      </c>
      <c r="B7" s="267">
        <v>20421780472</v>
      </c>
      <c r="C7" s="268" t="s">
        <v>1300</v>
      </c>
      <c r="D7" s="268" t="s">
        <v>1301</v>
      </c>
      <c r="E7" s="256"/>
      <c r="F7" s="208"/>
      <c r="G7" s="208"/>
      <c r="H7" s="208"/>
      <c r="I7" s="209"/>
      <c r="J7" s="209"/>
    </row>
    <row r="8" spans="1:10" ht="24" x14ac:dyDescent="0.3">
      <c r="A8" s="266">
        <v>7</v>
      </c>
      <c r="B8" s="267">
        <v>20554657380</v>
      </c>
      <c r="C8" s="268" t="s">
        <v>1302</v>
      </c>
      <c r="D8" s="268" t="s">
        <v>1303</v>
      </c>
      <c r="E8" s="256"/>
      <c r="F8" s="208"/>
      <c r="G8" s="208"/>
      <c r="H8" s="208"/>
      <c r="I8" s="209"/>
      <c r="J8" s="209"/>
    </row>
    <row r="9" spans="1:10" ht="24" x14ac:dyDescent="0.3">
      <c r="A9" s="266">
        <v>8</v>
      </c>
      <c r="B9" s="267">
        <v>20432405525</v>
      </c>
      <c r="C9" s="268" t="s">
        <v>1304</v>
      </c>
      <c r="D9" s="268" t="s">
        <v>1305</v>
      </c>
      <c r="E9" s="256"/>
      <c r="F9" s="208"/>
      <c r="G9" s="208"/>
      <c r="H9" s="208"/>
      <c r="I9" s="209"/>
      <c r="J9" s="209"/>
    </row>
    <row r="10" spans="1:10" ht="24" x14ac:dyDescent="0.3">
      <c r="A10" s="266">
        <v>9</v>
      </c>
      <c r="B10" s="267">
        <v>20101914080</v>
      </c>
      <c r="C10" s="268" t="s">
        <v>1306</v>
      </c>
      <c r="D10" s="268" t="s">
        <v>1307</v>
      </c>
      <c r="E10" s="256"/>
      <c r="F10" s="208"/>
      <c r="G10" s="208"/>
      <c r="H10" s="208"/>
      <c r="I10" s="209"/>
      <c r="J10" s="209"/>
    </row>
    <row r="11" spans="1:10" ht="84" x14ac:dyDescent="0.3">
      <c r="A11" s="266">
        <v>10</v>
      </c>
      <c r="B11" s="267">
        <v>20552504641</v>
      </c>
      <c r="C11" s="268" t="s">
        <v>1308</v>
      </c>
      <c r="D11" s="268" t="s">
        <v>1309</v>
      </c>
      <c r="E11" s="256"/>
      <c r="F11" s="208"/>
      <c r="G11" s="208"/>
      <c r="H11" s="208"/>
      <c r="I11" s="209"/>
      <c r="J11" s="209"/>
    </row>
    <row r="12" spans="1:10" x14ac:dyDescent="0.3">
      <c r="A12" s="266">
        <v>11</v>
      </c>
      <c r="B12" s="267">
        <v>20519448280</v>
      </c>
      <c r="C12" s="268" t="s">
        <v>1310</v>
      </c>
      <c r="D12" s="268" t="s">
        <v>1311</v>
      </c>
      <c r="E12" s="256"/>
      <c r="F12" s="208"/>
      <c r="G12" s="208"/>
      <c r="H12" s="208"/>
      <c r="I12" s="209"/>
      <c r="J12" s="209"/>
    </row>
    <row r="13" spans="1:10" ht="24" x14ac:dyDescent="0.3">
      <c r="A13" s="266">
        <v>12</v>
      </c>
      <c r="B13" s="267">
        <v>20100219108</v>
      </c>
      <c r="C13" s="268" t="s">
        <v>1312</v>
      </c>
      <c r="D13" s="268" t="s">
        <v>1313</v>
      </c>
      <c r="E13" s="256"/>
      <c r="F13" s="208"/>
      <c r="G13" s="208"/>
      <c r="H13" s="208"/>
      <c r="I13" s="209"/>
      <c r="J13" s="209"/>
    </row>
    <row r="14" spans="1:10" ht="24" x14ac:dyDescent="0.3">
      <c r="A14" s="266">
        <v>13</v>
      </c>
      <c r="B14" s="267">
        <v>20100017491</v>
      </c>
      <c r="C14" s="268" t="s">
        <v>396</v>
      </c>
      <c r="D14" s="268" t="s">
        <v>1314</v>
      </c>
      <c r="E14" s="256"/>
      <c r="F14" s="208"/>
      <c r="G14" s="208"/>
      <c r="H14" s="208"/>
      <c r="I14" s="209"/>
      <c r="J14" s="209"/>
    </row>
    <row r="15" spans="1:10" ht="24" x14ac:dyDescent="0.3">
      <c r="A15" s="266">
        <v>14</v>
      </c>
      <c r="B15" s="267">
        <v>20100130204</v>
      </c>
      <c r="C15" s="268" t="s">
        <v>1315</v>
      </c>
      <c r="D15" s="268" t="s">
        <v>1316</v>
      </c>
      <c r="E15" s="256"/>
      <c r="F15" s="208"/>
      <c r="G15" s="208"/>
      <c r="H15" s="208"/>
      <c r="I15" s="209"/>
      <c r="J15" s="209"/>
    </row>
    <row r="16" spans="1:10" ht="24" x14ac:dyDescent="0.3">
      <c r="A16" s="266">
        <v>15</v>
      </c>
      <c r="B16" s="267">
        <v>20469378561</v>
      </c>
      <c r="C16" s="268" t="s">
        <v>1317</v>
      </c>
      <c r="D16" s="268" t="s">
        <v>398</v>
      </c>
      <c r="E16" s="256"/>
      <c r="F16" s="208"/>
      <c r="G16" s="208"/>
      <c r="H16" s="208"/>
      <c r="I16" s="209"/>
      <c r="J16" s="209"/>
    </row>
    <row r="17" spans="1:10" ht="24" x14ac:dyDescent="0.3">
      <c r="A17" s="266">
        <v>16</v>
      </c>
      <c r="B17" s="267">
        <v>20336260702</v>
      </c>
      <c r="C17" s="268" t="s">
        <v>404</v>
      </c>
      <c r="D17" s="268" t="s">
        <v>1318</v>
      </c>
      <c r="E17" s="256"/>
      <c r="F17" s="208"/>
      <c r="G17" s="208"/>
      <c r="H17" s="208"/>
      <c r="I17" s="209"/>
      <c r="J17" s="209"/>
    </row>
    <row r="18" spans="1:10" ht="24" x14ac:dyDescent="0.3">
      <c r="A18" s="266">
        <v>17</v>
      </c>
      <c r="B18" s="267">
        <v>20101914080</v>
      </c>
      <c r="C18" s="268" t="s">
        <v>403</v>
      </c>
      <c r="D18" s="268" t="s">
        <v>1307</v>
      </c>
      <c r="E18" s="256"/>
      <c r="F18" s="208"/>
      <c r="G18" s="208"/>
      <c r="H18" s="208"/>
      <c r="I18" s="209"/>
      <c r="J18" s="209"/>
    </row>
    <row r="19" spans="1:10" x14ac:dyDescent="0.3">
      <c r="A19" s="266">
        <v>18</v>
      </c>
      <c r="B19" s="267">
        <v>20101155588</v>
      </c>
      <c r="C19" s="268" t="s">
        <v>1319</v>
      </c>
      <c r="D19" s="268" t="s">
        <v>1320</v>
      </c>
      <c r="E19" s="256"/>
      <c r="F19" s="208"/>
      <c r="G19" s="208"/>
      <c r="H19" s="208"/>
      <c r="I19" s="209"/>
      <c r="J19" s="209"/>
    </row>
    <row r="20" spans="1:10" x14ac:dyDescent="0.3">
      <c r="A20" s="266">
        <v>19</v>
      </c>
      <c r="B20" s="267">
        <v>20100077044</v>
      </c>
      <c r="C20" s="268" t="s">
        <v>400</v>
      </c>
      <c r="D20" s="268" t="s">
        <v>1321</v>
      </c>
      <c r="E20" s="256"/>
      <c r="F20" s="208"/>
      <c r="G20" s="208"/>
      <c r="H20" s="208"/>
      <c r="I20" s="209"/>
      <c r="J20" s="209"/>
    </row>
    <row r="21" spans="1:10" x14ac:dyDescent="0.3">
      <c r="A21" s="266">
        <v>20</v>
      </c>
      <c r="B21" s="267">
        <v>20100148162</v>
      </c>
      <c r="C21" s="268" t="s">
        <v>401</v>
      </c>
      <c r="D21" s="268" t="s">
        <v>1322</v>
      </c>
      <c r="E21" s="256"/>
      <c r="F21" s="208"/>
      <c r="G21" s="208"/>
      <c r="H21" s="208"/>
      <c r="I21" s="209"/>
      <c r="J21" s="209"/>
    </row>
    <row r="22" spans="1:10" x14ac:dyDescent="0.3">
      <c r="A22" s="266">
        <v>21</v>
      </c>
      <c r="B22" s="267">
        <v>20422293699</v>
      </c>
      <c r="C22" s="268" t="s">
        <v>402</v>
      </c>
      <c r="D22" s="268" t="s">
        <v>1323</v>
      </c>
      <c r="E22" s="256"/>
      <c r="F22" s="208"/>
      <c r="G22" s="208"/>
      <c r="H22" s="208"/>
      <c r="I22" s="209"/>
      <c r="J22" s="209"/>
    </row>
    <row r="23" spans="1:10" ht="24.6" thickBot="1" x14ac:dyDescent="0.35">
      <c r="A23" s="266">
        <v>22</v>
      </c>
      <c r="B23" s="267">
        <v>20341198217</v>
      </c>
      <c r="C23" s="270" t="s">
        <v>1325</v>
      </c>
      <c r="D23" s="271" t="s">
        <v>1327</v>
      </c>
      <c r="E23" s="269"/>
      <c r="F23" s="208"/>
      <c r="G23" s="208"/>
      <c r="H23" s="208"/>
      <c r="I23" s="209"/>
      <c r="J23" s="209"/>
    </row>
    <row r="24" spans="1:10" ht="15" thickBot="1" x14ac:dyDescent="0.35">
      <c r="A24" s="266">
        <v>23</v>
      </c>
      <c r="B24" s="267">
        <v>20346669625</v>
      </c>
      <c r="C24" s="270" t="s">
        <v>1326</v>
      </c>
      <c r="D24" s="271" t="s">
        <v>1328</v>
      </c>
      <c r="E24" s="269"/>
      <c r="F24" s="208"/>
      <c r="G24" s="208"/>
      <c r="H24" s="208"/>
      <c r="I24" s="209"/>
      <c r="J24" s="209"/>
    </row>
  </sheetData>
  <conditionalFormatting sqref="A2:B24">
    <cfRule type="expression" dxfId="51" priority="4">
      <formula>IF($J2="Si",TRUE,FALSE)</formula>
    </cfRule>
  </conditionalFormatting>
  <conditionalFormatting sqref="G2:H16 F2">
    <cfRule type="expression" dxfId="50" priority="3">
      <formula>IF($I2="Si",TRUE,FALSE)</formula>
    </cfRule>
  </conditionalFormatting>
  <conditionalFormatting sqref="F3:F15">
    <cfRule type="expression" dxfId="49" priority="5">
      <formula>IF($I4="Si",TRUE,FALSE)</formula>
    </cfRule>
  </conditionalFormatting>
  <conditionalFormatting sqref="F16">
    <cfRule type="expression" dxfId="48" priority="6">
      <formula>IF(#REF!="Si",TRUE,FALSE)</formula>
    </cfRule>
  </conditionalFormatting>
  <conditionalFormatting sqref="C2:D22">
    <cfRule type="expression" dxfId="47" priority="1">
      <formula>IF($J2="Si",TRUE,FALSE)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>
    <tabColor theme="0"/>
  </sheetPr>
  <dimension ref="A1:G205"/>
  <sheetViews>
    <sheetView zoomScale="78" zoomScaleNormal="78" workbookViewId="0">
      <selection activeCell="G5" sqref="G5"/>
    </sheetView>
  </sheetViews>
  <sheetFormatPr baseColWidth="10" defaultColWidth="8" defaultRowHeight="14.4" x14ac:dyDescent="0.3"/>
  <cols>
    <col min="1" max="1" width="16.5546875" customWidth="1"/>
    <col min="2" max="2" width="27.6640625" customWidth="1"/>
    <col min="3" max="3" width="16.6640625" customWidth="1"/>
    <col min="4" max="4" width="40.6640625" bestFit="1" customWidth="1"/>
    <col min="5" max="5" width="34.88671875" bestFit="1" customWidth="1"/>
    <col min="6" max="6" width="31.88671875" customWidth="1"/>
    <col min="7" max="7" width="18.33203125" bestFit="1" customWidth="1"/>
  </cols>
  <sheetData>
    <row r="1" spans="1:7" s="75" customFormat="1" ht="13.8" thickBot="1" x14ac:dyDescent="0.35">
      <c r="A1" s="81" t="s">
        <v>412</v>
      </c>
      <c r="B1" s="81" t="s">
        <v>413</v>
      </c>
      <c r="C1" s="81" t="s">
        <v>414</v>
      </c>
      <c r="D1" s="81" t="s">
        <v>415</v>
      </c>
      <c r="E1" s="81" t="s">
        <v>416</v>
      </c>
      <c r="F1" s="139" t="s">
        <v>418</v>
      </c>
      <c r="G1" s="139" t="s">
        <v>419</v>
      </c>
    </row>
    <row r="2" spans="1:7" hidden="1" x14ac:dyDescent="0.3">
      <c r="B2" s="135" t="s">
        <v>382</v>
      </c>
      <c r="C2" s="135"/>
      <c r="D2" s="135" t="s">
        <v>1333</v>
      </c>
      <c r="E2" s="135" t="s">
        <v>366</v>
      </c>
      <c r="F2" t="s">
        <v>355</v>
      </c>
      <c r="G2" t="s">
        <v>356</v>
      </c>
    </row>
    <row r="3" spans="1:7" hidden="1" x14ac:dyDescent="0.3">
      <c r="B3" s="135" t="s">
        <v>382</v>
      </c>
      <c r="C3" s="135"/>
      <c r="D3" s="135" t="s">
        <v>1333</v>
      </c>
      <c r="E3" s="135" t="s">
        <v>375</v>
      </c>
      <c r="F3" t="s">
        <v>355</v>
      </c>
      <c r="G3" t="s">
        <v>356</v>
      </c>
    </row>
    <row r="4" spans="1:7" hidden="1" x14ac:dyDescent="0.3">
      <c r="B4" s="135" t="s">
        <v>382</v>
      </c>
      <c r="C4" s="135"/>
      <c r="D4" s="135" t="s">
        <v>1333</v>
      </c>
      <c r="E4" s="135" t="s">
        <v>828</v>
      </c>
      <c r="F4" t="s">
        <v>355</v>
      </c>
      <c r="G4" t="s">
        <v>355</v>
      </c>
    </row>
    <row r="5" spans="1:7" x14ac:dyDescent="0.3">
      <c r="B5" s="135" t="s">
        <v>388</v>
      </c>
      <c r="C5" s="135"/>
      <c r="D5" s="135" t="s">
        <v>1334</v>
      </c>
      <c r="E5" s="135" t="s">
        <v>828</v>
      </c>
      <c r="F5" t="s">
        <v>355</v>
      </c>
      <c r="G5" t="s">
        <v>356</v>
      </c>
    </row>
    <row r="6" spans="1:7" x14ac:dyDescent="0.3">
      <c r="B6" s="135" t="s">
        <v>387</v>
      </c>
      <c r="C6" s="135"/>
      <c r="D6" s="135" t="s">
        <v>1335</v>
      </c>
      <c r="E6" s="135" t="s">
        <v>375</v>
      </c>
      <c r="F6" t="s">
        <v>355</v>
      </c>
      <c r="G6" t="s">
        <v>356</v>
      </c>
    </row>
    <row r="7" spans="1:7" x14ac:dyDescent="0.3">
      <c r="B7" s="135" t="s">
        <v>387</v>
      </c>
      <c r="C7" s="135"/>
      <c r="D7" s="135" t="s">
        <v>1336</v>
      </c>
      <c r="E7" s="135" t="s">
        <v>829</v>
      </c>
      <c r="F7" t="s">
        <v>355</v>
      </c>
      <c r="G7" t="s">
        <v>356</v>
      </c>
    </row>
    <row r="8" spans="1:7" x14ac:dyDescent="0.3">
      <c r="B8" s="135" t="s">
        <v>387</v>
      </c>
      <c r="C8" s="135"/>
      <c r="D8" s="135" t="s">
        <v>1336</v>
      </c>
      <c r="E8" s="135" t="s">
        <v>375</v>
      </c>
      <c r="F8" t="s">
        <v>355</v>
      </c>
      <c r="G8" t="s">
        <v>356</v>
      </c>
    </row>
    <row r="9" spans="1:7" x14ac:dyDescent="0.3">
      <c r="B9" s="135" t="s">
        <v>387</v>
      </c>
      <c r="C9" s="135"/>
      <c r="D9" s="135" t="s">
        <v>1336</v>
      </c>
      <c r="E9" s="135" t="s">
        <v>376</v>
      </c>
      <c r="F9" t="s">
        <v>355</v>
      </c>
      <c r="G9" t="s">
        <v>355</v>
      </c>
    </row>
    <row r="10" spans="1:7" hidden="1" x14ac:dyDescent="0.3">
      <c r="B10" s="135" t="s">
        <v>417</v>
      </c>
      <c r="C10" s="135"/>
      <c r="D10" s="135" t="s">
        <v>1337</v>
      </c>
      <c r="E10" s="135" t="s">
        <v>1338</v>
      </c>
      <c r="F10" t="s">
        <v>355</v>
      </c>
      <c r="G10" t="s">
        <v>355</v>
      </c>
    </row>
    <row r="11" spans="1:7" hidden="1" x14ac:dyDescent="0.3">
      <c r="B11" s="135" t="s">
        <v>417</v>
      </c>
      <c r="C11" s="135"/>
      <c r="D11" s="135" t="s">
        <v>1337</v>
      </c>
      <c r="E11" s="135" t="s">
        <v>366</v>
      </c>
      <c r="F11" t="s">
        <v>355</v>
      </c>
      <c r="G11" t="s">
        <v>355</v>
      </c>
    </row>
    <row r="12" spans="1:7" hidden="1" x14ac:dyDescent="0.3">
      <c r="B12" s="135" t="s">
        <v>417</v>
      </c>
      <c r="C12" s="135"/>
      <c r="D12" s="135" t="s">
        <v>1337</v>
      </c>
      <c r="E12" s="135" t="s">
        <v>373</v>
      </c>
      <c r="F12" t="s">
        <v>356</v>
      </c>
      <c r="G12" t="s">
        <v>356</v>
      </c>
    </row>
    <row r="13" spans="1:7" hidden="1" x14ac:dyDescent="0.3">
      <c r="B13" s="135" t="s">
        <v>417</v>
      </c>
      <c r="C13" s="135"/>
      <c r="D13" s="135" t="s">
        <v>1339</v>
      </c>
      <c r="E13" s="135" t="s">
        <v>375</v>
      </c>
      <c r="F13" t="s">
        <v>355</v>
      </c>
      <c r="G13" t="s">
        <v>355</v>
      </c>
    </row>
    <row r="14" spans="1:7" hidden="1" x14ac:dyDescent="0.3">
      <c r="B14" s="135" t="s">
        <v>417</v>
      </c>
      <c r="C14" s="135"/>
      <c r="D14" s="135" t="s">
        <v>1339</v>
      </c>
      <c r="E14" s="135" t="s">
        <v>373</v>
      </c>
      <c r="F14" t="s">
        <v>355</v>
      </c>
      <c r="G14" t="s">
        <v>355</v>
      </c>
    </row>
    <row r="15" spans="1:7" hidden="1" x14ac:dyDescent="0.3">
      <c r="B15" s="135" t="s">
        <v>417</v>
      </c>
      <c r="C15" s="135"/>
      <c r="D15" s="135" t="s">
        <v>1340</v>
      </c>
      <c r="E15" s="135" t="s">
        <v>373</v>
      </c>
      <c r="F15" t="s">
        <v>355</v>
      </c>
      <c r="G15" t="s">
        <v>355</v>
      </c>
    </row>
    <row r="16" spans="1:7" hidden="1" x14ac:dyDescent="0.3">
      <c r="B16" s="135" t="s">
        <v>417</v>
      </c>
      <c r="C16" s="135"/>
      <c r="D16" s="135" t="s">
        <v>1341</v>
      </c>
      <c r="E16" s="135" t="s">
        <v>373</v>
      </c>
      <c r="F16" t="s">
        <v>355</v>
      </c>
      <c r="G16" t="s">
        <v>355</v>
      </c>
    </row>
    <row r="17" spans="2:7" hidden="1" x14ac:dyDescent="0.3">
      <c r="B17" s="135" t="s">
        <v>367</v>
      </c>
      <c r="C17" s="135"/>
      <c r="D17" s="135" t="s">
        <v>1342</v>
      </c>
      <c r="E17" s="135" t="s">
        <v>366</v>
      </c>
      <c r="F17" t="s">
        <v>355</v>
      </c>
      <c r="G17" t="s">
        <v>355</v>
      </c>
    </row>
    <row r="18" spans="2:7" hidden="1" x14ac:dyDescent="0.3">
      <c r="B18" s="135" t="s">
        <v>367</v>
      </c>
      <c r="C18" s="135"/>
      <c r="D18" s="135" t="s">
        <v>1342</v>
      </c>
      <c r="E18" s="135" t="s">
        <v>373</v>
      </c>
      <c r="F18" t="s">
        <v>355</v>
      </c>
      <c r="G18" t="s">
        <v>356</v>
      </c>
    </row>
    <row r="19" spans="2:7" hidden="1" x14ac:dyDescent="0.3">
      <c r="B19" s="135" t="s">
        <v>367</v>
      </c>
      <c r="C19" s="135"/>
      <c r="D19" s="135" t="s">
        <v>1333</v>
      </c>
      <c r="E19" s="135" t="s">
        <v>373</v>
      </c>
      <c r="F19" t="s">
        <v>355</v>
      </c>
      <c r="G19" t="s">
        <v>356</v>
      </c>
    </row>
    <row r="20" spans="2:7" hidden="1" x14ac:dyDescent="0.3">
      <c r="B20" s="135" t="s">
        <v>368</v>
      </c>
      <c r="C20" s="135"/>
      <c r="D20" s="135" t="s">
        <v>1343</v>
      </c>
      <c r="E20" s="135" t="s">
        <v>1344</v>
      </c>
      <c r="F20" t="s">
        <v>355</v>
      </c>
      <c r="G20" t="s">
        <v>356</v>
      </c>
    </row>
    <row r="21" spans="2:7" hidden="1" x14ac:dyDescent="0.3">
      <c r="B21" s="135" t="s">
        <v>368</v>
      </c>
      <c r="C21" s="135"/>
      <c r="D21" s="135" t="s">
        <v>1341</v>
      </c>
      <c r="E21" s="135" t="s">
        <v>366</v>
      </c>
      <c r="F21" t="s">
        <v>355</v>
      </c>
      <c r="G21" t="s">
        <v>356</v>
      </c>
    </row>
    <row r="22" spans="2:7" hidden="1" x14ac:dyDescent="0.3">
      <c r="B22" s="135" t="s">
        <v>368</v>
      </c>
      <c r="C22" s="135"/>
      <c r="D22" s="135" t="s">
        <v>1341</v>
      </c>
      <c r="E22" s="135" t="s">
        <v>373</v>
      </c>
      <c r="F22" t="s">
        <v>355</v>
      </c>
      <c r="G22" t="s">
        <v>355</v>
      </c>
    </row>
    <row r="23" spans="2:7" hidden="1" x14ac:dyDescent="0.3">
      <c r="B23" s="135" t="s">
        <v>369</v>
      </c>
      <c r="C23" s="135"/>
      <c r="D23" s="135" t="s">
        <v>1342</v>
      </c>
      <c r="E23" s="135" t="s">
        <v>366</v>
      </c>
      <c r="F23" t="s">
        <v>356</v>
      </c>
      <c r="G23" t="s">
        <v>356</v>
      </c>
    </row>
    <row r="24" spans="2:7" hidden="1" x14ac:dyDescent="0.3">
      <c r="B24" s="135" t="s">
        <v>369</v>
      </c>
      <c r="C24" s="135"/>
      <c r="D24" s="135" t="s">
        <v>1342</v>
      </c>
      <c r="E24" s="135" t="s">
        <v>373</v>
      </c>
      <c r="F24" t="s">
        <v>356</v>
      </c>
      <c r="G24" t="s">
        <v>356</v>
      </c>
    </row>
    <row r="25" spans="2:7" hidden="1" x14ac:dyDescent="0.3">
      <c r="B25" s="135" t="s">
        <v>369</v>
      </c>
      <c r="C25" s="135"/>
      <c r="D25" s="135" t="s">
        <v>1342</v>
      </c>
      <c r="E25" s="135" t="s">
        <v>1344</v>
      </c>
      <c r="F25" t="s">
        <v>355</v>
      </c>
      <c r="G25" t="s">
        <v>355</v>
      </c>
    </row>
    <row r="26" spans="2:7" hidden="1" x14ac:dyDescent="0.3">
      <c r="B26" s="135" t="s">
        <v>369</v>
      </c>
      <c r="C26" s="135"/>
      <c r="D26" s="135" t="s">
        <v>1333</v>
      </c>
      <c r="E26" s="135" t="s">
        <v>373</v>
      </c>
      <c r="F26" t="s">
        <v>355</v>
      </c>
      <c r="G26" t="s">
        <v>355</v>
      </c>
    </row>
    <row r="27" spans="2:7" hidden="1" x14ac:dyDescent="0.3">
      <c r="B27" s="135" t="s">
        <v>369</v>
      </c>
      <c r="C27" s="135"/>
      <c r="D27" s="135" t="s">
        <v>1341</v>
      </c>
      <c r="E27" s="135" t="s">
        <v>366</v>
      </c>
      <c r="F27" t="s">
        <v>355</v>
      </c>
      <c r="G27" t="s">
        <v>355</v>
      </c>
    </row>
    <row r="28" spans="2:7" hidden="1" x14ac:dyDescent="0.3">
      <c r="B28" s="135" t="s">
        <v>369</v>
      </c>
      <c r="C28" s="135"/>
      <c r="D28" s="135" t="s">
        <v>1341</v>
      </c>
      <c r="E28" s="135" t="s">
        <v>373</v>
      </c>
      <c r="F28" t="s">
        <v>355</v>
      </c>
      <c r="G28" t="s">
        <v>355</v>
      </c>
    </row>
    <row r="29" spans="2:7" hidden="1" x14ac:dyDescent="0.3">
      <c r="B29" s="135" t="s">
        <v>370</v>
      </c>
      <c r="C29" s="135"/>
      <c r="D29" s="135" t="s">
        <v>1341</v>
      </c>
      <c r="E29" s="135" t="s">
        <v>366</v>
      </c>
      <c r="F29" t="s">
        <v>355</v>
      </c>
      <c r="G29" t="s">
        <v>355</v>
      </c>
    </row>
    <row r="30" spans="2:7" hidden="1" x14ac:dyDescent="0.3">
      <c r="B30" s="135" t="s">
        <v>370</v>
      </c>
      <c r="C30" s="135"/>
      <c r="D30" s="135" t="s">
        <v>1341</v>
      </c>
      <c r="E30" s="135" t="s">
        <v>373</v>
      </c>
      <c r="F30" t="s">
        <v>355</v>
      </c>
      <c r="G30" t="s">
        <v>355</v>
      </c>
    </row>
    <row r="31" spans="2:7" hidden="1" x14ac:dyDescent="0.3">
      <c r="B31" s="135" t="s">
        <v>389</v>
      </c>
      <c r="C31" s="135"/>
      <c r="D31" s="135" t="s">
        <v>1345</v>
      </c>
      <c r="E31" s="135" t="s">
        <v>375</v>
      </c>
      <c r="F31" t="s">
        <v>355</v>
      </c>
      <c r="G31" t="s">
        <v>355</v>
      </c>
    </row>
    <row r="32" spans="2:7" hidden="1" x14ac:dyDescent="0.3">
      <c r="B32" s="135" t="s">
        <v>389</v>
      </c>
      <c r="C32" s="135"/>
      <c r="D32" s="135" t="s">
        <v>1336</v>
      </c>
      <c r="E32" s="135" t="s">
        <v>375</v>
      </c>
      <c r="F32" t="s">
        <v>355</v>
      </c>
      <c r="G32" t="s">
        <v>355</v>
      </c>
    </row>
    <row r="33" spans="2:7" hidden="1" x14ac:dyDescent="0.3">
      <c r="B33" s="135" t="s">
        <v>385</v>
      </c>
      <c r="C33" s="135"/>
      <c r="D33" s="135" t="s">
        <v>1334</v>
      </c>
      <c r="E33" s="135" t="s">
        <v>828</v>
      </c>
      <c r="F33" t="s">
        <v>355</v>
      </c>
      <c r="G33" t="s">
        <v>356</v>
      </c>
    </row>
    <row r="34" spans="2:7" hidden="1" x14ac:dyDescent="0.3">
      <c r="B34" s="135" t="s">
        <v>385</v>
      </c>
      <c r="C34" s="135"/>
      <c r="D34" s="135" t="s">
        <v>1334</v>
      </c>
      <c r="E34" s="135" t="s">
        <v>376</v>
      </c>
      <c r="F34" t="s">
        <v>355</v>
      </c>
      <c r="G34" t="s">
        <v>355</v>
      </c>
    </row>
    <row r="35" spans="2:7" hidden="1" x14ac:dyDescent="0.3">
      <c r="B35" s="135" t="s">
        <v>371</v>
      </c>
      <c r="C35" s="135"/>
      <c r="D35" s="135" t="s">
        <v>1342</v>
      </c>
      <c r="E35" s="135" t="s">
        <v>373</v>
      </c>
      <c r="F35" t="s">
        <v>355</v>
      </c>
      <c r="G35" t="s">
        <v>355</v>
      </c>
    </row>
    <row r="36" spans="2:7" hidden="1" x14ac:dyDescent="0.3">
      <c r="B36" s="135" t="s">
        <v>372</v>
      </c>
      <c r="C36" s="135"/>
      <c r="D36" s="135" t="s">
        <v>1342</v>
      </c>
      <c r="E36" s="135" t="s">
        <v>373</v>
      </c>
      <c r="F36" t="s">
        <v>355</v>
      </c>
      <c r="G36" t="s">
        <v>355</v>
      </c>
    </row>
    <row r="37" spans="2:7" hidden="1" x14ac:dyDescent="0.3">
      <c r="B37" s="135" t="s">
        <v>372</v>
      </c>
      <c r="C37" s="135"/>
      <c r="D37" s="135" t="s">
        <v>1334</v>
      </c>
      <c r="E37" s="135" t="s">
        <v>828</v>
      </c>
      <c r="F37" t="s">
        <v>355</v>
      </c>
      <c r="G37" t="s">
        <v>355</v>
      </c>
    </row>
    <row r="38" spans="2:7" hidden="1" x14ac:dyDescent="0.3">
      <c r="B38" s="135" t="s">
        <v>372</v>
      </c>
      <c r="C38" s="135"/>
      <c r="D38" s="135" t="s">
        <v>1346</v>
      </c>
      <c r="E38" s="135" t="s">
        <v>829</v>
      </c>
      <c r="F38" t="s">
        <v>355</v>
      </c>
      <c r="G38" t="s">
        <v>355</v>
      </c>
    </row>
    <row r="39" spans="2:7" hidden="1" x14ac:dyDescent="0.3">
      <c r="B39" s="135" t="s">
        <v>372</v>
      </c>
      <c r="C39" s="135"/>
      <c r="D39" s="135" t="s">
        <v>1346</v>
      </c>
      <c r="E39" s="135" t="s">
        <v>373</v>
      </c>
      <c r="F39" t="s">
        <v>355</v>
      </c>
      <c r="G39" t="s">
        <v>355</v>
      </c>
    </row>
    <row r="40" spans="2:7" hidden="1" x14ac:dyDescent="0.3">
      <c r="B40" s="135" t="s">
        <v>372</v>
      </c>
      <c r="C40" s="135"/>
      <c r="D40" s="135" t="s">
        <v>1333</v>
      </c>
      <c r="E40" s="135" t="s">
        <v>373</v>
      </c>
      <c r="F40" t="s">
        <v>355</v>
      </c>
      <c r="G40" t="s">
        <v>355</v>
      </c>
    </row>
    <row r="41" spans="2:7" hidden="1" x14ac:dyDescent="0.3">
      <c r="B41" s="135" t="s">
        <v>372</v>
      </c>
      <c r="C41" s="135"/>
      <c r="D41" s="135" t="s">
        <v>1341</v>
      </c>
      <c r="E41" s="135" t="s">
        <v>373</v>
      </c>
      <c r="F41" t="s">
        <v>355</v>
      </c>
      <c r="G41" t="s">
        <v>355</v>
      </c>
    </row>
    <row r="42" spans="2:7" hidden="1" x14ac:dyDescent="0.3">
      <c r="B42" s="135" t="s">
        <v>374</v>
      </c>
      <c r="C42" s="135"/>
      <c r="D42" s="135" t="s">
        <v>1347</v>
      </c>
      <c r="E42" s="135" t="s">
        <v>375</v>
      </c>
      <c r="F42" t="s">
        <v>355</v>
      </c>
      <c r="G42" t="s">
        <v>355</v>
      </c>
    </row>
    <row r="43" spans="2:7" hidden="1" x14ac:dyDescent="0.3">
      <c r="B43" s="135" t="s">
        <v>374</v>
      </c>
      <c r="C43" s="135"/>
      <c r="D43" s="135" t="s">
        <v>1347</v>
      </c>
      <c r="E43" s="135" t="s">
        <v>376</v>
      </c>
      <c r="F43" t="s">
        <v>355</v>
      </c>
      <c r="G43" t="s">
        <v>355</v>
      </c>
    </row>
    <row r="44" spans="2:7" hidden="1" x14ac:dyDescent="0.3">
      <c r="B44" s="135" t="s">
        <v>374</v>
      </c>
      <c r="C44" s="135"/>
      <c r="D44" s="135" t="s">
        <v>1347</v>
      </c>
      <c r="E44" s="135" t="s">
        <v>1348</v>
      </c>
      <c r="F44" t="s">
        <v>355</v>
      </c>
      <c r="G44" t="s">
        <v>355</v>
      </c>
    </row>
    <row r="45" spans="2:7" hidden="1" x14ac:dyDescent="0.3">
      <c r="B45" s="135" t="s">
        <v>374</v>
      </c>
      <c r="C45" s="135"/>
      <c r="D45" s="135" t="s">
        <v>1347</v>
      </c>
      <c r="E45" s="135" t="s">
        <v>373</v>
      </c>
      <c r="F45" t="s">
        <v>355</v>
      </c>
      <c r="G45" t="s">
        <v>356</v>
      </c>
    </row>
    <row r="46" spans="2:7" hidden="1" x14ac:dyDescent="0.3">
      <c r="B46" s="135" t="s">
        <v>374</v>
      </c>
      <c r="C46" s="135"/>
      <c r="D46" s="135" t="s">
        <v>1347</v>
      </c>
      <c r="E46" s="135" t="s">
        <v>1344</v>
      </c>
      <c r="F46" t="s">
        <v>355</v>
      </c>
      <c r="G46" t="s">
        <v>356</v>
      </c>
    </row>
    <row r="47" spans="2:7" hidden="1" x14ac:dyDescent="0.3">
      <c r="B47" s="135" t="s">
        <v>374</v>
      </c>
      <c r="C47" s="135"/>
      <c r="D47" s="135" t="s">
        <v>1349</v>
      </c>
      <c r="E47" s="135" t="s">
        <v>829</v>
      </c>
      <c r="F47" t="s">
        <v>355</v>
      </c>
      <c r="G47" t="s">
        <v>356</v>
      </c>
    </row>
    <row r="48" spans="2:7" hidden="1" x14ac:dyDescent="0.3">
      <c r="B48" s="135" t="s">
        <v>374</v>
      </c>
      <c r="C48" s="135"/>
      <c r="D48" s="135" t="s">
        <v>1349</v>
      </c>
      <c r="E48" s="135" t="s">
        <v>375</v>
      </c>
      <c r="F48" t="s">
        <v>355</v>
      </c>
      <c r="G48" t="s">
        <v>356</v>
      </c>
    </row>
    <row r="49" spans="2:7" hidden="1" x14ac:dyDescent="0.3">
      <c r="B49" s="135" t="s">
        <v>374</v>
      </c>
      <c r="C49" s="135"/>
      <c r="D49" s="135" t="s">
        <v>1343</v>
      </c>
      <c r="E49" s="135" t="s">
        <v>828</v>
      </c>
      <c r="F49" t="s">
        <v>355</v>
      </c>
      <c r="G49" t="s">
        <v>355</v>
      </c>
    </row>
    <row r="50" spans="2:7" hidden="1" x14ac:dyDescent="0.3">
      <c r="B50" s="135" t="s">
        <v>374</v>
      </c>
      <c r="C50" s="135"/>
      <c r="D50" s="135" t="s">
        <v>1342</v>
      </c>
      <c r="E50" s="135" t="s">
        <v>366</v>
      </c>
      <c r="F50" t="s">
        <v>355</v>
      </c>
      <c r="G50" t="s">
        <v>355</v>
      </c>
    </row>
    <row r="51" spans="2:7" hidden="1" x14ac:dyDescent="0.3">
      <c r="B51" s="135" t="s">
        <v>374</v>
      </c>
      <c r="C51" s="135"/>
      <c r="D51" s="135" t="s">
        <v>1342</v>
      </c>
      <c r="E51" s="135" t="s">
        <v>375</v>
      </c>
      <c r="F51" t="s">
        <v>355</v>
      </c>
      <c r="G51" t="s">
        <v>356</v>
      </c>
    </row>
    <row r="52" spans="2:7" hidden="1" x14ac:dyDescent="0.3">
      <c r="B52" s="135" t="s">
        <v>374</v>
      </c>
      <c r="C52" s="135"/>
      <c r="D52" s="135" t="s">
        <v>1342</v>
      </c>
      <c r="E52" s="135" t="s">
        <v>828</v>
      </c>
      <c r="F52" t="s">
        <v>355</v>
      </c>
      <c r="G52" t="s">
        <v>356</v>
      </c>
    </row>
    <row r="53" spans="2:7" hidden="1" x14ac:dyDescent="0.3">
      <c r="B53" s="135" t="s">
        <v>374</v>
      </c>
      <c r="C53" s="135"/>
      <c r="D53" s="135" t="s">
        <v>1342</v>
      </c>
      <c r="E53" s="135" t="s">
        <v>376</v>
      </c>
      <c r="F53" t="s">
        <v>355</v>
      </c>
      <c r="G53" t="s">
        <v>356</v>
      </c>
    </row>
    <row r="54" spans="2:7" hidden="1" x14ac:dyDescent="0.3">
      <c r="B54" s="135" t="s">
        <v>374</v>
      </c>
      <c r="C54" s="135"/>
      <c r="D54" s="135" t="s">
        <v>1342</v>
      </c>
      <c r="E54" s="135" t="s">
        <v>373</v>
      </c>
      <c r="F54" t="s">
        <v>355</v>
      </c>
      <c r="G54" t="s">
        <v>356</v>
      </c>
    </row>
    <row r="55" spans="2:7" hidden="1" x14ac:dyDescent="0.3">
      <c r="B55" s="135" t="s">
        <v>374</v>
      </c>
      <c r="C55" s="135"/>
      <c r="D55" s="135" t="s">
        <v>1342</v>
      </c>
      <c r="E55" s="135" t="s">
        <v>1344</v>
      </c>
      <c r="F55" t="s">
        <v>355</v>
      </c>
      <c r="G55" t="s">
        <v>356</v>
      </c>
    </row>
    <row r="56" spans="2:7" hidden="1" x14ac:dyDescent="0.3">
      <c r="B56" s="135" t="s">
        <v>374</v>
      </c>
      <c r="C56" s="135"/>
      <c r="D56" s="135" t="s">
        <v>1334</v>
      </c>
      <c r="E56" s="135" t="s">
        <v>375</v>
      </c>
      <c r="F56" t="s">
        <v>356</v>
      </c>
      <c r="G56" t="s">
        <v>356</v>
      </c>
    </row>
    <row r="57" spans="2:7" hidden="1" x14ac:dyDescent="0.3">
      <c r="B57" s="135" t="s">
        <v>374</v>
      </c>
      <c r="C57" s="135"/>
      <c r="D57" s="135" t="s">
        <v>1334</v>
      </c>
      <c r="E57" s="135" t="s">
        <v>828</v>
      </c>
      <c r="F57" t="s">
        <v>356</v>
      </c>
      <c r="G57" t="s">
        <v>356</v>
      </c>
    </row>
    <row r="58" spans="2:7" hidden="1" x14ac:dyDescent="0.3">
      <c r="B58" s="135" t="s">
        <v>374</v>
      </c>
      <c r="C58" s="135"/>
      <c r="D58" s="135" t="s">
        <v>1339</v>
      </c>
      <c r="E58" s="135" t="s">
        <v>829</v>
      </c>
      <c r="F58" t="s">
        <v>355</v>
      </c>
      <c r="G58" t="s">
        <v>355</v>
      </c>
    </row>
    <row r="59" spans="2:7" hidden="1" x14ac:dyDescent="0.3">
      <c r="B59" s="135" t="s">
        <v>374</v>
      </c>
      <c r="C59" s="135"/>
      <c r="D59" s="135" t="s">
        <v>1339</v>
      </c>
      <c r="E59" s="135" t="s">
        <v>375</v>
      </c>
      <c r="F59" t="s">
        <v>355</v>
      </c>
      <c r="G59" t="s">
        <v>356</v>
      </c>
    </row>
    <row r="60" spans="2:7" hidden="1" x14ac:dyDescent="0.3">
      <c r="B60" s="135" t="s">
        <v>374</v>
      </c>
      <c r="C60" s="135"/>
      <c r="D60" s="135" t="s">
        <v>1339</v>
      </c>
      <c r="E60" s="135" t="s">
        <v>828</v>
      </c>
      <c r="F60" t="s">
        <v>355</v>
      </c>
      <c r="G60" t="s">
        <v>356</v>
      </c>
    </row>
    <row r="61" spans="2:7" hidden="1" x14ac:dyDescent="0.3">
      <c r="B61" s="135" t="s">
        <v>374</v>
      </c>
      <c r="C61" s="135"/>
      <c r="D61" s="135" t="s">
        <v>1346</v>
      </c>
      <c r="E61" s="135" t="s">
        <v>829</v>
      </c>
      <c r="F61" t="s">
        <v>355</v>
      </c>
      <c r="G61" t="s">
        <v>356</v>
      </c>
    </row>
    <row r="62" spans="2:7" hidden="1" x14ac:dyDescent="0.3">
      <c r="B62" s="135" t="s">
        <v>374</v>
      </c>
      <c r="C62" s="135"/>
      <c r="D62" s="135" t="s">
        <v>1346</v>
      </c>
      <c r="E62" s="135" t="s">
        <v>375</v>
      </c>
      <c r="F62" t="s">
        <v>355</v>
      </c>
      <c r="G62" t="s">
        <v>356</v>
      </c>
    </row>
    <row r="63" spans="2:7" hidden="1" x14ac:dyDescent="0.3">
      <c r="B63" s="135" t="s">
        <v>374</v>
      </c>
      <c r="C63" s="135"/>
      <c r="D63" s="135" t="s">
        <v>1346</v>
      </c>
      <c r="E63" s="135" t="s">
        <v>373</v>
      </c>
      <c r="F63" t="s">
        <v>355</v>
      </c>
      <c r="G63" t="s">
        <v>356</v>
      </c>
    </row>
    <row r="64" spans="2:7" hidden="1" x14ac:dyDescent="0.3">
      <c r="B64" s="135" t="s">
        <v>374</v>
      </c>
      <c r="C64" s="135"/>
      <c r="D64" s="135" t="s">
        <v>1333</v>
      </c>
      <c r="E64" s="135" t="s">
        <v>366</v>
      </c>
      <c r="F64" t="s">
        <v>355</v>
      </c>
      <c r="G64" t="s">
        <v>356</v>
      </c>
    </row>
    <row r="65" spans="2:7" hidden="1" x14ac:dyDescent="0.3">
      <c r="B65" s="135" t="s">
        <v>374</v>
      </c>
      <c r="C65" s="135"/>
      <c r="D65" s="135" t="s">
        <v>1333</v>
      </c>
      <c r="E65" s="135" t="s">
        <v>375</v>
      </c>
      <c r="F65" t="s">
        <v>355</v>
      </c>
      <c r="G65" t="s">
        <v>356</v>
      </c>
    </row>
    <row r="66" spans="2:7" hidden="1" x14ac:dyDescent="0.3">
      <c r="B66" s="135" t="s">
        <v>374</v>
      </c>
      <c r="C66" s="135"/>
      <c r="D66" s="135" t="s">
        <v>1333</v>
      </c>
      <c r="E66" s="135" t="s">
        <v>828</v>
      </c>
      <c r="F66" t="s">
        <v>355</v>
      </c>
      <c r="G66" t="s">
        <v>356</v>
      </c>
    </row>
    <row r="67" spans="2:7" hidden="1" x14ac:dyDescent="0.3">
      <c r="B67" s="135" t="s">
        <v>374</v>
      </c>
      <c r="C67" s="135"/>
      <c r="D67" s="135" t="s">
        <v>1333</v>
      </c>
      <c r="E67" s="135" t="s">
        <v>376</v>
      </c>
      <c r="F67" t="s">
        <v>355</v>
      </c>
      <c r="G67" t="s">
        <v>355</v>
      </c>
    </row>
    <row r="68" spans="2:7" hidden="1" x14ac:dyDescent="0.3">
      <c r="B68" s="135" t="s">
        <v>374</v>
      </c>
      <c r="C68" s="135"/>
      <c r="D68" s="135" t="s">
        <v>1333</v>
      </c>
      <c r="E68" s="135" t="s">
        <v>373</v>
      </c>
      <c r="F68" t="s">
        <v>355</v>
      </c>
      <c r="G68" t="s">
        <v>355</v>
      </c>
    </row>
    <row r="69" spans="2:7" hidden="1" x14ac:dyDescent="0.3">
      <c r="B69" s="135" t="s">
        <v>374</v>
      </c>
      <c r="C69" s="135"/>
      <c r="D69" s="135" t="s">
        <v>1333</v>
      </c>
      <c r="E69" s="135" t="s">
        <v>1344</v>
      </c>
      <c r="F69" t="s">
        <v>355</v>
      </c>
      <c r="G69" t="s">
        <v>355</v>
      </c>
    </row>
    <row r="70" spans="2:7" hidden="1" x14ac:dyDescent="0.3">
      <c r="B70" s="135" t="s">
        <v>374</v>
      </c>
      <c r="C70" s="135"/>
      <c r="D70" s="135" t="s">
        <v>1341</v>
      </c>
      <c r="E70" s="135" t="s">
        <v>366</v>
      </c>
      <c r="F70" t="s">
        <v>355</v>
      </c>
      <c r="G70" t="s">
        <v>355</v>
      </c>
    </row>
    <row r="71" spans="2:7" hidden="1" x14ac:dyDescent="0.3">
      <c r="B71" s="135" t="s">
        <v>374</v>
      </c>
      <c r="C71" s="135"/>
      <c r="D71" s="135" t="s">
        <v>1341</v>
      </c>
      <c r="E71" s="135" t="s">
        <v>829</v>
      </c>
      <c r="F71" t="s">
        <v>355</v>
      </c>
      <c r="G71" t="s">
        <v>356</v>
      </c>
    </row>
    <row r="72" spans="2:7" hidden="1" x14ac:dyDescent="0.3">
      <c r="B72" s="135" t="s">
        <v>374</v>
      </c>
      <c r="C72" s="135"/>
      <c r="D72" s="135" t="s">
        <v>1341</v>
      </c>
      <c r="E72" s="135" t="s">
        <v>375</v>
      </c>
      <c r="F72" t="s">
        <v>355</v>
      </c>
      <c r="G72" t="s">
        <v>356</v>
      </c>
    </row>
    <row r="73" spans="2:7" hidden="1" x14ac:dyDescent="0.3">
      <c r="B73" s="135" t="s">
        <v>374</v>
      </c>
      <c r="C73" s="135"/>
      <c r="D73" s="135" t="s">
        <v>1341</v>
      </c>
      <c r="E73" s="135" t="s">
        <v>373</v>
      </c>
      <c r="F73" t="s">
        <v>355</v>
      </c>
      <c r="G73" t="s">
        <v>355</v>
      </c>
    </row>
    <row r="74" spans="2:7" hidden="1" x14ac:dyDescent="0.3">
      <c r="B74" s="135" t="s">
        <v>377</v>
      </c>
      <c r="C74" s="135"/>
      <c r="D74" s="135" t="s">
        <v>1334</v>
      </c>
      <c r="E74" s="135" t="s">
        <v>828</v>
      </c>
      <c r="F74" t="s">
        <v>355</v>
      </c>
      <c r="G74" t="s">
        <v>355</v>
      </c>
    </row>
    <row r="75" spans="2:7" hidden="1" x14ac:dyDescent="0.3">
      <c r="B75" s="135" t="s">
        <v>377</v>
      </c>
      <c r="C75" s="135"/>
      <c r="D75" s="135" t="s">
        <v>1334</v>
      </c>
      <c r="E75" s="135" t="s">
        <v>376</v>
      </c>
      <c r="F75" t="s">
        <v>355</v>
      </c>
      <c r="G75" t="s">
        <v>355</v>
      </c>
    </row>
    <row r="76" spans="2:7" hidden="1" x14ac:dyDescent="0.3">
      <c r="B76" s="135" t="s">
        <v>377</v>
      </c>
      <c r="C76" s="135"/>
      <c r="D76" s="135" t="s">
        <v>1334</v>
      </c>
      <c r="E76" s="135" t="s">
        <v>1344</v>
      </c>
      <c r="F76" t="s">
        <v>355</v>
      </c>
      <c r="G76" t="s">
        <v>355</v>
      </c>
    </row>
    <row r="77" spans="2:7" hidden="1" x14ac:dyDescent="0.3">
      <c r="B77" s="135" t="s">
        <v>377</v>
      </c>
      <c r="C77" s="135"/>
      <c r="D77" s="135" t="s">
        <v>1350</v>
      </c>
      <c r="E77" s="135" t="s">
        <v>828</v>
      </c>
      <c r="F77" t="s">
        <v>355</v>
      </c>
      <c r="G77" t="s">
        <v>355</v>
      </c>
    </row>
    <row r="78" spans="2:7" hidden="1" x14ac:dyDescent="0.3">
      <c r="B78" s="135" t="s">
        <v>377</v>
      </c>
      <c r="C78" s="135"/>
      <c r="D78" s="135" t="s">
        <v>1350</v>
      </c>
      <c r="E78" s="135" t="s">
        <v>376</v>
      </c>
      <c r="F78" t="s">
        <v>355</v>
      </c>
      <c r="G78" t="s">
        <v>355</v>
      </c>
    </row>
    <row r="79" spans="2:7" hidden="1" x14ac:dyDescent="0.3">
      <c r="B79" s="135" t="s">
        <v>377</v>
      </c>
      <c r="C79" s="135"/>
      <c r="D79" s="135" t="s">
        <v>1351</v>
      </c>
      <c r="E79" s="135" t="s">
        <v>828</v>
      </c>
      <c r="F79" t="s">
        <v>355</v>
      </c>
      <c r="G79" t="s">
        <v>355</v>
      </c>
    </row>
    <row r="80" spans="2:7" hidden="1" x14ac:dyDescent="0.3">
      <c r="B80" s="135" t="s">
        <v>377</v>
      </c>
      <c r="C80" s="135"/>
      <c r="D80" s="135" t="s">
        <v>1352</v>
      </c>
      <c r="E80" s="135" t="s">
        <v>828</v>
      </c>
      <c r="F80" t="s">
        <v>355</v>
      </c>
      <c r="G80" t="s">
        <v>355</v>
      </c>
    </row>
    <row r="81" spans="2:7" hidden="1" x14ac:dyDescent="0.3">
      <c r="B81" s="135" t="s">
        <v>377</v>
      </c>
      <c r="C81" s="135"/>
      <c r="D81" s="135" t="s">
        <v>1353</v>
      </c>
      <c r="E81" s="135" t="s">
        <v>828</v>
      </c>
      <c r="F81" t="s">
        <v>355</v>
      </c>
      <c r="G81" t="s">
        <v>355</v>
      </c>
    </row>
    <row r="82" spans="2:7" hidden="1" x14ac:dyDescent="0.3">
      <c r="B82" s="135" t="s">
        <v>377</v>
      </c>
      <c r="C82" s="135"/>
      <c r="D82" s="135" t="s">
        <v>1353</v>
      </c>
      <c r="E82" s="135" t="s">
        <v>1344</v>
      </c>
      <c r="F82" t="s">
        <v>355</v>
      </c>
      <c r="G82" t="s">
        <v>355</v>
      </c>
    </row>
    <row r="83" spans="2:7" hidden="1" x14ac:dyDescent="0.3">
      <c r="B83" s="135" t="s">
        <v>377</v>
      </c>
      <c r="C83" s="135"/>
      <c r="D83" s="135" t="s">
        <v>1354</v>
      </c>
      <c r="E83" s="135" t="s">
        <v>828</v>
      </c>
      <c r="F83" t="s">
        <v>355</v>
      </c>
      <c r="G83" t="s">
        <v>355</v>
      </c>
    </row>
    <row r="84" spans="2:7" hidden="1" x14ac:dyDescent="0.3">
      <c r="B84" s="135" t="s">
        <v>377</v>
      </c>
      <c r="C84" s="135"/>
      <c r="D84" s="135" t="s">
        <v>1333</v>
      </c>
      <c r="E84" s="135" t="s">
        <v>828</v>
      </c>
      <c r="F84" t="s">
        <v>355</v>
      </c>
      <c r="G84" t="s">
        <v>355</v>
      </c>
    </row>
    <row r="85" spans="2:7" hidden="1" x14ac:dyDescent="0.3">
      <c r="B85" s="135" t="s">
        <v>390</v>
      </c>
      <c r="C85" s="135"/>
      <c r="D85" s="135" t="s">
        <v>1346</v>
      </c>
      <c r="E85" s="135" t="s">
        <v>373</v>
      </c>
      <c r="F85" t="s">
        <v>355</v>
      </c>
      <c r="G85" t="s">
        <v>355</v>
      </c>
    </row>
    <row r="86" spans="2:7" hidden="1" x14ac:dyDescent="0.3">
      <c r="B86" s="135" t="s">
        <v>390</v>
      </c>
      <c r="C86" s="135"/>
      <c r="D86" s="135" t="s">
        <v>1333</v>
      </c>
      <c r="E86" s="135" t="s">
        <v>1355</v>
      </c>
      <c r="F86" t="s">
        <v>355</v>
      </c>
      <c r="G86" t="s">
        <v>355</v>
      </c>
    </row>
    <row r="87" spans="2:7" hidden="1" x14ac:dyDescent="0.3">
      <c r="B87" s="135" t="s">
        <v>390</v>
      </c>
      <c r="C87" s="135"/>
      <c r="D87" s="135" t="s">
        <v>1333</v>
      </c>
      <c r="E87" s="135" t="s">
        <v>373</v>
      </c>
      <c r="F87" t="s">
        <v>355</v>
      </c>
      <c r="G87" t="s">
        <v>355</v>
      </c>
    </row>
    <row r="88" spans="2:7" hidden="1" x14ac:dyDescent="0.3">
      <c r="B88" s="135" t="s">
        <v>390</v>
      </c>
      <c r="C88" s="135"/>
      <c r="D88" s="135" t="s">
        <v>1341</v>
      </c>
      <c r="E88" s="135" t="s">
        <v>376</v>
      </c>
      <c r="F88" t="s">
        <v>355</v>
      </c>
      <c r="G88" t="s">
        <v>355</v>
      </c>
    </row>
    <row r="89" spans="2:7" hidden="1" x14ac:dyDescent="0.3">
      <c r="B89" s="135" t="s">
        <v>390</v>
      </c>
      <c r="C89" s="135"/>
      <c r="D89" s="135" t="s">
        <v>1341</v>
      </c>
      <c r="E89" s="135" t="s">
        <v>373</v>
      </c>
      <c r="F89" t="s">
        <v>355</v>
      </c>
      <c r="G89" t="s">
        <v>355</v>
      </c>
    </row>
    <row r="90" spans="2:7" hidden="1" x14ac:dyDescent="0.3">
      <c r="B90" s="135" t="s">
        <v>378</v>
      </c>
      <c r="C90" s="135"/>
      <c r="D90" s="135" t="s">
        <v>1346</v>
      </c>
      <c r="E90" s="135" t="s">
        <v>829</v>
      </c>
      <c r="F90" t="s">
        <v>355</v>
      </c>
      <c r="G90" t="s">
        <v>355</v>
      </c>
    </row>
    <row r="91" spans="2:7" hidden="1" x14ac:dyDescent="0.3">
      <c r="B91" s="135" t="s">
        <v>378</v>
      </c>
      <c r="C91" s="135"/>
      <c r="D91" s="135" t="s">
        <v>1346</v>
      </c>
      <c r="E91" s="135" t="s">
        <v>373</v>
      </c>
      <c r="F91" t="s">
        <v>355</v>
      </c>
      <c r="G91" t="s">
        <v>355</v>
      </c>
    </row>
    <row r="92" spans="2:7" hidden="1" x14ac:dyDescent="0.3">
      <c r="B92" s="135" t="s">
        <v>379</v>
      </c>
      <c r="C92" s="135"/>
      <c r="D92" s="135" t="s">
        <v>1356</v>
      </c>
      <c r="E92" s="135" t="s">
        <v>829</v>
      </c>
      <c r="F92" t="s">
        <v>355</v>
      </c>
      <c r="G92" t="s">
        <v>355</v>
      </c>
    </row>
    <row r="93" spans="2:7" hidden="1" x14ac:dyDescent="0.3">
      <c r="B93" s="135" t="s">
        <v>379</v>
      </c>
      <c r="C93" s="135"/>
      <c r="D93" s="135" t="s">
        <v>1356</v>
      </c>
      <c r="E93" s="135" t="s">
        <v>1344</v>
      </c>
      <c r="F93" t="s">
        <v>355</v>
      </c>
      <c r="G93" t="s">
        <v>355</v>
      </c>
    </row>
    <row r="94" spans="2:7" hidden="1" x14ac:dyDescent="0.3">
      <c r="B94" s="135" t="s">
        <v>379</v>
      </c>
      <c r="C94" s="135"/>
      <c r="D94" s="135" t="s">
        <v>1346</v>
      </c>
      <c r="E94" s="135" t="s">
        <v>366</v>
      </c>
      <c r="F94" t="s">
        <v>355</v>
      </c>
      <c r="G94" t="s">
        <v>356</v>
      </c>
    </row>
    <row r="95" spans="2:7" hidden="1" x14ac:dyDescent="0.3">
      <c r="B95" s="135" t="s">
        <v>379</v>
      </c>
      <c r="C95" s="135"/>
      <c r="D95" s="135" t="s">
        <v>1346</v>
      </c>
      <c r="E95" s="135" t="s">
        <v>829</v>
      </c>
      <c r="F95" t="s">
        <v>355</v>
      </c>
      <c r="G95" t="s">
        <v>356</v>
      </c>
    </row>
    <row r="96" spans="2:7" hidden="1" x14ac:dyDescent="0.3">
      <c r="B96" s="135" t="s">
        <v>379</v>
      </c>
      <c r="C96" s="135"/>
      <c r="D96" s="135" t="s">
        <v>1346</v>
      </c>
      <c r="E96" s="135" t="s">
        <v>376</v>
      </c>
      <c r="F96" t="s">
        <v>355</v>
      </c>
      <c r="G96" t="s">
        <v>355</v>
      </c>
    </row>
    <row r="97" spans="2:7" hidden="1" x14ac:dyDescent="0.3">
      <c r="B97" s="135" t="s">
        <v>379</v>
      </c>
      <c r="C97" s="135"/>
      <c r="D97" s="135" t="s">
        <v>1346</v>
      </c>
      <c r="E97" s="135" t="s">
        <v>1344</v>
      </c>
      <c r="F97" t="s">
        <v>355</v>
      </c>
      <c r="G97" t="s">
        <v>355</v>
      </c>
    </row>
    <row r="98" spans="2:7" hidden="1" x14ac:dyDescent="0.3">
      <c r="B98" s="135" t="s">
        <v>379</v>
      </c>
      <c r="C98" s="135"/>
      <c r="D98" s="135" t="s">
        <v>1357</v>
      </c>
      <c r="E98" s="135" t="s">
        <v>829</v>
      </c>
      <c r="F98" t="s">
        <v>355</v>
      </c>
      <c r="G98" t="s">
        <v>355</v>
      </c>
    </row>
    <row r="99" spans="2:7" hidden="1" x14ac:dyDescent="0.3">
      <c r="B99" s="135" t="s">
        <v>379</v>
      </c>
      <c r="C99" s="135"/>
      <c r="D99" s="135" t="s">
        <v>1358</v>
      </c>
      <c r="E99" s="135" t="s">
        <v>373</v>
      </c>
      <c r="F99" t="s">
        <v>355</v>
      </c>
      <c r="G99" t="s">
        <v>355</v>
      </c>
    </row>
    <row r="100" spans="2:7" hidden="1" x14ac:dyDescent="0.3">
      <c r="B100" s="135" t="s">
        <v>379</v>
      </c>
      <c r="C100" s="135"/>
      <c r="D100" s="135" t="s">
        <v>1359</v>
      </c>
      <c r="E100" s="135" t="s">
        <v>829</v>
      </c>
      <c r="F100" t="s">
        <v>355</v>
      </c>
      <c r="G100" t="s">
        <v>355</v>
      </c>
    </row>
    <row r="101" spans="2:7" hidden="1" x14ac:dyDescent="0.3">
      <c r="B101" s="135" t="s">
        <v>379</v>
      </c>
      <c r="C101" s="135"/>
      <c r="D101" s="135" t="s">
        <v>1360</v>
      </c>
      <c r="E101" s="135" t="s">
        <v>829</v>
      </c>
      <c r="F101" t="s">
        <v>355</v>
      </c>
      <c r="G101" t="s">
        <v>355</v>
      </c>
    </row>
    <row r="102" spans="2:7" hidden="1" x14ac:dyDescent="0.3">
      <c r="B102" s="135" t="s">
        <v>380</v>
      </c>
      <c r="C102" s="135"/>
      <c r="D102" s="135" t="s">
        <v>1346</v>
      </c>
      <c r="E102" s="135" t="s">
        <v>829</v>
      </c>
      <c r="F102" t="s">
        <v>356</v>
      </c>
      <c r="G102" t="s">
        <v>356</v>
      </c>
    </row>
    <row r="103" spans="2:7" hidden="1" x14ac:dyDescent="0.3">
      <c r="B103" s="135" t="s">
        <v>380</v>
      </c>
      <c r="C103" s="135"/>
      <c r="D103" s="135" t="s">
        <v>1346</v>
      </c>
      <c r="E103" s="135" t="s">
        <v>376</v>
      </c>
      <c r="F103" t="s">
        <v>356</v>
      </c>
      <c r="G103" t="s">
        <v>356</v>
      </c>
    </row>
    <row r="104" spans="2:7" hidden="1" x14ac:dyDescent="0.3">
      <c r="B104" s="135" t="s">
        <v>391</v>
      </c>
      <c r="C104" s="135"/>
      <c r="D104" s="135" t="s">
        <v>1335</v>
      </c>
      <c r="E104" s="135" t="s">
        <v>366</v>
      </c>
      <c r="F104" t="s">
        <v>355</v>
      </c>
      <c r="G104" t="s">
        <v>355</v>
      </c>
    </row>
    <row r="105" spans="2:7" hidden="1" x14ac:dyDescent="0.3">
      <c r="B105" s="135" t="s">
        <v>391</v>
      </c>
      <c r="C105" s="135"/>
      <c r="D105" s="135" t="s">
        <v>1335</v>
      </c>
      <c r="E105" s="135" t="s">
        <v>828</v>
      </c>
      <c r="F105" t="s">
        <v>356</v>
      </c>
      <c r="G105" t="s">
        <v>355</v>
      </c>
    </row>
    <row r="106" spans="2:7" hidden="1" x14ac:dyDescent="0.3">
      <c r="B106" s="135" t="s">
        <v>391</v>
      </c>
      <c r="C106" s="135"/>
      <c r="D106" s="135" t="s">
        <v>1347</v>
      </c>
      <c r="E106" s="135" t="s">
        <v>366</v>
      </c>
      <c r="F106" t="s">
        <v>356</v>
      </c>
      <c r="G106" t="s">
        <v>356</v>
      </c>
    </row>
    <row r="107" spans="2:7" hidden="1" x14ac:dyDescent="0.3">
      <c r="B107" s="135" t="s">
        <v>391</v>
      </c>
      <c r="C107" s="135"/>
      <c r="D107" s="135" t="s">
        <v>1347</v>
      </c>
      <c r="E107" s="135" t="s">
        <v>375</v>
      </c>
      <c r="F107" t="s">
        <v>356</v>
      </c>
      <c r="G107" t="s">
        <v>356</v>
      </c>
    </row>
    <row r="108" spans="2:7" hidden="1" x14ac:dyDescent="0.3">
      <c r="B108" s="135" t="s">
        <v>391</v>
      </c>
      <c r="C108" s="135"/>
      <c r="D108" s="135" t="s">
        <v>1361</v>
      </c>
      <c r="E108" s="135" t="s">
        <v>375</v>
      </c>
      <c r="F108" t="s">
        <v>355</v>
      </c>
      <c r="G108" t="s">
        <v>355</v>
      </c>
    </row>
    <row r="109" spans="2:7" hidden="1" x14ac:dyDescent="0.3">
      <c r="B109" s="135" t="s">
        <v>391</v>
      </c>
      <c r="C109" s="135"/>
      <c r="D109" s="135" t="s">
        <v>1362</v>
      </c>
      <c r="E109" s="135" t="s">
        <v>366</v>
      </c>
      <c r="F109" t="s">
        <v>355</v>
      </c>
      <c r="G109" t="s">
        <v>355</v>
      </c>
    </row>
    <row r="110" spans="2:7" hidden="1" x14ac:dyDescent="0.3">
      <c r="B110" s="135" t="s">
        <v>391</v>
      </c>
      <c r="C110" s="135"/>
      <c r="D110" s="135" t="s">
        <v>1349</v>
      </c>
      <c r="E110" s="135" t="s">
        <v>829</v>
      </c>
      <c r="F110" t="s">
        <v>355</v>
      </c>
      <c r="G110" t="s">
        <v>355</v>
      </c>
    </row>
    <row r="111" spans="2:7" hidden="1" x14ac:dyDescent="0.3">
      <c r="B111" s="135" t="s">
        <v>391</v>
      </c>
      <c r="C111" s="135"/>
      <c r="D111" s="135" t="s">
        <v>1349</v>
      </c>
      <c r="E111" s="135" t="s">
        <v>375</v>
      </c>
      <c r="F111" t="s">
        <v>355</v>
      </c>
      <c r="G111" t="s">
        <v>355</v>
      </c>
    </row>
    <row r="112" spans="2:7" hidden="1" x14ac:dyDescent="0.3">
      <c r="B112" s="135" t="s">
        <v>391</v>
      </c>
      <c r="C112" s="135"/>
      <c r="D112" s="135" t="s">
        <v>1363</v>
      </c>
      <c r="E112" s="135" t="s">
        <v>373</v>
      </c>
      <c r="F112" t="s">
        <v>355</v>
      </c>
      <c r="G112" t="s">
        <v>355</v>
      </c>
    </row>
    <row r="113" spans="2:7" hidden="1" x14ac:dyDescent="0.3">
      <c r="B113" s="135" t="s">
        <v>391</v>
      </c>
      <c r="C113" s="135"/>
      <c r="D113" s="135" t="s">
        <v>1345</v>
      </c>
      <c r="E113" s="135" t="s">
        <v>366</v>
      </c>
      <c r="F113" t="s">
        <v>355</v>
      </c>
      <c r="G113" t="s">
        <v>355</v>
      </c>
    </row>
    <row r="114" spans="2:7" hidden="1" x14ac:dyDescent="0.3">
      <c r="B114" s="135" t="s">
        <v>391</v>
      </c>
      <c r="C114" s="135"/>
      <c r="D114" s="135" t="s">
        <v>1345</v>
      </c>
      <c r="E114" s="135" t="s">
        <v>829</v>
      </c>
      <c r="F114" t="s">
        <v>355</v>
      </c>
      <c r="G114" t="s">
        <v>355</v>
      </c>
    </row>
    <row r="115" spans="2:7" hidden="1" x14ac:dyDescent="0.3">
      <c r="B115" s="135" t="s">
        <v>391</v>
      </c>
      <c r="C115" s="135"/>
      <c r="D115" s="135" t="s">
        <v>1345</v>
      </c>
      <c r="E115" s="135" t="s">
        <v>375</v>
      </c>
      <c r="F115" t="s">
        <v>355</v>
      </c>
      <c r="G115" t="s">
        <v>355</v>
      </c>
    </row>
    <row r="116" spans="2:7" hidden="1" x14ac:dyDescent="0.3">
      <c r="B116" s="135" t="s">
        <v>391</v>
      </c>
      <c r="C116" s="135"/>
      <c r="D116" s="135" t="s">
        <v>1345</v>
      </c>
      <c r="E116" s="135" t="s">
        <v>828</v>
      </c>
      <c r="F116" t="s">
        <v>355</v>
      </c>
      <c r="G116" t="s">
        <v>356</v>
      </c>
    </row>
    <row r="117" spans="2:7" hidden="1" x14ac:dyDescent="0.3">
      <c r="B117" s="135" t="s">
        <v>391</v>
      </c>
      <c r="C117" s="135"/>
      <c r="D117" s="135" t="s">
        <v>1345</v>
      </c>
      <c r="E117" s="135" t="s">
        <v>830</v>
      </c>
      <c r="F117" t="s">
        <v>355</v>
      </c>
      <c r="G117" t="s">
        <v>356</v>
      </c>
    </row>
    <row r="118" spans="2:7" hidden="1" x14ac:dyDescent="0.3">
      <c r="B118" s="135" t="s">
        <v>391</v>
      </c>
      <c r="C118" s="135"/>
      <c r="D118" s="135" t="s">
        <v>1345</v>
      </c>
      <c r="E118" s="135" t="s">
        <v>376</v>
      </c>
      <c r="F118" t="s">
        <v>355</v>
      </c>
      <c r="G118" t="s">
        <v>355</v>
      </c>
    </row>
    <row r="119" spans="2:7" hidden="1" x14ac:dyDescent="0.3">
      <c r="B119" s="135" t="s">
        <v>391</v>
      </c>
      <c r="C119" s="135"/>
      <c r="D119" s="135" t="s">
        <v>1345</v>
      </c>
      <c r="E119" s="135" t="s">
        <v>373</v>
      </c>
      <c r="F119" t="s">
        <v>355</v>
      </c>
      <c r="G119" t="s">
        <v>355</v>
      </c>
    </row>
    <row r="120" spans="2:7" hidden="1" x14ac:dyDescent="0.3">
      <c r="B120" s="135" t="s">
        <v>391</v>
      </c>
      <c r="C120" s="135"/>
      <c r="D120" s="135" t="s">
        <v>1345</v>
      </c>
      <c r="E120" s="135" t="s">
        <v>1344</v>
      </c>
      <c r="F120" t="s">
        <v>355</v>
      </c>
      <c r="G120" t="s">
        <v>355</v>
      </c>
    </row>
    <row r="121" spans="2:7" hidden="1" x14ac:dyDescent="0.3">
      <c r="B121" s="135" t="s">
        <v>391</v>
      </c>
      <c r="C121" s="135"/>
      <c r="D121" s="135" t="s">
        <v>1343</v>
      </c>
      <c r="E121" s="135" t="s">
        <v>366</v>
      </c>
      <c r="F121" t="s">
        <v>355</v>
      </c>
      <c r="G121" t="s">
        <v>355</v>
      </c>
    </row>
    <row r="122" spans="2:7" hidden="1" x14ac:dyDescent="0.3">
      <c r="B122" s="135" t="s">
        <v>391</v>
      </c>
      <c r="C122" s="135"/>
      <c r="D122" s="135" t="s">
        <v>1343</v>
      </c>
      <c r="E122" s="135" t="s">
        <v>375</v>
      </c>
      <c r="F122" t="s">
        <v>355</v>
      </c>
      <c r="G122" t="s">
        <v>356</v>
      </c>
    </row>
    <row r="123" spans="2:7" hidden="1" x14ac:dyDescent="0.3">
      <c r="B123" s="135" t="s">
        <v>391</v>
      </c>
      <c r="C123" s="135"/>
      <c r="D123" s="135" t="s">
        <v>1343</v>
      </c>
      <c r="E123" s="135" t="s">
        <v>828</v>
      </c>
      <c r="F123" t="s">
        <v>355</v>
      </c>
      <c r="G123" t="s">
        <v>355</v>
      </c>
    </row>
    <row r="124" spans="2:7" hidden="1" x14ac:dyDescent="0.3">
      <c r="B124" s="135" t="s">
        <v>391</v>
      </c>
      <c r="C124" s="135"/>
      <c r="D124" s="135" t="s">
        <v>1343</v>
      </c>
      <c r="E124" s="135" t="s">
        <v>373</v>
      </c>
      <c r="F124" t="s">
        <v>355</v>
      </c>
      <c r="G124" t="s">
        <v>355</v>
      </c>
    </row>
    <row r="125" spans="2:7" hidden="1" x14ac:dyDescent="0.3">
      <c r="B125" s="135" t="s">
        <v>391</v>
      </c>
      <c r="C125" s="135"/>
      <c r="D125" s="135" t="s">
        <v>1364</v>
      </c>
      <c r="E125" s="135" t="s">
        <v>829</v>
      </c>
      <c r="F125" t="s">
        <v>355</v>
      </c>
      <c r="G125" t="s">
        <v>355</v>
      </c>
    </row>
    <row r="126" spans="2:7" hidden="1" x14ac:dyDescent="0.3">
      <c r="B126" s="135" t="s">
        <v>391</v>
      </c>
      <c r="C126" s="135"/>
      <c r="D126" s="135" t="s">
        <v>1364</v>
      </c>
      <c r="E126" s="135" t="s">
        <v>373</v>
      </c>
      <c r="F126" t="s">
        <v>355</v>
      </c>
      <c r="G126" t="s">
        <v>355</v>
      </c>
    </row>
    <row r="127" spans="2:7" hidden="1" x14ac:dyDescent="0.3">
      <c r="B127" s="135" t="s">
        <v>391</v>
      </c>
      <c r="C127" s="135"/>
      <c r="D127" s="135" t="s">
        <v>1365</v>
      </c>
      <c r="E127" s="135" t="s">
        <v>375</v>
      </c>
      <c r="F127" t="s">
        <v>355</v>
      </c>
      <c r="G127" t="s">
        <v>355</v>
      </c>
    </row>
    <row r="128" spans="2:7" hidden="1" x14ac:dyDescent="0.3">
      <c r="B128" s="135" t="s">
        <v>391</v>
      </c>
      <c r="C128" s="135"/>
      <c r="D128" s="135" t="s">
        <v>1365</v>
      </c>
      <c r="E128" s="135" t="s">
        <v>828</v>
      </c>
      <c r="F128" t="s">
        <v>355</v>
      </c>
      <c r="G128" t="s">
        <v>355</v>
      </c>
    </row>
    <row r="129" spans="2:7" hidden="1" x14ac:dyDescent="0.3">
      <c r="B129" s="135" t="s">
        <v>391</v>
      </c>
      <c r="C129" s="135"/>
      <c r="D129" s="135" t="s">
        <v>1365</v>
      </c>
      <c r="E129" s="135" t="s">
        <v>830</v>
      </c>
      <c r="F129" t="s">
        <v>355</v>
      </c>
      <c r="G129" t="s">
        <v>355</v>
      </c>
    </row>
    <row r="130" spans="2:7" hidden="1" x14ac:dyDescent="0.3">
      <c r="B130" s="135" t="s">
        <v>391</v>
      </c>
      <c r="C130" s="135"/>
      <c r="D130" s="135" t="s">
        <v>1366</v>
      </c>
      <c r="E130" s="135" t="s">
        <v>366</v>
      </c>
      <c r="F130" t="s">
        <v>355</v>
      </c>
      <c r="G130" t="s">
        <v>355</v>
      </c>
    </row>
    <row r="131" spans="2:7" hidden="1" x14ac:dyDescent="0.3">
      <c r="B131" s="135" t="s">
        <v>391</v>
      </c>
      <c r="C131" s="135"/>
      <c r="D131" s="135" t="s">
        <v>1366</v>
      </c>
      <c r="E131" s="135" t="s">
        <v>373</v>
      </c>
      <c r="F131" t="s">
        <v>355</v>
      </c>
      <c r="G131" t="s">
        <v>355</v>
      </c>
    </row>
    <row r="132" spans="2:7" hidden="1" x14ac:dyDescent="0.3">
      <c r="B132" s="135" t="s">
        <v>391</v>
      </c>
      <c r="C132" s="135"/>
      <c r="D132" s="135" t="s">
        <v>1336</v>
      </c>
      <c r="E132" s="135" t="s">
        <v>366</v>
      </c>
      <c r="F132" t="s">
        <v>355</v>
      </c>
      <c r="G132" t="s">
        <v>355</v>
      </c>
    </row>
    <row r="133" spans="2:7" hidden="1" x14ac:dyDescent="0.3">
      <c r="B133" s="135" t="s">
        <v>391</v>
      </c>
      <c r="C133" s="135"/>
      <c r="D133" s="135" t="s">
        <v>1336</v>
      </c>
      <c r="E133" s="135" t="s">
        <v>375</v>
      </c>
      <c r="F133" t="s">
        <v>355</v>
      </c>
      <c r="G133" t="s">
        <v>355</v>
      </c>
    </row>
    <row r="134" spans="2:7" hidden="1" x14ac:dyDescent="0.3">
      <c r="B134" s="135" t="s">
        <v>391</v>
      </c>
      <c r="C134" s="135"/>
      <c r="D134" s="135" t="s">
        <v>1367</v>
      </c>
      <c r="E134" s="135" t="s">
        <v>366</v>
      </c>
      <c r="F134" t="s">
        <v>355</v>
      </c>
      <c r="G134" t="s">
        <v>356</v>
      </c>
    </row>
    <row r="135" spans="2:7" hidden="1" x14ac:dyDescent="0.3">
      <c r="B135" s="135" t="s">
        <v>391</v>
      </c>
      <c r="C135" s="135"/>
      <c r="D135" s="135" t="s">
        <v>1342</v>
      </c>
      <c r="E135" s="135" t="s">
        <v>373</v>
      </c>
      <c r="F135" t="s">
        <v>355</v>
      </c>
      <c r="G135" t="s">
        <v>355</v>
      </c>
    </row>
    <row r="136" spans="2:7" hidden="1" x14ac:dyDescent="0.3">
      <c r="B136" s="135" t="s">
        <v>391</v>
      </c>
      <c r="C136" s="135"/>
      <c r="D136" s="135" t="s">
        <v>1334</v>
      </c>
      <c r="E136" s="135" t="s">
        <v>375</v>
      </c>
      <c r="F136" t="s">
        <v>355</v>
      </c>
      <c r="G136" t="s">
        <v>355</v>
      </c>
    </row>
    <row r="137" spans="2:7" hidden="1" x14ac:dyDescent="0.3">
      <c r="B137" s="135" t="s">
        <v>391</v>
      </c>
      <c r="C137" s="135"/>
      <c r="D137" s="135" t="s">
        <v>1334</v>
      </c>
      <c r="E137" s="135" t="s">
        <v>828</v>
      </c>
      <c r="F137" t="s">
        <v>355</v>
      </c>
      <c r="G137" t="s">
        <v>355</v>
      </c>
    </row>
    <row r="138" spans="2:7" hidden="1" x14ac:dyDescent="0.3">
      <c r="B138" s="135" t="s">
        <v>391</v>
      </c>
      <c r="C138" s="135"/>
      <c r="D138" s="135" t="s">
        <v>1334</v>
      </c>
      <c r="E138" s="135" t="s">
        <v>376</v>
      </c>
      <c r="F138" t="s">
        <v>355</v>
      </c>
      <c r="G138" t="s">
        <v>355</v>
      </c>
    </row>
    <row r="139" spans="2:7" hidden="1" x14ac:dyDescent="0.3">
      <c r="B139" s="135" t="s">
        <v>391</v>
      </c>
      <c r="C139" s="135"/>
      <c r="D139" s="135" t="s">
        <v>1334</v>
      </c>
      <c r="E139" s="135" t="s">
        <v>1344</v>
      </c>
      <c r="F139" t="s">
        <v>355</v>
      </c>
      <c r="G139" t="s">
        <v>356</v>
      </c>
    </row>
    <row r="140" spans="2:7" hidden="1" x14ac:dyDescent="0.3">
      <c r="B140" s="135" t="s">
        <v>391</v>
      </c>
      <c r="C140" s="135"/>
      <c r="D140" s="135" t="s">
        <v>1368</v>
      </c>
      <c r="E140" s="135" t="s">
        <v>828</v>
      </c>
      <c r="F140" t="s">
        <v>355</v>
      </c>
      <c r="G140" t="s">
        <v>355</v>
      </c>
    </row>
    <row r="141" spans="2:7" hidden="1" x14ac:dyDescent="0.3">
      <c r="B141" s="135" t="s">
        <v>391</v>
      </c>
      <c r="C141" s="135"/>
      <c r="D141" s="135" t="s">
        <v>1339</v>
      </c>
      <c r="E141" s="135" t="s">
        <v>829</v>
      </c>
      <c r="F141" t="s">
        <v>356</v>
      </c>
      <c r="G141" t="s">
        <v>356</v>
      </c>
    </row>
    <row r="142" spans="2:7" hidden="1" x14ac:dyDescent="0.3">
      <c r="B142" s="135" t="s">
        <v>391</v>
      </c>
      <c r="C142" s="135"/>
      <c r="D142" s="135" t="s">
        <v>1339</v>
      </c>
      <c r="E142" s="135" t="s">
        <v>830</v>
      </c>
      <c r="F142" t="s">
        <v>355</v>
      </c>
      <c r="G142" t="s">
        <v>355</v>
      </c>
    </row>
    <row r="143" spans="2:7" hidden="1" x14ac:dyDescent="0.3">
      <c r="B143" s="135" t="s">
        <v>391</v>
      </c>
      <c r="C143" s="135"/>
      <c r="D143" s="135" t="s">
        <v>1339</v>
      </c>
      <c r="E143" s="135" t="s">
        <v>373</v>
      </c>
      <c r="F143" t="s">
        <v>355</v>
      </c>
      <c r="G143" t="s">
        <v>356</v>
      </c>
    </row>
    <row r="144" spans="2:7" hidden="1" x14ac:dyDescent="0.3">
      <c r="B144" s="135" t="s">
        <v>391</v>
      </c>
      <c r="C144" s="135"/>
      <c r="D144" s="135" t="s">
        <v>1369</v>
      </c>
      <c r="E144" s="135" t="s">
        <v>1338</v>
      </c>
      <c r="F144" t="s">
        <v>355</v>
      </c>
      <c r="G144" t="s">
        <v>355</v>
      </c>
    </row>
    <row r="145" spans="2:7" hidden="1" x14ac:dyDescent="0.3">
      <c r="B145" s="135" t="s">
        <v>391</v>
      </c>
      <c r="C145" s="135"/>
      <c r="D145" s="135" t="s">
        <v>1369</v>
      </c>
      <c r="E145" s="135" t="s">
        <v>366</v>
      </c>
      <c r="F145" t="s">
        <v>355</v>
      </c>
      <c r="G145" t="s">
        <v>355</v>
      </c>
    </row>
    <row r="146" spans="2:7" hidden="1" x14ac:dyDescent="0.3">
      <c r="B146" s="135" t="s">
        <v>391</v>
      </c>
      <c r="C146" s="135"/>
      <c r="D146" s="135" t="s">
        <v>1369</v>
      </c>
      <c r="E146" s="135" t="s">
        <v>373</v>
      </c>
      <c r="F146" t="s">
        <v>356</v>
      </c>
      <c r="G146" t="s">
        <v>355</v>
      </c>
    </row>
    <row r="147" spans="2:7" hidden="1" x14ac:dyDescent="0.3">
      <c r="B147" s="135" t="s">
        <v>391</v>
      </c>
      <c r="C147" s="135"/>
      <c r="D147" s="135" t="s">
        <v>1370</v>
      </c>
      <c r="E147" s="135" t="s">
        <v>375</v>
      </c>
      <c r="F147" t="s">
        <v>356</v>
      </c>
      <c r="G147" t="s">
        <v>355</v>
      </c>
    </row>
    <row r="148" spans="2:7" hidden="1" x14ac:dyDescent="0.3">
      <c r="B148" s="135" t="s">
        <v>391</v>
      </c>
      <c r="C148" s="135"/>
      <c r="D148" s="135" t="s">
        <v>1371</v>
      </c>
      <c r="E148" s="135" t="s">
        <v>366</v>
      </c>
      <c r="F148" t="s">
        <v>355</v>
      </c>
      <c r="G148" t="s">
        <v>355</v>
      </c>
    </row>
    <row r="149" spans="2:7" hidden="1" x14ac:dyDescent="0.3">
      <c r="B149" s="135" t="s">
        <v>391</v>
      </c>
      <c r="C149" s="135"/>
      <c r="D149" s="135" t="s">
        <v>1371</v>
      </c>
      <c r="E149" s="135" t="s">
        <v>373</v>
      </c>
      <c r="F149" t="s">
        <v>355</v>
      </c>
      <c r="G149" t="s">
        <v>355</v>
      </c>
    </row>
    <row r="150" spans="2:7" hidden="1" x14ac:dyDescent="0.3">
      <c r="B150" s="135" t="s">
        <v>391</v>
      </c>
      <c r="C150" s="135"/>
      <c r="D150" s="135" t="s">
        <v>1372</v>
      </c>
      <c r="E150" s="135" t="s">
        <v>828</v>
      </c>
      <c r="F150" t="s">
        <v>355</v>
      </c>
      <c r="G150" t="s">
        <v>355</v>
      </c>
    </row>
    <row r="151" spans="2:7" hidden="1" x14ac:dyDescent="0.3">
      <c r="B151" s="135" t="s">
        <v>391</v>
      </c>
      <c r="C151" s="135"/>
      <c r="D151" s="135" t="s">
        <v>1373</v>
      </c>
      <c r="E151" s="135" t="s">
        <v>375</v>
      </c>
      <c r="F151" t="s">
        <v>355</v>
      </c>
      <c r="G151" t="s">
        <v>355</v>
      </c>
    </row>
    <row r="152" spans="2:7" hidden="1" x14ac:dyDescent="0.3">
      <c r="B152" s="135" t="s">
        <v>391</v>
      </c>
      <c r="C152" s="135"/>
      <c r="D152" s="135" t="s">
        <v>1373</v>
      </c>
      <c r="E152" s="135" t="s">
        <v>373</v>
      </c>
      <c r="F152" t="s">
        <v>355</v>
      </c>
      <c r="G152" t="s">
        <v>355</v>
      </c>
    </row>
    <row r="153" spans="2:7" hidden="1" x14ac:dyDescent="0.3">
      <c r="B153" s="135" t="s">
        <v>391</v>
      </c>
      <c r="C153" s="135"/>
      <c r="D153" s="135" t="s">
        <v>1374</v>
      </c>
      <c r="E153" s="135" t="s">
        <v>829</v>
      </c>
      <c r="F153" t="s">
        <v>355</v>
      </c>
      <c r="G153" t="s">
        <v>355</v>
      </c>
    </row>
    <row r="154" spans="2:7" hidden="1" x14ac:dyDescent="0.3">
      <c r="B154" s="135" t="s">
        <v>391</v>
      </c>
      <c r="C154" s="135"/>
      <c r="D154" s="135" t="s">
        <v>1346</v>
      </c>
      <c r="E154" s="135" t="s">
        <v>366</v>
      </c>
      <c r="F154" t="s">
        <v>355</v>
      </c>
      <c r="G154" t="s">
        <v>355</v>
      </c>
    </row>
    <row r="155" spans="2:7" hidden="1" x14ac:dyDescent="0.3">
      <c r="B155" s="135" t="s">
        <v>391</v>
      </c>
      <c r="C155" s="135"/>
      <c r="D155" s="135" t="s">
        <v>1346</v>
      </c>
      <c r="E155" s="135" t="s">
        <v>829</v>
      </c>
      <c r="F155" t="s">
        <v>355</v>
      </c>
      <c r="G155" t="s">
        <v>355</v>
      </c>
    </row>
    <row r="156" spans="2:7" hidden="1" x14ac:dyDescent="0.3">
      <c r="B156" s="135" t="s">
        <v>391</v>
      </c>
      <c r="C156" s="135"/>
      <c r="D156" s="135" t="s">
        <v>1346</v>
      </c>
      <c r="E156" s="135" t="s">
        <v>828</v>
      </c>
      <c r="F156" t="s">
        <v>355</v>
      </c>
      <c r="G156" t="s">
        <v>355</v>
      </c>
    </row>
    <row r="157" spans="2:7" hidden="1" x14ac:dyDescent="0.3">
      <c r="B157" s="135" t="s">
        <v>391</v>
      </c>
      <c r="C157" s="135"/>
      <c r="D157" s="135" t="s">
        <v>1346</v>
      </c>
      <c r="E157" s="135" t="s">
        <v>373</v>
      </c>
      <c r="F157" t="s">
        <v>355</v>
      </c>
      <c r="G157" t="s">
        <v>355</v>
      </c>
    </row>
    <row r="158" spans="2:7" hidden="1" x14ac:dyDescent="0.3">
      <c r="B158" s="135" t="s">
        <v>391</v>
      </c>
      <c r="C158" s="135"/>
      <c r="D158" s="135" t="s">
        <v>1375</v>
      </c>
      <c r="E158" s="135" t="s">
        <v>366</v>
      </c>
      <c r="F158" t="s">
        <v>355</v>
      </c>
      <c r="G158" t="s">
        <v>355</v>
      </c>
    </row>
    <row r="159" spans="2:7" hidden="1" x14ac:dyDescent="0.3">
      <c r="B159" s="135" t="s">
        <v>391</v>
      </c>
      <c r="C159" s="135"/>
      <c r="D159" s="135" t="s">
        <v>1375</v>
      </c>
      <c r="E159" s="135" t="s">
        <v>828</v>
      </c>
      <c r="F159" t="s">
        <v>355</v>
      </c>
      <c r="G159" t="s">
        <v>355</v>
      </c>
    </row>
    <row r="160" spans="2:7" hidden="1" x14ac:dyDescent="0.3">
      <c r="B160" s="135" t="s">
        <v>391</v>
      </c>
      <c r="C160" s="135"/>
      <c r="D160" s="135" t="s">
        <v>1376</v>
      </c>
      <c r="E160" s="135" t="s">
        <v>373</v>
      </c>
      <c r="F160" t="s">
        <v>355</v>
      </c>
      <c r="G160" t="s">
        <v>355</v>
      </c>
    </row>
    <row r="161" spans="2:7" hidden="1" x14ac:dyDescent="0.3">
      <c r="B161" s="135" t="s">
        <v>391</v>
      </c>
      <c r="C161" s="135"/>
      <c r="D161" s="135" t="s">
        <v>1340</v>
      </c>
      <c r="E161" s="135" t="s">
        <v>829</v>
      </c>
      <c r="F161" t="s">
        <v>355</v>
      </c>
      <c r="G161" t="s">
        <v>355</v>
      </c>
    </row>
    <row r="162" spans="2:7" hidden="1" x14ac:dyDescent="0.3">
      <c r="B162" s="135" t="s">
        <v>391</v>
      </c>
      <c r="C162" s="135"/>
      <c r="D162" s="135" t="s">
        <v>1340</v>
      </c>
      <c r="E162" s="135" t="s">
        <v>373</v>
      </c>
      <c r="F162" t="s">
        <v>355</v>
      </c>
      <c r="G162" t="s">
        <v>355</v>
      </c>
    </row>
    <row r="163" spans="2:7" hidden="1" x14ac:dyDescent="0.3">
      <c r="B163" s="135" t="s">
        <v>391</v>
      </c>
      <c r="C163" s="135"/>
      <c r="D163" s="135" t="s">
        <v>1333</v>
      </c>
      <c r="E163" s="135" t="s">
        <v>366</v>
      </c>
      <c r="F163" t="s">
        <v>355</v>
      </c>
      <c r="G163" t="s">
        <v>355</v>
      </c>
    </row>
    <row r="164" spans="2:7" hidden="1" x14ac:dyDescent="0.3">
      <c r="B164" s="135" t="s">
        <v>391</v>
      </c>
      <c r="C164" s="135"/>
      <c r="D164" s="135" t="s">
        <v>1333</v>
      </c>
      <c r="E164" s="135" t="s">
        <v>829</v>
      </c>
      <c r="F164" t="s">
        <v>355</v>
      </c>
      <c r="G164" t="s">
        <v>355</v>
      </c>
    </row>
    <row r="165" spans="2:7" hidden="1" x14ac:dyDescent="0.3">
      <c r="B165" s="135" t="s">
        <v>391</v>
      </c>
      <c r="C165" s="135"/>
      <c r="D165" s="135" t="s">
        <v>1333</v>
      </c>
      <c r="E165" s="135" t="s">
        <v>375</v>
      </c>
      <c r="F165" t="s">
        <v>355</v>
      </c>
      <c r="G165" t="s">
        <v>355</v>
      </c>
    </row>
    <row r="166" spans="2:7" hidden="1" x14ac:dyDescent="0.3">
      <c r="B166" s="135" t="s">
        <v>391</v>
      </c>
      <c r="C166" s="135"/>
      <c r="D166" s="135" t="s">
        <v>1333</v>
      </c>
      <c r="E166" s="135" t="s">
        <v>828</v>
      </c>
      <c r="F166" t="s">
        <v>355</v>
      </c>
      <c r="G166" t="s">
        <v>355</v>
      </c>
    </row>
    <row r="167" spans="2:7" hidden="1" x14ac:dyDescent="0.3">
      <c r="B167" s="135" t="s">
        <v>391</v>
      </c>
      <c r="C167" s="135"/>
      <c r="D167" s="135" t="s">
        <v>1333</v>
      </c>
      <c r="E167" s="135" t="s">
        <v>1355</v>
      </c>
      <c r="F167" t="s">
        <v>355</v>
      </c>
      <c r="G167" t="s">
        <v>355</v>
      </c>
    </row>
    <row r="168" spans="2:7" hidden="1" x14ac:dyDescent="0.3">
      <c r="B168" s="135" t="s">
        <v>391</v>
      </c>
      <c r="C168" s="135"/>
      <c r="D168" s="135" t="s">
        <v>1333</v>
      </c>
      <c r="E168" s="135" t="s">
        <v>373</v>
      </c>
      <c r="F168" t="s">
        <v>355</v>
      </c>
      <c r="G168" t="s">
        <v>355</v>
      </c>
    </row>
    <row r="169" spans="2:7" hidden="1" x14ac:dyDescent="0.3">
      <c r="B169" s="135" t="s">
        <v>391</v>
      </c>
      <c r="C169" s="135"/>
      <c r="D169" s="135" t="s">
        <v>1377</v>
      </c>
      <c r="E169" s="135" t="s">
        <v>366</v>
      </c>
      <c r="F169" t="s">
        <v>355</v>
      </c>
      <c r="G169" t="s">
        <v>356</v>
      </c>
    </row>
    <row r="170" spans="2:7" hidden="1" x14ac:dyDescent="0.3">
      <c r="B170" s="135" t="s">
        <v>391</v>
      </c>
      <c r="C170" s="135"/>
      <c r="D170" s="135" t="s">
        <v>1377</v>
      </c>
      <c r="E170" s="135" t="s">
        <v>373</v>
      </c>
      <c r="F170" t="s">
        <v>355</v>
      </c>
      <c r="G170" t="s">
        <v>356</v>
      </c>
    </row>
    <row r="171" spans="2:7" hidden="1" x14ac:dyDescent="0.3">
      <c r="B171" s="135" t="s">
        <v>391</v>
      </c>
      <c r="C171" s="135"/>
      <c r="D171" s="135" t="s">
        <v>1341</v>
      </c>
      <c r="E171" s="135" t="s">
        <v>366</v>
      </c>
      <c r="F171" t="s">
        <v>355</v>
      </c>
      <c r="G171" t="s">
        <v>356</v>
      </c>
    </row>
    <row r="172" spans="2:7" hidden="1" x14ac:dyDescent="0.3">
      <c r="B172" s="135" t="s">
        <v>391</v>
      </c>
      <c r="C172" s="135"/>
      <c r="D172" s="135" t="s">
        <v>1341</v>
      </c>
      <c r="E172" s="135" t="s">
        <v>829</v>
      </c>
      <c r="F172" t="s">
        <v>355</v>
      </c>
      <c r="G172" t="s">
        <v>356</v>
      </c>
    </row>
    <row r="173" spans="2:7" hidden="1" x14ac:dyDescent="0.3">
      <c r="B173" s="135" t="s">
        <v>391</v>
      </c>
      <c r="C173" s="135"/>
      <c r="D173" s="135" t="s">
        <v>1341</v>
      </c>
      <c r="E173" s="135" t="s">
        <v>373</v>
      </c>
      <c r="F173" t="s">
        <v>355</v>
      </c>
      <c r="G173" t="s">
        <v>356</v>
      </c>
    </row>
    <row r="174" spans="2:7" hidden="1" x14ac:dyDescent="0.3">
      <c r="B174" s="135" t="s">
        <v>391</v>
      </c>
      <c r="C174" s="135"/>
      <c r="D174" s="135" t="s">
        <v>1378</v>
      </c>
      <c r="E174" s="135" t="s">
        <v>373</v>
      </c>
      <c r="F174" t="s">
        <v>355</v>
      </c>
      <c r="G174" t="s">
        <v>356</v>
      </c>
    </row>
    <row r="175" spans="2:7" hidden="1" x14ac:dyDescent="0.3">
      <c r="B175" s="135" t="s">
        <v>391</v>
      </c>
      <c r="C175" s="135"/>
      <c r="D175" s="135" t="s">
        <v>1379</v>
      </c>
      <c r="E175" s="135" t="s">
        <v>373</v>
      </c>
      <c r="F175" t="s">
        <v>355</v>
      </c>
      <c r="G175" t="s">
        <v>356</v>
      </c>
    </row>
    <row r="176" spans="2:7" hidden="1" x14ac:dyDescent="0.3">
      <c r="B176" s="135" t="s">
        <v>384</v>
      </c>
      <c r="C176" s="135"/>
      <c r="D176" s="135" t="s">
        <v>1380</v>
      </c>
      <c r="E176" s="135" t="s">
        <v>373</v>
      </c>
      <c r="F176" t="s">
        <v>356</v>
      </c>
      <c r="G176" t="s">
        <v>356</v>
      </c>
    </row>
    <row r="177" spans="2:7" hidden="1" x14ac:dyDescent="0.3">
      <c r="B177" s="135" t="s">
        <v>384</v>
      </c>
      <c r="C177" s="135"/>
      <c r="D177" s="135" t="s">
        <v>1381</v>
      </c>
      <c r="E177" s="135" t="s">
        <v>373</v>
      </c>
      <c r="F177" t="s">
        <v>356</v>
      </c>
      <c r="G177" t="s">
        <v>356</v>
      </c>
    </row>
    <row r="178" spans="2:7" hidden="1" x14ac:dyDescent="0.3">
      <c r="B178" s="135" t="s">
        <v>384</v>
      </c>
      <c r="C178" s="135"/>
      <c r="D178" s="135" t="s">
        <v>1341</v>
      </c>
      <c r="E178" s="135" t="s">
        <v>1338</v>
      </c>
      <c r="F178" t="s">
        <v>355</v>
      </c>
      <c r="G178" t="s">
        <v>356</v>
      </c>
    </row>
    <row r="179" spans="2:7" hidden="1" x14ac:dyDescent="0.3">
      <c r="B179" s="135" t="s">
        <v>384</v>
      </c>
      <c r="C179" s="135"/>
      <c r="D179" s="135" t="s">
        <v>1341</v>
      </c>
      <c r="E179" s="135" t="s">
        <v>366</v>
      </c>
      <c r="F179" t="s">
        <v>355</v>
      </c>
      <c r="G179" t="s">
        <v>356</v>
      </c>
    </row>
    <row r="180" spans="2:7" hidden="1" x14ac:dyDescent="0.3">
      <c r="B180" s="135" t="s">
        <v>384</v>
      </c>
      <c r="C180" s="135"/>
      <c r="D180" s="135" t="s">
        <v>1341</v>
      </c>
      <c r="E180" s="135" t="s">
        <v>373</v>
      </c>
      <c r="F180" t="s">
        <v>355</v>
      </c>
      <c r="G180" t="s">
        <v>356</v>
      </c>
    </row>
    <row r="181" spans="2:7" hidden="1" x14ac:dyDescent="0.3">
      <c r="B181" s="135" t="s">
        <v>383</v>
      </c>
      <c r="C181" s="135"/>
      <c r="D181" s="135" t="s">
        <v>1347</v>
      </c>
      <c r="E181" s="135" t="s">
        <v>366</v>
      </c>
      <c r="F181" t="s">
        <v>355</v>
      </c>
      <c r="G181" t="s">
        <v>356</v>
      </c>
    </row>
    <row r="182" spans="2:7" hidden="1" x14ac:dyDescent="0.3">
      <c r="B182" s="135" t="s">
        <v>383</v>
      </c>
      <c r="C182" s="135"/>
      <c r="D182" s="135" t="s">
        <v>1347</v>
      </c>
      <c r="E182" s="135" t="s">
        <v>1382</v>
      </c>
      <c r="F182" t="s">
        <v>355</v>
      </c>
      <c r="G182" t="s">
        <v>356</v>
      </c>
    </row>
    <row r="183" spans="2:7" hidden="1" x14ac:dyDescent="0.3">
      <c r="B183" s="135" t="s">
        <v>383</v>
      </c>
      <c r="C183" s="135"/>
      <c r="D183" s="135" t="s">
        <v>1347</v>
      </c>
      <c r="E183" s="135" t="s">
        <v>1344</v>
      </c>
      <c r="F183" t="s">
        <v>355</v>
      </c>
      <c r="G183" t="s">
        <v>356</v>
      </c>
    </row>
    <row r="184" spans="2:7" hidden="1" x14ac:dyDescent="0.3">
      <c r="B184" s="135" t="s">
        <v>383</v>
      </c>
      <c r="C184" s="135"/>
      <c r="D184" s="135" t="s">
        <v>1349</v>
      </c>
      <c r="E184" s="135" t="s">
        <v>375</v>
      </c>
      <c r="F184" t="s">
        <v>355</v>
      </c>
      <c r="G184" t="s">
        <v>355</v>
      </c>
    </row>
    <row r="185" spans="2:7" hidden="1" x14ac:dyDescent="0.3">
      <c r="B185" s="135" t="s">
        <v>383</v>
      </c>
      <c r="C185" s="135"/>
      <c r="D185" s="135" t="s">
        <v>1349</v>
      </c>
      <c r="E185" s="135" t="s">
        <v>373</v>
      </c>
      <c r="F185" t="s">
        <v>355</v>
      </c>
      <c r="G185" t="s">
        <v>355</v>
      </c>
    </row>
    <row r="186" spans="2:7" hidden="1" x14ac:dyDescent="0.3">
      <c r="B186" s="135" t="s">
        <v>383</v>
      </c>
      <c r="C186" s="135"/>
      <c r="D186" s="135" t="s">
        <v>1383</v>
      </c>
      <c r="E186" s="135" t="s">
        <v>366</v>
      </c>
      <c r="F186" t="s">
        <v>355</v>
      </c>
      <c r="G186" t="s">
        <v>356</v>
      </c>
    </row>
    <row r="187" spans="2:7" hidden="1" x14ac:dyDescent="0.3">
      <c r="B187" s="135" t="s">
        <v>383</v>
      </c>
      <c r="C187" s="135"/>
      <c r="D187" s="135" t="s">
        <v>1345</v>
      </c>
      <c r="E187" s="135" t="s">
        <v>375</v>
      </c>
      <c r="F187" t="s">
        <v>355</v>
      </c>
      <c r="G187" t="s">
        <v>355</v>
      </c>
    </row>
    <row r="188" spans="2:7" hidden="1" x14ac:dyDescent="0.3">
      <c r="B188" s="135" t="s">
        <v>383</v>
      </c>
      <c r="C188" s="135"/>
      <c r="D188" s="135" t="s">
        <v>1343</v>
      </c>
      <c r="E188" s="135" t="s">
        <v>375</v>
      </c>
      <c r="F188" t="s">
        <v>355</v>
      </c>
      <c r="G188" t="s">
        <v>355</v>
      </c>
    </row>
    <row r="189" spans="2:7" hidden="1" x14ac:dyDescent="0.3">
      <c r="B189" s="135" t="s">
        <v>383</v>
      </c>
      <c r="C189" s="135"/>
      <c r="D189" s="135" t="s">
        <v>1336</v>
      </c>
      <c r="E189" s="135" t="s">
        <v>373</v>
      </c>
      <c r="F189" t="s">
        <v>355</v>
      </c>
      <c r="G189" t="s">
        <v>355</v>
      </c>
    </row>
    <row r="190" spans="2:7" hidden="1" x14ac:dyDescent="0.3">
      <c r="B190" s="135" t="s">
        <v>383</v>
      </c>
      <c r="C190" s="135"/>
      <c r="D190" s="135" t="s">
        <v>1339</v>
      </c>
      <c r="E190" s="135" t="s">
        <v>829</v>
      </c>
      <c r="F190" t="s">
        <v>355</v>
      </c>
      <c r="G190" t="s">
        <v>355</v>
      </c>
    </row>
    <row r="191" spans="2:7" hidden="1" x14ac:dyDescent="0.3">
      <c r="B191" s="135" t="s">
        <v>383</v>
      </c>
      <c r="C191" s="135"/>
      <c r="D191" s="135" t="s">
        <v>1339</v>
      </c>
      <c r="E191" s="135" t="s">
        <v>375</v>
      </c>
      <c r="F191" t="s">
        <v>355</v>
      </c>
      <c r="G191" t="s">
        <v>355</v>
      </c>
    </row>
    <row r="192" spans="2:7" hidden="1" x14ac:dyDescent="0.3">
      <c r="B192" s="135" t="s">
        <v>383</v>
      </c>
      <c r="C192" s="135"/>
      <c r="D192" s="135" t="s">
        <v>1339</v>
      </c>
      <c r="E192" s="135" t="s">
        <v>1348</v>
      </c>
      <c r="F192" t="s">
        <v>355</v>
      </c>
      <c r="G192" t="s">
        <v>355</v>
      </c>
    </row>
    <row r="193" spans="2:7" hidden="1" x14ac:dyDescent="0.3">
      <c r="B193" s="135" t="s">
        <v>383</v>
      </c>
      <c r="C193" s="135"/>
      <c r="D193" s="135" t="s">
        <v>1333</v>
      </c>
      <c r="E193" s="135" t="s">
        <v>366</v>
      </c>
      <c r="F193" t="s">
        <v>355</v>
      </c>
      <c r="G193" t="s">
        <v>356</v>
      </c>
    </row>
    <row r="194" spans="2:7" hidden="1" x14ac:dyDescent="0.3">
      <c r="B194" s="135" t="s">
        <v>383</v>
      </c>
      <c r="C194" s="135"/>
      <c r="D194" s="135" t="s">
        <v>1333</v>
      </c>
      <c r="E194" s="135" t="s">
        <v>375</v>
      </c>
      <c r="F194" t="s">
        <v>355</v>
      </c>
      <c r="G194" t="s">
        <v>356</v>
      </c>
    </row>
    <row r="195" spans="2:7" hidden="1" x14ac:dyDescent="0.3">
      <c r="B195" s="135" t="s">
        <v>383</v>
      </c>
      <c r="C195" s="135"/>
      <c r="D195" s="135" t="s">
        <v>1333</v>
      </c>
      <c r="E195" s="135" t="s">
        <v>373</v>
      </c>
      <c r="F195" t="s">
        <v>355</v>
      </c>
      <c r="G195" t="s">
        <v>356</v>
      </c>
    </row>
    <row r="196" spans="2:7" hidden="1" x14ac:dyDescent="0.3">
      <c r="B196" s="135" t="s">
        <v>383</v>
      </c>
      <c r="C196" s="135"/>
      <c r="D196" s="135" t="s">
        <v>1333</v>
      </c>
      <c r="E196" s="135" t="s">
        <v>1384</v>
      </c>
      <c r="F196" t="s">
        <v>355</v>
      </c>
      <c r="G196" t="s">
        <v>356</v>
      </c>
    </row>
    <row r="197" spans="2:7" hidden="1" x14ac:dyDescent="0.3">
      <c r="B197" s="135" t="s">
        <v>383</v>
      </c>
      <c r="C197" s="135"/>
      <c r="D197" s="135" t="s">
        <v>1341</v>
      </c>
      <c r="E197" s="135" t="s">
        <v>366</v>
      </c>
      <c r="F197" t="s">
        <v>355</v>
      </c>
      <c r="G197" t="s">
        <v>356</v>
      </c>
    </row>
    <row r="198" spans="2:7" hidden="1" x14ac:dyDescent="0.3">
      <c r="B198" s="135" t="s">
        <v>383</v>
      </c>
      <c r="C198" s="135"/>
      <c r="D198" s="135" t="s">
        <v>1341</v>
      </c>
      <c r="E198" s="135" t="s">
        <v>373</v>
      </c>
      <c r="F198" t="s">
        <v>355</v>
      </c>
      <c r="G198" t="s">
        <v>356</v>
      </c>
    </row>
    <row r="199" spans="2:7" hidden="1" x14ac:dyDescent="0.3">
      <c r="B199" s="135" t="s">
        <v>392</v>
      </c>
      <c r="C199" s="135"/>
      <c r="D199" s="135" t="s">
        <v>1385</v>
      </c>
      <c r="E199" s="135" t="s">
        <v>366</v>
      </c>
      <c r="F199" t="s">
        <v>355</v>
      </c>
      <c r="G199" t="s">
        <v>355</v>
      </c>
    </row>
    <row r="200" spans="2:7" hidden="1" x14ac:dyDescent="0.3">
      <c r="B200" s="135" t="s">
        <v>392</v>
      </c>
      <c r="C200" s="135"/>
      <c r="D200" s="135" t="s">
        <v>1385</v>
      </c>
      <c r="E200" s="135" t="s">
        <v>373</v>
      </c>
      <c r="F200" t="s">
        <v>355</v>
      </c>
      <c r="G200" t="s">
        <v>355</v>
      </c>
    </row>
    <row r="201" spans="2:7" hidden="1" x14ac:dyDescent="0.3">
      <c r="B201" s="135" t="s">
        <v>381</v>
      </c>
      <c r="C201" s="135"/>
      <c r="D201" s="135" t="s">
        <v>1343</v>
      </c>
      <c r="E201" s="135" t="s">
        <v>366</v>
      </c>
      <c r="F201" t="s">
        <v>355</v>
      </c>
      <c r="G201" t="s">
        <v>355</v>
      </c>
    </row>
    <row r="202" spans="2:7" hidden="1" x14ac:dyDescent="0.3">
      <c r="B202" s="135" t="s">
        <v>386</v>
      </c>
      <c r="C202" s="135"/>
      <c r="D202" s="135" t="s">
        <v>1336</v>
      </c>
      <c r="E202" s="135" t="s">
        <v>366</v>
      </c>
      <c r="F202" t="s">
        <v>355</v>
      </c>
      <c r="G202" t="s">
        <v>355</v>
      </c>
    </row>
    <row r="203" spans="2:7" hidden="1" x14ac:dyDescent="0.3">
      <c r="B203" s="135" t="s">
        <v>386</v>
      </c>
      <c r="C203" s="135"/>
      <c r="D203" s="135" t="s">
        <v>1336</v>
      </c>
      <c r="E203" s="135" t="s">
        <v>375</v>
      </c>
      <c r="F203" t="s">
        <v>355</v>
      </c>
      <c r="G203" t="s">
        <v>355</v>
      </c>
    </row>
    <row r="204" spans="2:7" hidden="1" x14ac:dyDescent="0.3">
      <c r="B204" s="135" t="s">
        <v>386</v>
      </c>
      <c r="C204" s="135"/>
      <c r="D204" s="135" t="s">
        <v>1333</v>
      </c>
      <c r="E204" s="135" t="s">
        <v>366</v>
      </c>
      <c r="F204" t="s">
        <v>355</v>
      </c>
      <c r="G204" t="s">
        <v>355</v>
      </c>
    </row>
    <row r="205" spans="2:7" hidden="1" x14ac:dyDescent="0.3">
      <c r="B205" s="135" t="s">
        <v>386</v>
      </c>
      <c r="C205" s="135"/>
      <c r="D205" s="135" t="s">
        <v>1333</v>
      </c>
      <c r="E205" s="135" t="s">
        <v>828</v>
      </c>
      <c r="F205" t="s">
        <v>355</v>
      </c>
      <c r="G205" t="s">
        <v>355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8">
    <tabColor rgb="FF00B050"/>
  </sheetPr>
  <dimension ref="A1:I362"/>
  <sheetViews>
    <sheetView topLeftCell="A178" workbookViewId="0">
      <selection activeCell="D191" sqref="D191"/>
    </sheetView>
  </sheetViews>
  <sheetFormatPr baseColWidth="10" defaultColWidth="11.44140625" defaultRowHeight="14.4" x14ac:dyDescent="0.3"/>
  <cols>
    <col min="1" max="1" width="19.5546875" customWidth="1"/>
    <col min="2" max="2" width="19.33203125" bestFit="1" customWidth="1"/>
    <col min="3" max="3" width="32" bestFit="1" customWidth="1"/>
    <col min="4" max="4" width="27.88671875" bestFit="1" customWidth="1"/>
    <col min="5" max="5" width="17.6640625" bestFit="1" customWidth="1"/>
    <col min="6" max="6" width="27.109375" bestFit="1" customWidth="1"/>
    <col min="7" max="7" width="31.6640625" bestFit="1" customWidth="1"/>
    <col min="8" max="8" width="12.88671875" bestFit="1" customWidth="1"/>
    <col min="9" max="9" width="24.109375" style="211" bestFit="1" customWidth="1"/>
    <col min="10" max="10" width="16.5546875" customWidth="1"/>
    <col min="11" max="11" width="16.33203125" customWidth="1"/>
    <col min="13" max="13" width="18.33203125" bestFit="1" customWidth="1"/>
    <col min="14" max="14" width="31" bestFit="1" customWidth="1"/>
  </cols>
  <sheetData>
    <row r="1" spans="1:9" x14ac:dyDescent="0.3">
      <c r="A1" s="253" t="s">
        <v>644</v>
      </c>
      <c r="B1" s="253" t="s">
        <v>645</v>
      </c>
      <c r="C1" s="254" t="s">
        <v>646</v>
      </c>
      <c r="D1" s="254" t="s">
        <v>647</v>
      </c>
      <c r="E1" s="254" t="s">
        <v>648</v>
      </c>
      <c r="F1" s="254" t="s">
        <v>649</v>
      </c>
      <c r="G1" s="254" t="s">
        <v>650</v>
      </c>
      <c r="H1" s="254" t="s">
        <v>651</v>
      </c>
      <c r="I1" s="255" t="s">
        <v>652</v>
      </c>
    </row>
    <row r="2" spans="1:9" x14ac:dyDescent="0.3">
      <c r="A2" s="212">
        <v>3</v>
      </c>
      <c r="B2" s="213">
        <v>73</v>
      </c>
      <c r="C2" s="214" t="s">
        <v>845</v>
      </c>
      <c r="D2" s="214" t="s">
        <v>846</v>
      </c>
      <c r="E2" s="215" t="s">
        <v>869</v>
      </c>
      <c r="F2" s="215" t="s">
        <v>1211</v>
      </c>
      <c r="G2" s="215" t="s">
        <v>845</v>
      </c>
      <c r="H2" s="216" t="s">
        <v>668</v>
      </c>
      <c r="I2" s="216" t="s">
        <v>804</v>
      </c>
    </row>
    <row r="3" spans="1:9" x14ac:dyDescent="0.3">
      <c r="A3" s="212">
        <v>3</v>
      </c>
      <c r="B3" s="213">
        <v>103</v>
      </c>
      <c r="C3" s="214" t="s">
        <v>847</v>
      </c>
      <c r="D3" s="214" t="s">
        <v>848</v>
      </c>
      <c r="E3" s="215" t="s">
        <v>869</v>
      </c>
      <c r="F3" s="215" t="s">
        <v>847</v>
      </c>
      <c r="G3" s="215" t="s">
        <v>847</v>
      </c>
      <c r="H3" s="216" t="s">
        <v>669</v>
      </c>
      <c r="I3" s="216" t="s">
        <v>804</v>
      </c>
    </row>
    <row r="4" spans="1:9" x14ac:dyDescent="0.3">
      <c r="A4" s="212">
        <v>3</v>
      </c>
      <c r="B4" s="213">
        <v>121</v>
      </c>
      <c r="C4" s="214" t="s">
        <v>849</v>
      </c>
      <c r="D4" s="214" t="s">
        <v>850</v>
      </c>
      <c r="E4" s="215" t="s">
        <v>869</v>
      </c>
      <c r="F4" s="215" t="s">
        <v>1212</v>
      </c>
      <c r="G4" s="215" t="s">
        <v>859</v>
      </c>
      <c r="H4" s="216" t="s">
        <v>670</v>
      </c>
      <c r="I4" s="216" t="s">
        <v>804</v>
      </c>
    </row>
    <row r="5" spans="1:9" x14ac:dyDescent="0.3">
      <c r="A5" s="212">
        <v>3</v>
      </c>
      <c r="B5" s="213">
        <v>70</v>
      </c>
      <c r="C5" s="214" t="s">
        <v>851</v>
      </c>
      <c r="D5" s="214" t="s">
        <v>852</v>
      </c>
      <c r="E5" s="215" t="s">
        <v>869</v>
      </c>
      <c r="F5" s="215" t="s">
        <v>1213</v>
      </c>
      <c r="G5" s="215" t="s">
        <v>851</v>
      </c>
      <c r="H5" s="216" t="s">
        <v>697</v>
      </c>
      <c r="I5" s="216" t="s">
        <v>804</v>
      </c>
    </row>
    <row r="6" spans="1:9" x14ac:dyDescent="0.3">
      <c r="A6" s="212">
        <v>3</v>
      </c>
      <c r="B6" s="213">
        <v>20</v>
      </c>
      <c r="C6" s="214" t="s">
        <v>853</v>
      </c>
      <c r="D6" s="214" t="s">
        <v>854</v>
      </c>
      <c r="E6" s="215" t="s">
        <v>869</v>
      </c>
      <c r="F6" s="215" t="s">
        <v>869</v>
      </c>
      <c r="G6" s="215" t="s">
        <v>869</v>
      </c>
      <c r="H6" s="216" t="s">
        <v>700</v>
      </c>
      <c r="I6" s="216" t="s">
        <v>804</v>
      </c>
    </row>
    <row r="7" spans="1:9" x14ac:dyDescent="0.3">
      <c r="A7" s="212">
        <v>3</v>
      </c>
      <c r="B7" s="213">
        <v>97</v>
      </c>
      <c r="C7" s="214" t="s">
        <v>855</v>
      </c>
      <c r="D7" s="214" t="s">
        <v>856</v>
      </c>
      <c r="E7" s="215" t="s">
        <v>869</v>
      </c>
      <c r="F7" s="215" t="s">
        <v>855</v>
      </c>
      <c r="G7" s="215" t="s">
        <v>855</v>
      </c>
      <c r="H7" s="216" t="s">
        <v>704</v>
      </c>
      <c r="I7" s="216" t="s">
        <v>804</v>
      </c>
    </row>
    <row r="8" spans="1:9" x14ac:dyDescent="0.3">
      <c r="A8" s="212">
        <v>3</v>
      </c>
      <c r="B8" s="213">
        <v>85</v>
      </c>
      <c r="C8" s="214" t="s">
        <v>857</v>
      </c>
      <c r="D8" s="214" t="s">
        <v>858</v>
      </c>
      <c r="E8" s="215" t="s">
        <v>869</v>
      </c>
      <c r="F8" s="215" t="s">
        <v>1214</v>
      </c>
      <c r="G8" s="215" t="s">
        <v>857</v>
      </c>
      <c r="H8" s="216" t="s">
        <v>709</v>
      </c>
      <c r="I8" s="216" t="s">
        <v>804</v>
      </c>
    </row>
    <row r="9" spans="1:9" x14ac:dyDescent="0.3">
      <c r="A9" s="212">
        <v>3</v>
      </c>
      <c r="B9" s="213">
        <v>8</v>
      </c>
      <c r="C9" s="214" t="s">
        <v>859</v>
      </c>
      <c r="D9" s="214" t="s">
        <v>860</v>
      </c>
      <c r="E9" s="215" t="s">
        <v>869</v>
      </c>
      <c r="F9" s="215" t="s">
        <v>1212</v>
      </c>
      <c r="G9" s="215" t="s">
        <v>859</v>
      </c>
      <c r="H9" s="216" t="s">
        <v>670</v>
      </c>
      <c r="I9" s="216" t="s">
        <v>804</v>
      </c>
    </row>
    <row r="10" spans="1:9" x14ac:dyDescent="0.3">
      <c r="A10" s="212">
        <v>3</v>
      </c>
      <c r="B10" s="213">
        <v>37</v>
      </c>
      <c r="C10" s="214" t="s">
        <v>861</v>
      </c>
      <c r="D10" s="214" t="s">
        <v>862</v>
      </c>
      <c r="E10" s="215" t="s">
        <v>869</v>
      </c>
      <c r="F10" s="215" t="s">
        <v>1212</v>
      </c>
      <c r="G10" s="215" t="s">
        <v>859</v>
      </c>
      <c r="H10" s="216" t="s">
        <v>670</v>
      </c>
      <c r="I10" s="216" t="s">
        <v>804</v>
      </c>
    </row>
    <row r="11" spans="1:9" x14ac:dyDescent="0.3">
      <c r="A11" s="212">
        <v>5</v>
      </c>
      <c r="B11" s="213">
        <v>86</v>
      </c>
      <c r="C11" s="214" t="s">
        <v>863</v>
      </c>
      <c r="D11" s="214" t="s">
        <v>864</v>
      </c>
      <c r="E11" s="215" t="s">
        <v>869</v>
      </c>
      <c r="F11" s="215" t="s">
        <v>869</v>
      </c>
      <c r="G11" s="215" t="s">
        <v>869</v>
      </c>
      <c r="H11" s="216" t="s">
        <v>700</v>
      </c>
      <c r="I11" s="216" t="s">
        <v>804</v>
      </c>
    </row>
    <row r="12" spans="1:9" x14ac:dyDescent="0.3">
      <c r="A12" s="212">
        <v>3</v>
      </c>
      <c r="B12" s="213">
        <v>90</v>
      </c>
      <c r="C12" s="214" t="s">
        <v>865</v>
      </c>
      <c r="D12" s="214" t="s">
        <v>866</v>
      </c>
      <c r="E12" s="215" t="s">
        <v>869</v>
      </c>
      <c r="F12" s="215" t="s">
        <v>1215</v>
      </c>
      <c r="G12" s="215" t="s">
        <v>865</v>
      </c>
      <c r="H12" s="216" t="s">
        <v>721</v>
      </c>
      <c r="I12" s="216" t="s">
        <v>804</v>
      </c>
    </row>
    <row r="13" spans="1:9" x14ac:dyDescent="0.3">
      <c r="A13" s="212">
        <v>3</v>
      </c>
      <c r="B13" s="213">
        <v>76</v>
      </c>
      <c r="C13" s="214" t="s">
        <v>867</v>
      </c>
      <c r="D13" s="214" t="s">
        <v>868</v>
      </c>
      <c r="E13" s="215" t="s">
        <v>869</v>
      </c>
      <c r="F13" s="215" t="s">
        <v>1212</v>
      </c>
      <c r="G13" s="215" t="s">
        <v>859</v>
      </c>
      <c r="H13" s="216" t="s">
        <v>670</v>
      </c>
      <c r="I13" s="216" t="s">
        <v>804</v>
      </c>
    </row>
    <row r="14" spans="1:9" x14ac:dyDescent="0.3">
      <c r="A14" s="212">
        <v>3</v>
      </c>
      <c r="B14" s="213">
        <v>13</v>
      </c>
      <c r="C14" s="214" t="s">
        <v>869</v>
      </c>
      <c r="D14" s="214" t="s">
        <v>870</v>
      </c>
      <c r="E14" s="215" t="s">
        <v>869</v>
      </c>
      <c r="F14" s="215" t="s">
        <v>869</v>
      </c>
      <c r="G14" s="215" t="s">
        <v>869</v>
      </c>
      <c r="H14" s="216" t="s">
        <v>700</v>
      </c>
      <c r="I14" s="216" t="s">
        <v>804</v>
      </c>
    </row>
    <row r="15" spans="1:9" x14ac:dyDescent="0.3">
      <c r="A15" s="212">
        <v>3</v>
      </c>
      <c r="B15" s="213">
        <v>32</v>
      </c>
      <c r="C15" s="214" t="s">
        <v>871</v>
      </c>
      <c r="D15" s="214" t="s">
        <v>872</v>
      </c>
      <c r="E15" s="215" t="s">
        <v>869</v>
      </c>
      <c r="F15" s="215" t="s">
        <v>1212</v>
      </c>
      <c r="G15" s="215" t="s">
        <v>859</v>
      </c>
      <c r="H15" s="216" t="s">
        <v>670</v>
      </c>
      <c r="I15" s="216" t="s">
        <v>804</v>
      </c>
    </row>
    <row r="16" spans="1:9" x14ac:dyDescent="0.3">
      <c r="A16" s="212">
        <v>3</v>
      </c>
      <c r="B16" s="213">
        <v>146</v>
      </c>
      <c r="C16" s="214" t="s">
        <v>873</v>
      </c>
      <c r="D16" s="214" t="s">
        <v>874</v>
      </c>
      <c r="E16" s="215" t="s">
        <v>869</v>
      </c>
      <c r="F16" s="215" t="s">
        <v>873</v>
      </c>
      <c r="G16" s="215" t="s">
        <v>873</v>
      </c>
      <c r="H16" s="216" t="s">
        <v>747</v>
      </c>
      <c r="I16" s="216" t="s">
        <v>804</v>
      </c>
    </row>
    <row r="17" spans="1:9" x14ac:dyDescent="0.3">
      <c r="A17" s="212">
        <v>3</v>
      </c>
      <c r="B17" s="213">
        <v>19</v>
      </c>
      <c r="C17" s="214" t="s">
        <v>875</v>
      </c>
      <c r="D17" s="214" t="s">
        <v>876</v>
      </c>
      <c r="E17" s="215" t="s">
        <v>869</v>
      </c>
      <c r="F17" s="215" t="s">
        <v>1212</v>
      </c>
      <c r="G17" s="215" t="s">
        <v>859</v>
      </c>
      <c r="H17" s="216" t="s">
        <v>670</v>
      </c>
      <c r="I17" s="216" t="s">
        <v>804</v>
      </c>
    </row>
    <row r="18" spans="1:9" x14ac:dyDescent="0.3">
      <c r="A18" s="212">
        <v>3</v>
      </c>
      <c r="B18" s="213">
        <v>25</v>
      </c>
      <c r="C18" s="214" t="s">
        <v>877</v>
      </c>
      <c r="D18" s="214" t="s">
        <v>878</v>
      </c>
      <c r="E18" s="215" t="s">
        <v>869</v>
      </c>
      <c r="F18" s="215" t="s">
        <v>877</v>
      </c>
      <c r="G18" s="215" t="s">
        <v>877</v>
      </c>
      <c r="H18" s="216" t="s">
        <v>767</v>
      </c>
      <c r="I18" s="216" t="s">
        <v>804</v>
      </c>
    </row>
    <row r="19" spans="1:9" x14ac:dyDescent="0.3">
      <c r="A19" s="212">
        <v>3</v>
      </c>
      <c r="B19" s="217">
        <v>125</v>
      </c>
      <c r="C19" s="218" t="s">
        <v>879</v>
      </c>
      <c r="D19" s="218" t="s">
        <v>880</v>
      </c>
      <c r="E19" s="219" t="s">
        <v>1216</v>
      </c>
      <c r="F19" s="219" t="s">
        <v>1216</v>
      </c>
      <c r="G19" s="219" t="s">
        <v>887</v>
      </c>
      <c r="H19" s="220" t="s">
        <v>659</v>
      </c>
      <c r="I19" s="220" t="s">
        <v>804</v>
      </c>
    </row>
    <row r="20" spans="1:9" x14ac:dyDescent="0.3">
      <c r="A20" s="212">
        <v>3</v>
      </c>
      <c r="B20" s="217">
        <v>24</v>
      </c>
      <c r="C20" s="218" t="s">
        <v>881</v>
      </c>
      <c r="D20" s="218" t="s">
        <v>882</v>
      </c>
      <c r="E20" s="219" t="s">
        <v>1216</v>
      </c>
      <c r="F20" s="219" t="s">
        <v>1216</v>
      </c>
      <c r="G20" s="219" t="s">
        <v>889</v>
      </c>
      <c r="H20" s="220" t="s">
        <v>660</v>
      </c>
      <c r="I20" s="220" t="s">
        <v>804</v>
      </c>
    </row>
    <row r="21" spans="1:9" x14ac:dyDescent="0.3">
      <c r="A21" s="212">
        <v>3</v>
      </c>
      <c r="B21" s="217">
        <v>135</v>
      </c>
      <c r="C21" s="218" t="s">
        <v>883</v>
      </c>
      <c r="D21" s="218" t="s">
        <v>884</v>
      </c>
      <c r="E21" s="219" t="s">
        <v>1216</v>
      </c>
      <c r="F21" s="219" t="s">
        <v>1216</v>
      </c>
      <c r="G21" s="219" t="s">
        <v>897</v>
      </c>
      <c r="H21" s="220" t="s">
        <v>661</v>
      </c>
      <c r="I21" s="220" t="s">
        <v>804</v>
      </c>
    </row>
    <row r="22" spans="1:9" x14ac:dyDescent="0.3">
      <c r="A22" s="212">
        <v>3</v>
      </c>
      <c r="B22" s="217">
        <v>79</v>
      </c>
      <c r="C22" s="218" t="s">
        <v>885</v>
      </c>
      <c r="D22" s="218" t="s">
        <v>886</v>
      </c>
      <c r="E22" s="219" t="s">
        <v>1216</v>
      </c>
      <c r="F22" s="219" t="s">
        <v>1216</v>
      </c>
      <c r="G22" s="219" t="s">
        <v>885</v>
      </c>
      <c r="H22" s="220" t="s">
        <v>662</v>
      </c>
      <c r="I22" s="220" t="s">
        <v>804</v>
      </c>
    </row>
    <row r="23" spans="1:9" x14ac:dyDescent="0.3">
      <c r="A23" s="212">
        <v>3</v>
      </c>
      <c r="B23" s="217">
        <v>4</v>
      </c>
      <c r="C23" s="218" t="s">
        <v>887</v>
      </c>
      <c r="D23" s="218" t="s">
        <v>888</v>
      </c>
      <c r="E23" s="219" t="s">
        <v>1216</v>
      </c>
      <c r="F23" s="219" t="s">
        <v>1216</v>
      </c>
      <c r="G23" s="219" t="s">
        <v>887</v>
      </c>
      <c r="H23" s="220" t="s">
        <v>659</v>
      </c>
      <c r="I23" s="220" t="s">
        <v>804</v>
      </c>
    </row>
    <row r="24" spans="1:9" x14ac:dyDescent="0.3">
      <c r="A24" s="212">
        <v>3</v>
      </c>
      <c r="B24" s="217">
        <v>141</v>
      </c>
      <c r="C24" s="218" t="s">
        <v>889</v>
      </c>
      <c r="D24" s="218" t="s">
        <v>890</v>
      </c>
      <c r="E24" s="219" t="s">
        <v>1216</v>
      </c>
      <c r="F24" s="219" t="s">
        <v>1216</v>
      </c>
      <c r="G24" s="219" t="s">
        <v>889</v>
      </c>
      <c r="H24" s="220" t="s">
        <v>660</v>
      </c>
      <c r="I24" s="220" t="s">
        <v>804</v>
      </c>
    </row>
    <row r="25" spans="1:9" x14ac:dyDescent="0.3">
      <c r="A25" s="212">
        <v>3</v>
      </c>
      <c r="B25" s="217">
        <v>130</v>
      </c>
      <c r="C25" s="218" t="s">
        <v>891</v>
      </c>
      <c r="D25" s="218" t="s">
        <v>892</v>
      </c>
      <c r="E25" s="219" t="s">
        <v>1216</v>
      </c>
      <c r="F25" s="219" t="s">
        <v>1216</v>
      </c>
      <c r="G25" s="219" t="s">
        <v>909</v>
      </c>
      <c r="H25" s="220" t="s">
        <v>689</v>
      </c>
      <c r="I25" s="220" t="s">
        <v>804</v>
      </c>
    </row>
    <row r="26" spans="1:9" x14ac:dyDescent="0.3">
      <c r="A26" s="212">
        <v>3</v>
      </c>
      <c r="B26" s="217">
        <v>11</v>
      </c>
      <c r="C26" s="218" t="s">
        <v>893</v>
      </c>
      <c r="D26" s="218" t="s">
        <v>894</v>
      </c>
      <c r="E26" s="219" t="s">
        <v>1216</v>
      </c>
      <c r="F26" s="219" t="s">
        <v>1216</v>
      </c>
      <c r="G26" s="219" t="s">
        <v>1216</v>
      </c>
      <c r="H26" s="220" t="s">
        <v>717</v>
      </c>
      <c r="I26" s="220" t="s">
        <v>806</v>
      </c>
    </row>
    <row r="27" spans="1:9" x14ac:dyDescent="0.3">
      <c r="A27" s="212">
        <v>3</v>
      </c>
      <c r="B27" s="217">
        <v>1</v>
      </c>
      <c r="C27" s="218" t="s">
        <v>895</v>
      </c>
      <c r="D27" s="218" t="s">
        <v>896</v>
      </c>
      <c r="E27" s="219" t="s">
        <v>1216</v>
      </c>
      <c r="F27" s="219" t="s">
        <v>1216</v>
      </c>
      <c r="G27" s="219" t="s">
        <v>1216</v>
      </c>
      <c r="H27" s="220" t="s">
        <v>717</v>
      </c>
      <c r="I27" s="220" t="s">
        <v>804</v>
      </c>
    </row>
    <row r="28" spans="1:9" x14ac:dyDescent="0.3">
      <c r="A28" s="212">
        <v>5</v>
      </c>
      <c r="B28" s="217">
        <v>3</v>
      </c>
      <c r="C28" s="218" t="s">
        <v>897</v>
      </c>
      <c r="D28" s="218" t="s">
        <v>898</v>
      </c>
      <c r="E28" s="219" t="s">
        <v>1216</v>
      </c>
      <c r="F28" s="219" t="s">
        <v>1216</v>
      </c>
      <c r="G28" s="219" t="s">
        <v>1216</v>
      </c>
      <c r="H28" s="220" t="s">
        <v>717</v>
      </c>
      <c r="I28" s="220" t="s">
        <v>804</v>
      </c>
    </row>
    <row r="29" spans="1:9" x14ac:dyDescent="0.3">
      <c r="A29" s="212">
        <v>3</v>
      </c>
      <c r="B29" s="217">
        <v>30</v>
      </c>
      <c r="C29" s="218" t="s">
        <v>899</v>
      </c>
      <c r="D29" s="218" t="s">
        <v>900</v>
      </c>
      <c r="E29" s="219" t="s">
        <v>1216</v>
      </c>
      <c r="F29" s="219" t="s">
        <v>1216</v>
      </c>
      <c r="G29" s="219" t="s">
        <v>889</v>
      </c>
      <c r="H29" s="220" t="s">
        <v>660</v>
      </c>
      <c r="I29" s="220" t="s">
        <v>804</v>
      </c>
    </row>
    <row r="30" spans="1:9" x14ac:dyDescent="0.3">
      <c r="A30" s="212">
        <v>3</v>
      </c>
      <c r="B30" s="217">
        <v>7</v>
      </c>
      <c r="C30" s="218" t="s">
        <v>901</v>
      </c>
      <c r="D30" s="218" t="s">
        <v>902</v>
      </c>
      <c r="E30" s="219" t="s">
        <v>1216</v>
      </c>
      <c r="F30" s="219" t="s">
        <v>1216</v>
      </c>
      <c r="G30" s="219" t="s">
        <v>1216</v>
      </c>
      <c r="H30" s="220" t="s">
        <v>717</v>
      </c>
      <c r="I30" s="220" t="s">
        <v>804</v>
      </c>
    </row>
    <row r="31" spans="1:9" x14ac:dyDescent="0.3">
      <c r="A31" s="212">
        <v>3</v>
      </c>
      <c r="B31" s="217">
        <v>67</v>
      </c>
      <c r="C31" s="218" t="s">
        <v>903</v>
      </c>
      <c r="D31" s="218" t="s">
        <v>904</v>
      </c>
      <c r="E31" s="219" t="s">
        <v>1216</v>
      </c>
      <c r="F31" s="219" t="s">
        <v>1216</v>
      </c>
      <c r="G31" s="219" t="s">
        <v>1216</v>
      </c>
      <c r="H31" s="220" t="s">
        <v>717</v>
      </c>
      <c r="I31" s="220" t="s">
        <v>804</v>
      </c>
    </row>
    <row r="32" spans="1:9" x14ac:dyDescent="0.3">
      <c r="A32" s="212">
        <v>3</v>
      </c>
      <c r="B32" s="217">
        <v>56</v>
      </c>
      <c r="C32" s="218" t="s">
        <v>905</v>
      </c>
      <c r="D32" s="218" t="s">
        <v>906</v>
      </c>
      <c r="E32" s="219" t="s">
        <v>1216</v>
      </c>
      <c r="F32" s="219" t="s">
        <v>1216</v>
      </c>
      <c r="G32" s="219" t="s">
        <v>897</v>
      </c>
      <c r="H32" s="220" t="s">
        <v>661</v>
      </c>
      <c r="I32" s="220" t="s">
        <v>804</v>
      </c>
    </row>
    <row r="33" spans="1:9" x14ac:dyDescent="0.3">
      <c r="A33" s="212">
        <v>3</v>
      </c>
      <c r="B33" s="217">
        <v>140</v>
      </c>
      <c r="C33" s="218" t="s">
        <v>907</v>
      </c>
      <c r="D33" s="218" t="s">
        <v>908</v>
      </c>
      <c r="E33" s="219" t="s">
        <v>1216</v>
      </c>
      <c r="F33" s="219" t="s">
        <v>1216</v>
      </c>
      <c r="G33" s="219" t="s">
        <v>1217</v>
      </c>
      <c r="H33" s="220" t="s">
        <v>761</v>
      </c>
      <c r="I33" s="220" t="s">
        <v>806</v>
      </c>
    </row>
    <row r="34" spans="1:9" x14ac:dyDescent="0.3">
      <c r="A34" s="212">
        <v>5</v>
      </c>
      <c r="B34" s="217">
        <v>160</v>
      </c>
      <c r="C34" s="218" t="s">
        <v>909</v>
      </c>
      <c r="D34" s="218" t="s">
        <v>910</v>
      </c>
      <c r="E34" s="219" t="s">
        <v>1216</v>
      </c>
      <c r="F34" s="219" t="s">
        <v>1216</v>
      </c>
      <c r="G34" s="219" t="s">
        <v>909</v>
      </c>
      <c r="H34" s="220" t="s">
        <v>689</v>
      </c>
      <c r="I34" s="220" t="s">
        <v>804</v>
      </c>
    </row>
    <row r="35" spans="1:9" x14ac:dyDescent="0.3">
      <c r="A35" s="212">
        <v>3</v>
      </c>
      <c r="B35" s="221">
        <v>164</v>
      </c>
      <c r="C35" s="222" t="s">
        <v>911</v>
      </c>
      <c r="D35" s="222" t="s">
        <v>912</v>
      </c>
      <c r="E35" s="223" t="s">
        <v>1216</v>
      </c>
      <c r="F35" s="224" t="s">
        <v>1218</v>
      </c>
      <c r="G35" s="224" t="s">
        <v>911</v>
      </c>
      <c r="H35" s="225" t="s">
        <v>666</v>
      </c>
      <c r="I35" s="225" t="s">
        <v>804</v>
      </c>
    </row>
    <row r="36" spans="1:9" x14ac:dyDescent="0.3">
      <c r="A36" s="212">
        <v>3</v>
      </c>
      <c r="B36" s="221">
        <v>71</v>
      </c>
      <c r="C36" s="222" t="s">
        <v>913</v>
      </c>
      <c r="D36" s="222" t="s">
        <v>914</v>
      </c>
      <c r="E36" s="223" t="s">
        <v>1216</v>
      </c>
      <c r="F36" s="224" t="s">
        <v>1216</v>
      </c>
      <c r="G36" s="224" t="s">
        <v>1219</v>
      </c>
      <c r="H36" s="225" t="s">
        <v>667</v>
      </c>
      <c r="I36" s="225" t="s">
        <v>804</v>
      </c>
    </row>
    <row r="37" spans="1:9" x14ac:dyDescent="0.3">
      <c r="A37" s="212">
        <v>3</v>
      </c>
      <c r="B37" s="221">
        <v>5</v>
      </c>
      <c r="C37" s="222" t="s">
        <v>915</v>
      </c>
      <c r="D37" s="222" t="s">
        <v>916</v>
      </c>
      <c r="E37" s="223" t="s">
        <v>1216</v>
      </c>
      <c r="F37" s="224" t="s">
        <v>915</v>
      </c>
      <c r="G37" s="224" t="s">
        <v>915</v>
      </c>
      <c r="H37" s="225" t="s">
        <v>673</v>
      </c>
      <c r="I37" s="225" t="s">
        <v>804</v>
      </c>
    </row>
    <row r="38" spans="1:9" x14ac:dyDescent="0.3">
      <c r="A38" s="212">
        <v>3</v>
      </c>
      <c r="B38" s="221">
        <v>60</v>
      </c>
      <c r="C38" s="222" t="s">
        <v>917</v>
      </c>
      <c r="D38" s="222" t="s">
        <v>918</v>
      </c>
      <c r="E38" s="223" t="s">
        <v>1216</v>
      </c>
      <c r="F38" s="224" t="s">
        <v>1218</v>
      </c>
      <c r="G38" s="224" t="s">
        <v>917</v>
      </c>
      <c r="H38" s="225" t="s">
        <v>679</v>
      </c>
      <c r="I38" s="225" t="s">
        <v>804</v>
      </c>
    </row>
    <row r="39" spans="1:9" x14ac:dyDescent="0.3">
      <c r="A39" s="212">
        <v>3</v>
      </c>
      <c r="B39" s="221">
        <v>59</v>
      </c>
      <c r="C39" s="222" t="s">
        <v>919</v>
      </c>
      <c r="D39" s="222" t="s">
        <v>920</v>
      </c>
      <c r="E39" s="223" t="s">
        <v>1216</v>
      </c>
      <c r="F39" s="224" t="s">
        <v>1220</v>
      </c>
      <c r="G39" s="224" t="s">
        <v>919</v>
      </c>
      <c r="H39" s="225" t="s">
        <v>685</v>
      </c>
      <c r="I39" s="225" t="s">
        <v>804</v>
      </c>
    </row>
    <row r="40" spans="1:9" x14ac:dyDescent="0.3">
      <c r="A40" s="212">
        <v>3</v>
      </c>
      <c r="B40" s="221">
        <v>165</v>
      </c>
      <c r="C40" s="222" t="s">
        <v>921</v>
      </c>
      <c r="D40" s="222" t="s">
        <v>922</v>
      </c>
      <c r="E40" s="223" t="s">
        <v>1216</v>
      </c>
      <c r="F40" s="224" t="s">
        <v>1133</v>
      </c>
      <c r="G40" s="224" t="s">
        <v>921</v>
      </c>
      <c r="H40" s="225" t="s">
        <v>696</v>
      </c>
      <c r="I40" s="225" t="s">
        <v>804</v>
      </c>
    </row>
    <row r="41" spans="1:9" x14ac:dyDescent="0.3">
      <c r="A41" s="212">
        <v>5</v>
      </c>
      <c r="B41" s="221">
        <v>119</v>
      </c>
      <c r="C41" s="222" t="s">
        <v>923</v>
      </c>
      <c r="D41" s="222" t="s">
        <v>924</v>
      </c>
      <c r="E41" s="223" t="s">
        <v>1216</v>
      </c>
      <c r="F41" s="224" t="s">
        <v>1216</v>
      </c>
      <c r="G41" s="224" t="s">
        <v>1221</v>
      </c>
      <c r="H41" s="225" t="s">
        <v>707</v>
      </c>
      <c r="I41" s="225" t="s">
        <v>804</v>
      </c>
    </row>
    <row r="42" spans="1:9" x14ac:dyDescent="0.3">
      <c r="A42" s="212">
        <v>3</v>
      </c>
      <c r="B42" s="221">
        <v>136</v>
      </c>
      <c r="C42" s="222" t="s">
        <v>925</v>
      </c>
      <c r="D42" s="222" t="s">
        <v>926</v>
      </c>
      <c r="E42" s="223" t="s">
        <v>1216</v>
      </c>
      <c r="F42" s="224" t="s">
        <v>1216</v>
      </c>
      <c r="G42" s="224" t="s">
        <v>937</v>
      </c>
      <c r="H42" s="225" t="s">
        <v>713</v>
      </c>
      <c r="I42" s="225" t="s">
        <v>804</v>
      </c>
    </row>
    <row r="43" spans="1:9" x14ac:dyDescent="0.3">
      <c r="A43" s="212">
        <v>3</v>
      </c>
      <c r="B43" s="221">
        <v>55</v>
      </c>
      <c r="C43" s="222" t="s">
        <v>927</v>
      </c>
      <c r="D43" s="222" t="s">
        <v>928</v>
      </c>
      <c r="E43" s="223" t="s">
        <v>1216</v>
      </c>
      <c r="F43" s="224" t="s">
        <v>1216</v>
      </c>
      <c r="G43" s="224" t="s">
        <v>937</v>
      </c>
      <c r="H43" s="225" t="s">
        <v>713</v>
      </c>
      <c r="I43" s="225" t="s">
        <v>804</v>
      </c>
    </row>
    <row r="44" spans="1:9" x14ac:dyDescent="0.3">
      <c r="A44" s="212">
        <v>3</v>
      </c>
      <c r="B44" s="221">
        <v>42</v>
      </c>
      <c r="C44" s="222" t="s">
        <v>929</v>
      </c>
      <c r="D44" s="222" t="s">
        <v>930</v>
      </c>
      <c r="E44" s="223" t="s">
        <v>1216</v>
      </c>
      <c r="F44" s="224" t="s">
        <v>1216</v>
      </c>
      <c r="G44" s="224" t="s">
        <v>929</v>
      </c>
      <c r="H44" s="225" t="s">
        <v>716</v>
      </c>
      <c r="I44" s="225" t="s">
        <v>804</v>
      </c>
    </row>
    <row r="45" spans="1:9" x14ac:dyDescent="0.3">
      <c r="A45" s="212">
        <v>3</v>
      </c>
      <c r="B45" s="221">
        <v>2</v>
      </c>
      <c r="C45" s="222" t="s">
        <v>931</v>
      </c>
      <c r="D45" s="222" t="s">
        <v>932</v>
      </c>
      <c r="E45" s="223" t="s">
        <v>1216</v>
      </c>
      <c r="F45" s="224" t="s">
        <v>1216</v>
      </c>
      <c r="G45" s="224" t="s">
        <v>1219</v>
      </c>
      <c r="H45" s="225" t="s">
        <v>667</v>
      </c>
      <c r="I45" s="225" t="s">
        <v>806</v>
      </c>
    </row>
    <row r="46" spans="1:9" x14ac:dyDescent="0.3">
      <c r="A46" s="212">
        <v>5</v>
      </c>
      <c r="B46" s="221">
        <v>142</v>
      </c>
      <c r="C46" s="222" t="s">
        <v>933</v>
      </c>
      <c r="D46" s="222" t="s">
        <v>934</v>
      </c>
      <c r="E46" s="223" t="s">
        <v>1216</v>
      </c>
      <c r="F46" s="224" t="s">
        <v>1216</v>
      </c>
      <c r="G46" s="224" t="s">
        <v>1219</v>
      </c>
      <c r="H46" s="225" t="s">
        <v>667</v>
      </c>
      <c r="I46" s="225" t="s">
        <v>804</v>
      </c>
    </row>
    <row r="47" spans="1:9" x14ac:dyDescent="0.3">
      <c r="A47" s="212">
        <v>3</v>
      </c>
      <c r="B47" s="221">
        <v>62</v>
      </c>
      <c r="C47" s="222" t="s">
        <v>935</v>
      </c>
      <c r="D47" s="222" t="s">
        <v>936</v>
      </c>
      <c r="E47" s="223" t="s">
        <v>1216</v>
      </c>
      <c r="F47" s="224" t="s">
        <v>1216</v>
      </c>
      <c r="G47" s="224" t="s">
        <v>937</v>
      </c>
      <c r="H47" s="225" t="s">
        <v>713</v>
      </c>
      <c r="I47" s="225" t="s">
        <v>804</v>
      </c>
    </row>
    <row r="48" spans="1:9" x14ac:dyDescent="0.3">
      <c r="A48" s="212">
        <v>3</v>
      </c>
      <c r="B48" s="221">
        <v>38</v>
      </c>
      <c r="C48" s="222" t="s">
        <v>937</v>
      </c>
      <c r="D48" s="222" t="s">
        <v>938</v>
      </c>
      <c r="E48" s="223" t="s">
        <v>1216</v>
      </c>
      <c r="F48" s="224" t="s">
        <v>1216</v>
      </c>
      <c r="G48" s="224" t="s">
        <v>937</v>
      </c>
      <c r="H48" s="225" t="s">
        <v>713</v>
      </c>
      <c r="I48" s="225" t="s">
        <v>804</v>
      </c>
    </row>
    <row r="49" spans="1:9" x14ac:dyDescent="0.3">
      <c r="A49" s="212">
        <v>3</v>
      </c>
      <c r="B49" s="221">
        <v>75</v>
      </c>
      <c r="C49" s="222" t="s">
        <v>939</v>
      </c>
      <c r="D49" s="222" t="s">
        <v>940</v>
      </c>
      <c r="E49" s="223" t="s">
        <v>1216</v>
      </c>
      <c r="F49" s="224" t="s">
        <v>1216</v>
      </c>
      <c r="G49" s="224" t="s">
        <v>939</v>
      </c>
      <c r="H49" s="225" t="s">
        <v>754</v>
      </c>
      <c r="I49" s="225" t="s">
        <v>804</v>
      </c>
    </row>
    <row r="50" spans="1:9" x14ac:dyDescent="0.3">
      <c r="A50" s="212">
        <v>3</v>
      </c>
      <c r="B50" s="226">
        <v>84</v>
      </c>
      <c r="C50" s="227" t="s">
        <v>941</v>
      </c>
      <c r="D50" s="227" t="s">
        <v>942</v>
      </c>
      <c r="E50" s="228" t="s">
        <v>1222</v>
      </c>
      <c r="F50" s="229" t="s">
        <v>1222</v>
      </c>
      <c r="G50" s="229" t="s">
        <v>1223</v>
      </c>
      <c r="H50" s="230" t="s">
        <v>676</v>
      </c>
      <c r="I50" s="230" t="s">
        <v>804</v>
      </c>
    </row>
    <row r="51" spans="1:9" x14ac:dyDescent="0.3">
      <c r="A51" s="212">
        <v>3</v>
      </c>
      <c r="B51" s="226">
        <v>82</v>
      </c>
      <c r="C51" s="227" t="s">
        <v>943</v>
      </c>
      <c r="D51" s="227" t="s">
        <v>944</v>
      </c>
      <c r="E51" s="228" t="s">
        <v>1224</v>
      </c>
      <c r="F51" s="229" t="s">
        <v>943</v>
      </c>
      <c r="G51" s="229" t="s">
        <v>943</v>
      </c>
      <c r="H51" s="230" t="s">
        <v>680</v>
      </c>
      <c r="I51" s="230" t="s">
        <v>804</v>
      </c>
    </row>
    <row r="52" spans="1:9" x14ac:dyDescent="0.3">
      <c r="A52" s="212">
        <v>3</v>
      </c>
      <c r="B52" s="226">
        <v>57</v>
      </c>
      <c r="C52" s="227" t="s">
        <v>945</v>
      </c>
      <c r="D52" s="227" t="s">
        <v>946</v>
      </c>
      <c r="E52" s="228" t="s">
        <v>1224</v>
      </c>
      <c r="F52" s="229" t="s">
        <v>1225</v>
      </c>
      <c r="G52" s="229" t="s">
        <v>945</v>
      </c>
      <c r="H52" s="230" t="s">
        <v>682</v>
      </c>
      <c r="I52" s="230" t="s">
        <v>804</v>
      </c>
    </row>
    <row r="53" spans="1:9" x14ac:dyDescent="0.3">
      <c r="A53" s="212">
        <v>3</v>
      </c>
      <c r="B53" s="226">
        <v>104</v>
      </c>
      <c r="C53" s="227" t="s">
        <v>947</v>
      </c>
      <c r="D53" s="227" t="s">
        <v>948</v>
      </c>
      <c r="E53" s="228" t="s">
        <v>1224</v>
      </c>
      <c r="F53" s="229" t="s">
        <v>947</v>
      </c>
      <c r="G53" s="229" t="s">
        <v>947</v>
      </c>
      <c r="H53" s="230" t="s">
        <v>688</v>
      </c>
      <c r="I53" s="230" t="s">
        <v>804</v>
      </c>
    </row>
    <row r="54" spans="1:9" x14ac:dyDescent="0.3">
      <c r="A54" s="212">
        <v>3</v>
      </c>
      <c r="B54" s="226">
        <v>129</v>
      </c>
      <c r="C54" s="227" t="s">
        <v>949</v>
      </c>
      <c r="D54" s="227" t="s">
        <v>950</v>
      </c>
      <c r="E54" s="228" t="s">
        <v>1224</v>
      </c>
      <c r="F54" s="229" t="s">
        <v>1225</v>
      </c>
      <c r="G54" s="229" t="s">
        <v>951</v>
      </c>
      <c r="H54" s="230" t="s">
        <v>691</v>
      </c>
      <c r="I54" s="230" t="s">
        <v>804</v>
      </c>
    </row>
    <row r="55" spans="1:9" x14ac:dyDescent="0.3">
      <c r="A55" s="212">
        <v>3</v>
      </c>
      <c r="B55" s="226">
        <v>52</v>
      </c>
      <c r="C55" s="227" t="s">
        <v>951</v>
      </c>
      <c r="D55" s="227" t="s">
        <v>952</v>
      </c>
      <c r="E55" s="228" t="s">
        <v>1224</v>
      </c>
      <c r="F55" s="229" t="s">
        <v>1225</v>
      </c>
      <c r="G55" s="229" t="s">
        <v>951</v>
      </c>
      <c r="H55" s="230" t="s">
        <v>691</v>
      </c>
      <c r="I55" s="230" t="s">
        <v>804</v>
      </c>
    </row>
    <row r="56" spans="1:9" x14ac:dyDescent="0.3">
      <c r="A56" s="212">
        <v>3</v>
      </c>
      <c r="B56" s="226">
        <v>27</v>
      </c>
      <c r="C56" s="227" t="s">
        <v>953</v>
      </c>
      <c r="D56" s="227" t="s">
        <v>954</v>
      </c>
      <c r="E56" s="228" t="s">
        <v>1226</v>
      </c>
      <c r="F56" s="229" t="s">
        <v>953</v>
      </c>
      <c r="G56" s="229" t="s">
        <v>1226</v>
      </c>
      <c r="H56" s="230" t="s">
        <v>703</v>
      </c>
      <c r="I56" s="230" t="s">
        <v>804</v>
      </c>
    </row>
    <row r="57" spans="1:9" x14ac:dyDescent="0.3">
      <c r="A57" s="212">
        <v>3</v>
      </c>
      <c r="B57" s="226">
        <v>89</v>
      </c>
      <c r="C57" s="227" t="s">
        <v>955</v>
      </c>
      <c r="D57" s="227" t="s">
        <v>956</v>
      </c>
      <c r="E57" s="228" t="s">
        <v>955</v>
      </c>
      <c r="F57" s="229" t="s">
        <v>955</v>
      </c>
      <c r="G57" s="229" t="s">
        <v>955</v>
      </c>
      <c r="H57" s="230" t="s">
        <v>705</v>
      </c>
      <c r="I57" s="230" t="s">
        <v>804</v>
      </c>
    </row>
    <row r="58" spans="1:9" x14ac:dyDescent="0.3">
      <c r="A58" s="212">
        <v>3</v>
      </c>
      <c r="B58" s="226">
        <v>81</v>
      </c>
      <c r="C58" s="227" t="s">
        <v>957</v>
      </c>
      <c r="D58" s="227" t="s">
        <v>958</v>
      </c>
      <c r="E58" s="228" t="s">
        <v>1224</v>
      </c>
      <c r="F58" s="229" t="s">
        <v>957</v>
      </c>
      <c r="G58" s="229" t="s">
        <v>957</v>
      </c>
      <c r="H58" s="230" t="s">
        <v>714</v>
      </c>
      <c r="I58" s="230" t="s">
        <v>804</v>
      </c>
    </row>
    <row r="59" spans="1:9" x14ac:dyDescent="0.3">
      <c r="A59" s="212">
        <v>3</v>
      </c>
      <c r="B59" s="226">
        <v>45</v>
      </c>
      <c r="C59" s="227" t="s">
        <v>959</v>
      </c>
      <c r="D59" s="227" t="s">
        <v>960</v>
      </c>
      <c r="E59" s="228" t="s">
        <v>1224</v>
      </c>
      <c r="F59" s="229" t="s">
        <v>1227</v>
      </c>
      <c r="G59" s="229" t="s">
        <v>959</v>
      </c>
      <c r="H59" s="230" t="s">
        <v>718</v>
      </c>
      <c r="I59" s="230" t="s">
        <v>804</v>
      </c>
    </row>
    <row r="60" spans="1:9" x14ac:dyDescent="0.3">
      <c r="A60" s="212">
        <v>3</v>
      </c>
      <c r="B60" s="226">
        <v>133</v>
      </c>
      <c r="C60" s="227" t="s">
        <v>961</v>
      </c>
      <c r="D60" s="227" t="s">
        <v>962</v>
      </c>
      <c r="E60" s="228" t="s">
        <v>1222</v>
      </c>
      <c r="F60" s="229" t="s">
        <v>961</v>
      </c>
      <c r="G60" s="229" t="s">
        <v>961</v>
      </c>
      <c r="H60" s="230" t="s">
        <v>735</v>
      </c>
      <c r="I60" s="230" t="s">
        <v>804</v>
      </c>
    </row>
    <row r="61" spans="1:9" x14ac:dyDescent="0.3">
      <c r="A61" s="212">
        <v>3</v>
      </c>
      <c r="B61" s="226">
        <v>96</v>
      </c>
      <c r="C61" s="227" t="s">
        <v>963</v>
      </c>
      <c r="D61" s="227" t="s">
        <v>964</v>
      </c>
      <c r="E61" s="228" t="s">
        <v>1224</v>
      </c>
      <c r="F61" s="229" t="s">
        <v>943</v>
      </c>
      <c r="G61" s="229" t="s">
        <v>1228</v>
      </c>
      <c r="H61" s="230" t="s">
        <v>738</v>
      </c>
      <c r="I61" s="230" t="s">
        <v>804</v>
      </c>
    </row>
    <row r="62" spans="1:9" x14ac:dyDescent="0.3">
      <c r="A62" s="212">
        <v>3</v>
      </c>
      <c r="B62" s="226">
        <v>54</v>
      </c>
      <c r="C62" s="227" t="s">
        <v>965</v>
      </c>
      <c r="D62" s="227" t="s">
        <v>966</v>
      </c>
      <c r="E62" s="228" t="s">
        <v>1224</v>
      </c>
      <c r="F62" s="229" t="s">
        <v>1225</v>
      </c>
      <c r="G62" s="229" t="s">
        <v>1225</v>
      </c>
      <c r="H62" s="230" t="s">
        <v>743</v>
      </c>
      <c r="I62" s="230" t="s">
        <v>804</v>
      </c>
    </row>
    <row r="63" spans="1:9" x14ac:dyDescent="0.3">
      <c r="A63" s="212">
        <v>3</v>
      </c>
      <c r="B63" s="226">
        <v>154</v>
      </c>
      <c r="C63" s="227" t="s">
        <v>967</v>
      </c>
      <c r="D63" s="227" t="s">
        <v>968</v>
      </c>
      <c r="E63" s="228" t="s">
        <v>1226</v>
      </c>
      <c r="F63" s="229" t="s">
        <v>953</v>
      </c>
      <c r="G63" s="229" t="s">
        <v>1229</v>
      </c>
      <c r="H63" s="230" t="s">
        <v>745</v>
      </c>
      <c r="I63" s="230" t="s">
        <v>804</v>
      </c>
    </row>
    <row r="64" spans="1:9" x14ac:dyDescent="0.3">
      <c r="A64" s="212">
        <v>3</v>
      </c>
      <c r="B64" s="226">
        <v>83</v>
      </c>
      <c r="C64" s="227" t="s">
        <v>969</v>
      </c>
      <c r="D64" s="227" t="s">
        <v>970</v>
      </c>
      <c r="E64" s="228" t="s">
        <v>1224</v>
      </c>
      <c r="F64" s="229" t="s">
        <v>969</v>
      </c>
      <c r="G64" s="229" t="s">
        <v>969</v>
      </c>
      <c r="H64" s="230" t="s">
        <v>757</v>
      </c>
      <c r="I64" s="230" t="s">
        <v>804</v>
      </c>
    </row>
    <row r="65" spans="1:9" x14ac:dyDescent="0.3">
      <c r="A65" s="212">
        <v>3</v>
      </c>
      <c r="B65" s="213">
        <v>29</v>
      </c>
      <c r="C65" s="214" t="s">
        <v>971</v>
      </c>
      <c r="D65" s="214" t="s">
        <v>972</v>
      </c>
      <c r="E65" s="231" t="s">
        <v>1097</v>
      </c>
      <c r="F65" s="215" t="s">
        <v>1230</v>
      </c>
      <c r="G65" s="215" t="s">
        <v>1231</v>
      </c>
      <c r="H65" s="216" t="s">
        <v>674</v>
      </c>
      <c r="I65" s="216" t="s">
        <v>804</v>
      </c>
    </row>
    <row r="66" spans="1:9" x14ac:dyDescent="0.3">
      <c r="A66" s="212">
        <v>3</v>
      </c>
      <c r="B66" s="213">
        <v>51</v>
      </c>
      <c r="C66" s="214" t="s">
        <v>973</v>
      </c>
      <c r="D66" s="214" t="s">
        <v>974</v>
      </c>
      <c r="E66" s="231" t="s">
        <v>979</v>
      </c>
      <c r="F66" s="215" t="s">
        <v>973</v>
      </c>
      <c r="G66" s="215" t="s">
        <v>1232</v>
      </c>
      <c r="H66" s="216" t="s">
        <v>684</v>
      </c>
      <c r="I66" s="216" t="s">
        <v>804</v>
      </c>
    </row>
    <row r="67" spans="1:9" x14ac:dyDescent="0.3">
      <c r="A67" s="212">
        <v>3</v>
      </c>
      <c r="B67" s="213">
        <v>137</v>
      </c>
      <c r="C67" s="214" t="s">
        <v>975</v>
      </c>
      <c r="D67" s="214" t="s">
        <v>976</v>
      </c>
      <c r="E67" s="231" t="s">
        <v>1097</v>
      </c>
      <c r="F67" s="215" t="s">
        <v>1097</v>
      </c>
      <c r="G67" s="215" t="s">
        <v>975</v>
      </c>
      <c r="H67" s="216" t="s">
        <v>686</v>
      </c>
      <c r="I67" s="216" t="s">
        <v>804</v>
      </c>
    </row>
    <row r="68" spans="1:9" x14ac:dyDescent="0.3">
      <c r="A68" s="212">
        <v>3</v>
      </c>
      <c r="B68" s="213">
        <v>162</v>
      </c>
      <c r="C68" s="214" t="s">
        <v>977</v>
      </c>
      <c r="D68" s="214" t="s">
        <v>978</v>
      </c>
      <c r="E68" s="231" t="s">
        <v>979</v>
      </c>
      <c r="F68" s="215" t="s">
        <v>979</v>
      </c>
      <c r="G68" s="215" t="s">
        <v>1233</v>
      </c>
      <c r="H68" s="216" t="s">
        <v>702</v>
      </c>
      <c r="I68" s="216" t="s">
        <v>804</v>
      </c>
    </row>
    <row r="69" spans="1:9" x14ac:dyDescent="0.3">
      <c r="A69" s="212">
        <v>5</v>
      </c>
      <c r="B69" s="213">
        <v>50</v>
      </c>
      <c r="C69" s="214" t="s">
        <v>979</v>
      </c>
      <c r="D69" s="214" t="s">
        <v>980</v>
      </c>
      <c r="E69" s="231" t="s">
        <v>979</v>
      </c>
      <c r="F69" s="215" t="s">
        <v>979</v>
      </c>
      <c r="G69" s="215" t="s">
        <v>979</v>
      </c>
      <c r="H69" s="216" t="s">
        <v>708</v>
      </c>
      <c r="I69" s="216" t="s">
        <v>804</v>
      </c>
    </row>
    <row r="70" spans="1:9" x14ac:dyDescent="0.3">
      <c r="A70" s="212">
        <v>3</v>
      </c>
      <c r="B70" s="213">
        <v>118</v>
      </c>
      <c r="C70" s="214" t="s">
        <v>981</v>
      </c>
      <c r="D70" s="214" t="s">
        <v>982</v>
      </c>
      <c r="E70" s="231" t="s">
        <v>979</v>
      </c>
      <c r="F70" s="215" t="s">
        <v>979</v>
      </c>
      <c r="G70" s="215" t="s">
        <v>979</v>
      </c>
      <c r="H70" s="216" t="s">
        <v>708</v>
      </c>
      <c r="I70" s="216" t="s">
        <v>804</v>
      </c>
    </row>
    <row r="71" spans="1:9" x14ac:dyDescent="0.3">
      <c r="A71" s="212">
        <v>3</v>
      </c>
      <c r="B71" s="213">
        <v>116</v>
      </c>
      <c r="C71" s="214" t="s">
        <v>983</v>
      </c>
      <c r="D71" s="214" t="s">
        <v>984</v>
      </c>
      <c r="E71" s="231" t="s">
        <v>979</v>
      </c>
      <c r="F71" s="215" t="s">
        <v>979</v>
      </c>
      <c r="G71" s="215" t="s">
        <v>979</v>
      </c>
      <c r="H71" s="216" t="s">
        <v>708</v>
      </c>
      <c r="I71" s="216" t="s">
        <v>804</v>
      </c>
    </row>
    <row r="72" spans="1:9" x14ac:dyDescent="0.3">
      <c r="A72" s="212">
        <v>3</v>
      </c>
      <c r="B72" s="213">
        <v>117</v>
      </c>
      <c r="C72" s="214" t="s">
        <v>985</v>
      </c>
      <c r="D72" s="214" t="s">
        <v>986</v>
      </c>
      <c r="E72" s="231" t="s">
        <v>979</v>
      </c>
      <c r="F72" s="215" t="s">
        <v>979</v>
      </c>
      <c r="G72" s="215" t="s">
        <v>1234</v>
      </c>
      <c r="H72" s="216" t="s">
        <v>750</v>
      </c>
      <c r="I72" s="216" t="s">
        <v>804</v>
      </c>
    </row>
    <row r="73" spans="1:9" x14ac:dyDescent="0.3">
      <c r="A73" s="212">
        <v>3</v>
      </c>
      <c r="B73" s="213">
        <v>172</v>
      </c>
      <c r="C73" s="214" t="s">
        <v>987</v>
      </c>
      <c r="D73" s="214" t="s">
        <v>988</v>
      </c>
      <c r="E73" s="231" t="s">
        <v>1097</v>
      </c>
      <c r="F73" s="215" t="s">
        <v>1097</v>
      </c>
      <c r="G73" s="215" t="s">
        <v>1235</v>
      </c>
      <c r="H73" s="216" t="s">
        <v>765</v>
      </c>
      <c r="I73" s="216" t="s">
        <v>804</v>
      </c>
    </row>
    <row r="74" spans="1:9" x14ac:dyDescent="0.3">
      <c r="A74" s="212">
        <v>3</v>
      </c>
      <c r="B74" s="213">
        <v>110</v>
      </c>
      <c r="C74" s="214" t="s">
        <v>989</v>
      </c>
      <c r="D74" s="214" t="s">
        <v>990</v>
      </c>
      <c r="E74" s="231" t="s">
        <v>1097</v>
      </c>
      <c r="F74" s="215" t="s">
        <v>1097</v>
      </c>
      <c r="G74" s="215" t="s">
        <v>989</v>
      </c>
      <c r="H74" s="216" t="s">
        <v>720</v>
      </c>
      <c r="I74" s="216" t="s">
        <v>804</v>
      </c>
    </row>
    <row r="75" spans="1:9" x14ac:dyDescent="0.3">
      <c r="A75" s="212">
        <v>1</v>
      </c>
      <c r="B75" s="213">
        <v>175</v>
      </c>
      <c r="C75" s="214" t="s">
        <v>991</v>
      </c>
      <c r="D75" s="214" t="s">
        <v>992</v>
      </c>
      <c r="E75" s="231" t="s">
        <v>1097</v>
      </c>
      <c r="F75" s="215" t="s">
        <v>1230</v>
      </c>
      <c r="G75" s="215" t="s">
        <v>991</v>
      </c>
      <c r="H75" s="216" t="s">
        <v>1282</v>
      </c>
      <c r="I75" s="216" t="s">
        <v>804</v>
      </c>
    </row>
    <row r="76" spans="1:9" x14ac:dyDescent="0.3">
      <c r="A76" s="212">
        <v>3</v>
      </c>
      <c r="B76" s="213">
        <v>171</v>
      </c>
      <c r="C76" s="214" t="s">
        <v>993</v>
      </c>
      <c r="D76" s="214" t="s">
        <v>994</v>
      </c>
      <c r="E76" s="231" t="s">
        <v>1097</v>
      </c>
      <c r="F76" s="215" t="s">
        <v>1097</v>
      </c>
      <c r="G76" s="215" t="s">
        <v>1007</v>
      </c>
      <c r="H76" s="216" t="s">
        <v>764</v>
      </c>
      <c r="I76" s="216" t="s">
        <v>804</v>
      </c>
    </row>
    <row r="77" spans="1:9" x14ac:dyDescent="0.3">
      <c r="A77" s="212">
        <v>3</v>
      </c>
      <c r="B77" s="213">
        <v>16</v>
      </c>
      <c r="C77" s="214" t="s">
        <v>995</v>
      </c>
      <c r="D77" s="214" t="s">
        <v>996</v>
      </c>
      <c r="E77" s="231" t="s">
        <v>979</v>
      </c>
      <c r="F77" s="215" t="s">
        <v>1236</v>
      </c>
      <c r="G77" s="215" t="s">
        <v>1236</v>
      </c>
      <c r="H77" s="216" t="s">
        <v>731</v>
      </c>
      <c r="I77" s="216" t="s">
        <v>804</v>
      </c>
    </row>
    <row r="78" spans="1:9" x14ac:dyDescent="0.3">
      <c r="A78" s="212">
        <v>3</v>
      </c>
      <c r="B78" s="213">
        <v>168</v>
      </c>
      <c r="C78" s="214" t="s">
        <v>997</v>
      </c>
      <c r="D78" s="214" t="s">
        <v>998</v>
      </c>
      <c r="E78" s="231" t="s">
        <v>1097</v>
      </c>
      <c r="F78" s="215" t="s">
        <v>1097</v>
      </c>
      <c r="G78" s="215" t="s">
        <v>1007</v>
      </c>
      <c r="H78" s="216" t="s">
        <v>764</v>
      </c>
      <c r="I78" s="216" t="s">
        <v>804</v>
      </c>
    </row>
    <row r="79" spans="1:9" x14ac:dyDescent="0.3">
      <c r="A79" s="212">
        <v>3</v>
      </c>
      <c r="B79" s="213">
        <v>108</v>
      </c>
      <c r="C79" s="214" t="s">
        <v>999</v>
      </c>
      <c r="D79" s="214" t="s">
        <v>1000</v>
      </c>
      <c r="E79" s="231" t="s">
        <v>979</v>
      </c>
      <c r="F79" s="215" t="s">
        <v>999</v>
      </c>
      <c r="G79" s="215" t="s">
        <v>999</v>
      </c>
      <c r="H79" s="216" t="s">
        <v>736</v>
      </c>
      <c r="I79" s="216" t="s">
        <v>804</v>
      </c>
    </row>
    <row r="80" spans="1:9" x14ac:dyDescent="0.3">
      <c r="A80" s="212">
        <v>3</v>
      </c>
      <c r="B80" s="213">
        <v>91</v>
      </c>
      <c r="C80" s="214" t="s">
        <v>1001</v>
      </c>
      <c r="D80" s="214" t="s">
        <v>1002</v>
      </c>
      <c r="E80" s="231" t="s">
        <v>979</v>
      </c>
      <c r="F80" s="215" t="s">
        <v>979</v>
      </c>
      <c r="G80" s="215" t="s">
        <v>1001</v>
      </c>
      <c r="H80" s="216" t="s">
        <v>737</v>
      </c>
      <c r="I80" s="216" t="s">
        <v>804</v>
      </c>
    </row>
    <row r="81" spans="1:9" x14ac:dyDescent="0.3">
      <c r="A81" s="212">
        <v>3</v>
      </c>
      <c r="B81" s="213">
        <v>109</v>
      </c>
      <c r="C81" s="214" t="s">
        <v>1003</v>
      </c>
      <c r="D81" s="214" t="s">
        <v>1004</v>
      </c>
      <c r="E81" s="231" t="s">
        <v>979</v>
      </c>
      <c r="F81" s="215" t="s">
        <v>1003</v>
      </c>
      <c r="G81" s="215" t="s">
        <v>1003</v>
      </c>
      <c r="H81" s="216" t="s">
        <v>739</v>
      </c>
      <c r="I81" s="216" t="s">
        <v>804</v>
      </c>
    </row>
    <row r="82" spans="1:9" x14ac:dyDescent="0.3">
      <c r="A82" s="212">
        <v>3</v>
      </c>
      <c r="B82" s="213">
        <v>185</v>
      </c>
      <c r="C82" s="214" t="s">
        <v>1005</v>
      </c>
      <c r="D82" s="214" t="s">
        <v>1006</v>
      </c>
      <c r="E82" s="231" t="s">
        <v>1097</v>
      </c>
      <c r="F82" s="215" t="s">
        <v>1097</v>
      </c>
      <c r="G82" s="215" t="s">
        <v>975</v>
      </c>
      <c r="H82" s="216" t="s">
        <v>686</v>
      </c>
      <c r="I82" s="216" t="s">
        <v>804</v>
      </c>
    </row>
    <row r="83" spans="1:9" x14ac:dyDescent="0.3">
      <c r="A83" s="212">
        <v>3</v>
      </c>
      <c r="B83" s="213">
        <v>92</v>
      </c>
      <c r="C83" s="214" t="s">
        <v>1007</v>
      </c>
      <c r="D83" s="214" t="s">
        <v>1008</v>
      </c>
      <c r="E83" s="231" t="s">
        <v>1097</v>
      </c>
      <c r="F83" s="215" t="s">
        <v>1097</v>
      </c>
      <c r="G83" s="215" t="s">
        <v>1007</v>
      </c>
      <c r="H83" s="216" t="s">
        <v>764</v>
      </c>
      <c r="I83" s="216" t="s">
        <v>804</v>
      </c>
    </row>
    <row r="84" spans="1:9" x14ac:dyDescent="0.3">
      <c r="A84" s="212">
        <v>5</v>
      </c>
      <c r="B84" s="213">
        <v>149</v>
      </c>
      <c r="C84" s="214" t="s">
        <v>1009</v>
      </c>
      <c r="D84" s="214" t="s">
        <v>1010</v>
      </c>
      <c r="E84" s="231" t="s">
        <v>1097</v>
      </c>
      <c r="F84" s="215" t="s">
        <v>1097</v>
      </c>
      <c r="G84" s="215" t="s">
        <v>1237</v>
      </c>
      <c r="H84" s="216" t="s">
        <v>765</v>
      </c>
      <c r="I84" s="216" t="s">
        <v>804</v>
      </c>
    </row>
    <row r="85" spans="1:9" x14ac:dyDescent="0.3">
      <c r="A85" s="212">
        <v>3</v>
      </c>
      <c r="B85" s="232">
        <v>15</v>
      </c>
      <c r="C85" s="233" t="s">
        <v>1011</v>
      </c>
      <c r="D85" s="233" t="s">
        <v>1012</v>
      </c>
      <c r="E85" s="234" t="s">
        <v>1238</v>
      </c>
      <c r="F85" s="234" t="s">
        <v>1011</v>
      </c>
      <c r="G85" s="234" t="s">
        <v>1011</v>
      </c>
      <c r="H85" s="235" t="s">
        <v>654</v>
      </c>
      <c r="I85" s="235" t="s">
        <v>804</v>
      </c>
    </row>
    <row r="86" spans="1:9" x14ac:dyDescent="0.3">
      <c r="A86" s="212">
        <v>3</v>
      </c>
      <c r="B86" s="232">
        <v>28</v>
      </c>
      <c r="C86" s="233" t="s">
        <v>1013</v>
      </c>
      <c r="D86" s="233" t="s">
        <v>1014</v>
      </c>
      <c r="E86" s="234" t="s">
        <v>1238</v>
      </c>
      <c r="F86" s="234" t="s">
        <v>1013</v>
      </c>
      <c r="G86" s="234" t="s">
        <v>1013</v>
      </c>
      <c r="H86" s="235" t="s">
        <v>663</v>
      </c>
      <c r="I86" s="235" t="s">
        <v>804</v>
      </c>
    </row>
    <row r="87" spans="1:9" x14ac:dyDescent="0.3">
      <c r="A87" s="212">
        <v>3</v>
      </c>
      <c r="B87" s="232">
        <v>94</v>
      </c>
      <c r="C87" s="233" t="s">
        <v>1015</v>
      </c>
      <c r="D87" s="233" t="s">
        <v>1016</v>
      </c>
      <c r="E87" s="234" t="s">
        <v>1239</v>
      </c>
      <c r="F87" s="234" t="s">
        <v>1015</v>
      </c>
      <c r="G87" s="234" t="s">
        <v>1015</v>
      </c>
      <c r="H87" s="235" t="s">
        <v>664</v>
      </c>
      <c r="I87" s="235" t="s">
        <v>804</v>
      </c>
    </row>
    <row r="88" spans="1:9" x14ac:dyDescent="0.3">
      <c r="A88" s="212">
        <v>3</v>
      </c>
      <c r="B88" s="232">
        <v>53</v>
      </c>
      <c r="C88" s="233" t="s">
        <v>1017</v>
      </c>
      <c r="D88" s="233" t="s">
        <v>1018</v>
      </c>
      <c r="E88" s="234" t="s">
        <v>1239</v>
      </c>
      <c r="F88" s="234" t="s">
        <v>1239</v>
      </c>
      <c r="G88" s="234" t="s">
        <v>1234</v>
      </c>
      <c r="H88" s="235" t="s">
        <v>698</v>
      </c>
      <c r="I88" s="235" t="s">
        <v>804</v>
      </c>
    </row>
    <row r="89" spans="1:9" x14ac:dyDescent="0.3">
      <c r="A89" s="212">
        <v>3</v>
      </c>
      <c r="B89" s="232">
        <v>98</v>
      </c>
      <c r="C89" s="233" t="s">
        <v>1019</v>
      </c>
      <c r="D89" s="233" t="s">
        <v>1020</v>
      </c>
      <c r="E89" s="234" t="s">
        <v>1239</v>
      </c>
      <c r="F89" s="234" t="s">
        <v>1019</v>
      </c>
      <c r="G89" s="234" t="s">
        <v>1019</v>
      </c>
      <c r="H89" s="235" t="s">
        <v>701</v>
      </c>
      <c r="I89" s="235" t="s">
        <v>804</v>
      </c>
    </row>
    <row r="90" spans="1:9" x14ac:dyDescent="0.3">
      <c r="A90" s="212">
        <v>3</v>
      </c>
      <c r="B90" s="232">
        <v>36</v>
      </c>
      <c r="C90" s="233" t="s">
        <v>1021</v>
      </c>
      <c r="D90" s="233" t="s">
        <v>1022</v>
      </c>
      <c r="E90" s="234" t="s">
        <v>1240</v>
      </c>
      <c r="F90" s="234" t="s">
        <v>1041</v>
      </c>
      <c r="G90" s="234" t="s">
        <v>1041</v>
      </c>
      <c r="H90" s="235" t="s">
        <v>724</v>
      </c>
      <c r="I90" s="235" t="s">
        <v>804</v>
      </c>
    </row>
    <row r="91" spans="1:9" x14ac:dyDescent="0.3">
      <c r="A91" s="212">
        <v>3</v>
      </c>
      <c r="B91" s="232">
        <v>77</v>
      </c>
      <c r="C91" s="233" t="s">
        <v>1023</v>
      </c>
      <c r="D91" s="233" t="s">
        <v>1024</v>
      </c>
      <c r="E91" s="234" t="s">
        <v>1240</v>
      </c>
      <c r="F91" s="234" t="s">
        <v>1041</v>
      </c>
      <c r="G91" s="234" t="s">
        <v>1241</v>
      </c>
      <c r="H91" s="235" t="s">
        <v>725</v>
      </c>
      <c r="I91" s="235" t="s">
        <v>804</v>
      </c>
    </row>
    <row r="92" spans="1:9" x14ac:dyDescent="0.3">
      <c r="A92" s="212">
        <v>3</v>
      </c>
      <c r="B92" s="232">
        <v>14</v>
      </c>
      <c r="C92" s="233" t="s">
        <v>1025</v>
      </c>
      <c r="D92" s="233" t="s">
        <v>1026</v>
      </c>
      <c r="E92" s="234" t="s">
        <v>1240</v>
      </c>
      <c r="F92" s="234" t="s">
        <v>1041</v>
      </c>
      <c r="G92" s="234" t="s">
        <v>1041</v>
      </c>
      <c r="H92" s="235" t="s">
        <v>724</v>
      </c>
      <c r="I92" s="235" t="s">
        <v>804</v>
      </c>
    </row>
    <row r="93" spans="1:9" x14ac:dyDescent="0.3">
      <c r="A93" s="212">
        <v>3</v>
      </c>
      <c r="B93" s="232">
        <v>144</v>
      </c>
      <c r="C93" s="233" t="s">
        <v>1027</v>
      </c>
      <c r="D93" s="233" t="s">
        <v>1028</v>
      </c>
      <c r="E93" s="234" t="s">
        <v>1239</v>
      </c>
      <c r="F93" s="234" t="s">
        <v>1239</v>
      </c>
      <c r="G93" s="234" t="s">
        <v>1239</v>
      </c>
      <c r="H93" s="235" t="s">
        <v>741</v>
      </c>
      <c r="I93" s="235" t="s">
        <v>804</v>
      </c>
    </row>
    <row r="94" spans="1:9" x14ac:dyDescent="0.3">
      <c r="A94" s="212">
        <v>3</v>
      </c>
      <c r="B94" s="232">
        <v>34</v>
      </c>
      <c r="C94" s="233" t="s">
        <v>1029</v>
      </c>
      <c r="D94" s="233" t="s">
        <v>1030</v>
      </c>
      <c r="E94" s="234" t="s">
        <v>1239</v>
      </c>
      <c r="F94" s="234" t="s">
        <v>1242</v>
      </c>
      <c r="G94" s="234" t="s">
        <v>1243</v>
      </c>
      <c r="H94" s="235" t="s">
        <v>742</v>
      </c>
      <c r="I94" s="235" t="s">
        <v>804</v>
      </c>
    </row>
    <row r="95" spans="1:9" x14ac:dyDescent="0.3">
      <c r="A95" s="212">
        <v>3</v>
      </c>
      <c r="B95" s="232">
        <v>63</v>
      </c>
      <c r="C95" s="233" t="s">
        <v>1031</v>
      </c>
      <c r="D95" s="233" t="s">
        <v>1032</v>
      </c>
      <c r="E95" s="234" t="s">
        <v>1239</v>
      </c>
      <c r="F95" s="234" t="s">
        <v>1239</v>
      </c>
      <c r="G95" s="234" t="s">
        <v>1031</v>
      </c>
      <c r="H95" s="235" t="s">
        <v>744</v>
      </c>
      <c r="I95" s="235" t="s">
        <v>804</v>
      </c>
    </row>
    <row r="96" spans="1:9" x14ac:dyDescent="0.3">
      <c r="A96" s="212">
        <v>3</v>
      </c>
      <c r="B96" s="232">
        <v>99</v>
      </c>
      <c r="C96" s="233" t="s">
        <v>1033</v>
      </c>
      <c r="D96" s="233" t="s">
        <v>1034</v>
      </c>
      <c r="E96" s="234" t="s">
        <v>1239</v>
      </c>
      <c r="F96" s="234" t="s">
        <v>1239</v>
      </c>
      <c r="G96" s="234" t="s">
        <v>1239</v>
      </c>
      <c r="H96" s="235" t="s">
        <v>741</v>
      </c>
      <c r="I96" s="235" t="s">
        <v>804</v>
      </c>
    </row>
    <row r="97" spans="1:9" x14ac:dyDescent="0.3">
      <c r="A97" s="212">
        <v>3</v>
      </c>
      <c r="B97" s="232">
        <v>61</v>
      </c>
      <c r="C97" s="233" t="s">
        <v>1035</v>
      </c>
      <c r="D97" s="233" t="s">
        <v>1036</v>
      </c>
      <c r="E97" s="234" t="s">
        <v>1239</v>
      </c>
      <c r="F97" s="234" t="s">
        <v>1239</v>
      </c>
      <c r="G97" s="234" t="s">
        <v>1244</v>
      </c>
      <c r="H97" s="235" t="s">
        <v>746</v>
      </c>
      <c r="I97" s="235" t="s">
        <v>804</v>
      </c>
    </row>
    <row r="98" spans="1:9" x14ac:dyDescent="0.3">
      <c r="A98" s="212">
        <v>3</v>
      </c>
      <c r="B98" s="232">
        <v>134</v>
      </c>
      <c r="C98" s="233" t="s">
        <v>1037</v>
      </c>
      <c r="D98" s="233" t="s">
        <v>1038</v>
      </c>
      <c r="E98" s="234" t="s">
        <v>1239</v>
      </c>
      <c r="F98" s="234" t="s">
        <v>1239</v>
      </c>
      <c r="G98" s="234" t="s">
        <v>1244</v>
      </c>
      <c r="H98" s="235" t="s">
        <v>746</v>
      </c>
      <c r="I98" s="235" t="s">
        <v>804</v>
      </c>
    </row>
    <row r="99" spans="1:9" x14ac:dyDescent="0.3">
      <c r="A99" s="212">
        <v>3</v>
      </c>
      <c r="B99" s="232">
        <v>17</v>
      </c>
      <c r="C99" s="233" t="s">
        <v>1039</v>
      </c>
      <c r="D99" s="233" t="s">
        <v>1040</v>
      </c>
      <c r="E99" s="234" t="s">
        <v>1239</v>
      </c>
      <c r="F99" s="234" t="s">
        <v>1245</v>
      </c>
      <c r="G99" s="234" t="s">
        <v>1039</v>
      </c>
      <c r="H99" s="235" t="s">
        <v>751</v>
      </c>
      <c r="I99" s="235" t="s">
        <v>804</v>
      </c>
    </row>
    <row r="100" spans="1:9" x14ac:dyDescent="0.3">
      <c r="A100" s="212">
        <v>5</v>
      </c>
      <c r="B100" s="232">
        <v>187</v>
      </c>
      <c r="C100" s="233" t="s">
        <v>1041</v>
      </c>
      <c r="D100" s="233" t="s">
        <v>1042</v>
      </c>
      <c r="E100" s="234" t="s">
        <v>1240</v>
      </c>
      <c r="F100" s="234" t="s">
        <v>1041</v>
      </c>
      <c r="G100" s="234" t="s">
        <v>1041</v>
      </c>
      <c r="H100" s="235" t="s">
        <v>724</v>
      </c>
      <c r="I100" s="235" t="s">
        <v>804</v>
      </c>
    </row>
    <row r="101" spans="1:9" x14ac:dyDescent="0.3">
      <c r="A101" s="212">
        <v>5</v>
      </c>
      <c r="B101" s="232">
        <v>161</v>
      </c>
      <c r="C101" s="233" t="s">
        <v>1043</v>
      </c>
      <c r="D101" s="233" t="s">
        <v>1044</v>
      </c>
      <c r="E101" s="234" t="s">
        <v>1239</v>
      </c>
      <c r="F101" s="234" t="s">
        <v>1239</v>
      </c>
      <c r="G101" s="234" t="s">
        <v>1239</v>
      </c>
      <c r="H101" s="235" t="s">
        <v>741</v>
      </c>
      <c r="I101" s="235" t="s">
        <v>804</v>
      </c>
    </row>
    <row r="102" spans="1:9" x14ac:dyDescent="0.3">
      <c r="A102" s="212">
        <v>3</v>
      </c>
      <c r="B102" s="232">
        <v>31</v>
      </c>
      <c r="C102" s="233" t="s">
        <v>1045</v>
      </c>
      <c r="D102" s="233" t="s">
        <v>1046</v>
      </c>
      <c r="E102" s="234" t="s">
        <v>1239</v>
      </c>
      <c r="F102" s="234" t="s">
        <v>1045</v>
      </c>
      <c r="G102" s="234" t="s">
        <v>1045</v>
      </c>
      <c r="H102" s="235" t="s">
        <v>762</v>
      </c>
      <c r="I102" s="235" t="s">
        <v>804</v>
      </c>
    </row>
    <row r="103" spans="1:9" x14ac:dyDescent="0.3">
      <c r="A103" s="212">
        <v>3</v>
      </c>
      <c r="B103" s="232">
        <v>47</v>
      </c>
      <c r="C103" s="233" t="s">
        <v>1047</v>
      </c>
      <c r="D103" s="233" t="s">
        <v>1048</v>
      </c>
      <c r="E103" s="234" t="s">
        <v>1239</v>
      </c>
      <c r="F103" s="234" t="s">
        <v>1239</v>
      </c>
      <c r="G103" s="234" t="s">
        <v>1047</v>
      </c>
      <c r="H103" s="235" t="s">
        <v>766</v>
      </c>
      <c r="I103" s="235" t="s">
        <v>804</v>
      </c>
    </row>
    <row r="104" spans="1:9" x14ac:dyDescent="0.3">
      <c r="A104" s="212">
        <v>3</v>
      </c>
      <c r="B104" s="236">
        <v>66</v>
      </c>
      <c r="C104" s="237" t="s">
        <v>1049</v>
      </c>
      <c r="D104" s="237" t="s">
        <v>1050</v>
      </c>
      <c r="E104" s="238" t="s">
        <v>1097</v>
      </c>
      <c r="F104" s="239" t="s">
        <v>1097</v>
      </c>
      <c r="G104" s="239" t="s">
        <v>1065</v>
      </c>
      <c r="H104" s="240" t="s">
        <v>658</v>
      </c>
      <c r="I104" s="240" t="s">
        <v>804</v>
      </c>
    </row>
    <row r="105" spans="1:9" x14ac:dyDescent="0.3">
      <c r="A105" s="212">
        <v>3</v>
      </c>
      <c r="B105" s="236">
        <v>170</v>
      </c>
      <c r="C105" s="237" t="s">
        <v>1051</v>
      </c>
      <c r="D105" s="237" t="s">
        <v>1052</v>
      </c>
      <c r="E105" s="238" t="s">
        <v>1097</v>
      </c>
      <c r="F105" s="239" t="s">
        <v>1097</v>
      </c>
      <c r="G105" s="239" t="s">
        <v>1065</v>
      </c>
      <c r="H105" s="240" t="s">
        <v>658</v>
      </c>
      <c r="I105" s="240" t="s">
        <v>804</v>
      </c>
    </row>
    <row r="106" spans="1:9" x14ac:dyDescent="0.3">
      <c r="A106" s="212">
        <v>5</v>
      </c>
      <c r="B106" s="236">
        <v>33</v>
      </c>
      <c r="C106" s="237" t="s">
        <v>1053</v>
      </c>
      <c r="D106" s="237" t="s">
        <v>1054</v>
      </c>
      <c r="E106" s="238" t="s">
        <v>1097</v>
      </c>
      <c r="F106" s="239" t="s">
        <v>1097</v>
      </c>
      <c r="G106" s="239" t="s">
        <v>1053</v>
      </c>
      <c r="H106" s="240" t="s">
        <v>675</v>
      </c>
      <c r="I106" s="240" t="s">
        <v>804</v>
      </c>
    </row>
    <row r="107" spans="1:9" x14ac:dyDescent="0.3">
      <c r="A107" s="212">
        <v>3</v>
      </c>
      <c r="B107" s="236">
        <v>147</v>
      </c>
      <c r="C107" s="237" t="s">
        <v>1055</v>
      </c>
      <c r="D107" s="237" t="s">
        <v>1056</v>
      </c>
      <c r="E107" s="238" t="s">
        <v>1246</v>
      </c>
      <c r="F107" s="239" t="s">
        <v>1055</v>
      </c>
      <c r="G107" s="239" t="s">
        <v>1055</v>
      </c>
      <c r="H107" s="240" t="s">
        <v>678</v>
      </c>
      <c r="I107" s="240" t="s">
        <v>804</v>
      </c>
    </row>
    <row r="108" spans="1:9" x14ac:dyDescent="0.3">
      <c r="A108" s="212">
        <v>3</v>
      </c>
      <c r="B108" s="236">
        <v>58</v>
      </c>
      <c r="C108" s="237" t="s">
        <v>1057</v>
      </c>
      <c r="D108" s="237" t="s">
        <v>1058</v>
      </c>
      <c r="E108" s="238" t="s">
        <v>1097</v>
      </c>
      <c r="F108" s="239" t="s">
        <v>1097</v>
      </c>
      <c r="G108" s="239" t="s">
        <v>1057</v>
      </c>
      <c r="H108" s="240" t="s">
        <v>693</v>
      </c>
      <c r="I108" s="240" t="s">
        <v>804</v>
      </c>
    </row>
    <row r="109" spans="1:9" x14ac:dyDescent="0.3">
      <c r="A109" s="212">
        <v>3</v>
      </c>
      <c r="B109" s="236">
        <v>152</v>
      </c>
      <c r="C109" s="237" t="s">
        <v>1059</v>
      </c>
      <c r="D109" s="237" t="s">
        <v>1060</v>
      </c>
      <c r="E109" s="238" t="s">
        <v>1097</v>
      </c>
      <c r="F109" s="239" t="s">
        <v>1097</v>
      </c>
      <c r="G109" s="239" t="s">
        <v>1247</v>
      </c>
      <c r="H109" s="240" t="s">
        <v>658</v>
      </c>
      <c r="I109" s="240" t="s">
        <v>804</v>
      </c>
    </row>
    <row r="110" spans="1:9" x14ac:dyDescent="0.3">
      <c r="A110" s="212">
        <v>3</v>
      </c>
      <c r="B110" s="236">
        <v>111</v>
      </c>
      <c r="C110" s="237" t="s">
        <v>1061</v>
      </c>
      <c r="D110" s="237" t="s">
        <v>1062</v>
      </c>
      <c r="E110" s="238" t="s">
        <v>1248</v>
      </c>
      <c r="F110" s="239" t="s">
        <v>1061</v>
      </c>
      <c r="G110" s="239" t="s">
        <v>1061</v>
      </c>
      <c r="H110" s="240" t="s">
        <v>706</v>
      </c>
      <c r="I110" s="240" t="s">
        <v>804</v>
      </c>
    </row>
    <row r="111" spans="1:9" x14ac:dyDescent="0.3">
      <c r="A111" s="212">
        <v>3</v>
      </c>
      <c r="B111" s="236">
        <v>87</v>
      </c>
      <c r="C111" s="237" t="s">
        <v>1063</v>
      </c>
      <c r="D111" s="237" t="s">
        <v>1064</v>
      </c>
      <c r="E111" s="238" t="s">
        <v>1097</v>
      </c>
      <c r="F111" s="239" t="s">
        <v>1097</v>
      </c>
      <c r="G111" s="239" t="s">
        <v>1063</v>
      </c>
      <c r="H111" s="240" t="s">
        <v>711</v>
      </c>
      <c r="I111" s="240" t="s">
        <v>804</v>
      </c>
    </row>
    <row r="112" spans="1:9" x14ac:dyDescent="0.3">
      <c r="A112" s="212">
        <v>3</v>
      </c>
      <c r="B112" s="236">
        <v>21</v>
      </c>
      <c r="C112" s="237" t="s">
        <v>1065</v>
      </c>
      <c r="D112" s="237" t="s">
        <v>1066</v>
      </c>
      <c r="E112" s="238" t="s">
        <v>1097</v>
      </c>
      <c r="F112" s="239" t="s">
        <v>1097</v>
      </c>
      <c r="G112" s="239" t="s">
        <v>1065</v>
      </c>
      <c r="H112" s="240" t="s">
        <v>658</v>
      </c>
      <c r="I112" s="240" t="s">
        <v>804</v>
      </c>
    </row>
    <row r="113" spans="1:9" x14ac:dyDescent="0.3">
      <c r="A113" s="212">
        <v>3</v>
      </c>
      <c r="B113" s="236">
        <v>95</v>
      </c>
      <c r="C113" s="237" t="s">
        <v>1067</v>
      </c>
      <c r="D113" s="237" t="s">
        <v>1068</v>
      </c>
      <c r="E113" s="238" t="s">
        <v>1097</v>
      </c>
      <c r="F113" s="239" t="s">
        <v>1097</v>
      </c>
      <c r="G113" s="239" t="s">
        <v>1249</v>
      </c>
      <c r="H113" s="240" t="s">
        <v>727</v>
      </c>
      <c r="I113" s="240" t="s">
        <v>804</v>
      </c>
    </row>
    <row r="114" spans="1:9" ht="36.6" x14ac:dyDescent="0.3">
      <c r="A114" s="212">
        <v>3</v>
      </c>
      <c r="B114" s="236">
        <v>174</v>
      </c>
      <c r="C114" s="237" t="s">
        <v>1069</v>
      </c>
      <c r="D114" s="241" t="s">
        <v>1070</v>
      </c>
      <c r="E114" s="238" t="s">
        <v>1097</v>
      </c>
      <c r="F114" s="239" t="s">
        <v>1250</v>
      </c>
      <c r="G114" s="239" t="s">
        <v>1077</v>
      </c>
      <c r="H114" s="240" t="s">
        <v>763</v>
      </c>
      <c r="I114" s="240" t="s">
        <v>804</v>
      </c>
    </row>
    <row r="115" spans="1:9" x14ac:dyDescent="0.3">
      <c r="A115" s="212">
        <v>3</v>
      </c>
      <c r="B115" s="236">
        <v>74</v>
      </c>
      <c r="C115" s="237" t="s">
        <v>1071</v>
      </c>
      <c r="D115" s="237" t="s">
        <v>1072</v>
      </c>
      <c r="E115" s="238" t="s">
        <v>1097</v>
      </c>
      <c r="F115" s="239" t="s">
        <v>1097</v>
      </c>
      <c r="G115" s="239" t="s">
        <v>1249</v>
      </c>
      <c r="H115" s="240" t="s">
        <v>727</v>
      </c>
      <c r="I115" s="240" t="s">
        <v>804</v>
      </c>
    </row>
    <row r="116" spans="1:9" x14ac:dyDescent="0.3">
      <c r="A116" s="212">
        <v>3</v>
      </c>
      <c r="B116" s="236">
        <v>26</v>
      </c>
      <c r="C116" s="237" t="s">
        <v>1073</v>
      </c>
      <c r="D116" s="237" t="s">
        <v>1074</v>
      </c>
      <c r="E116" s="238" t="s">
        <v>1097</v>
      </c>
      <c r="F116" s="239" t="s">
        <v>1097</v>
      </c>
      <c r="G116" s="239" t="s">
        <v>1249</v>
      </c>
      <c r="H116" s="240" t="s">
        <v>727</v>
      </c>
      <c r="I116" s="240" t="s">
        <v>804</v>
      </c>
    </row>
    <row r="117" spans="1:9" x14ac:dyDescent="0.3">
      <c r="A117" s="212">
        <v>3</v>
      </c>
      <c r="B117" s="236">
        <v>88</v>
      </c>
      <c r="C117" s="237" t="s">
        <v>1075</v>
      </c>
      <c r="D117" s="237" t="s">
        <v>1076</v>
      </c>
      <c r="E117" s="238" t="s">
        <v>1097</v>
      </c>
      <c r="F117" s="239" t="s">
        <v>1097</v>
      </c>
      <c r="G117" s="239" t="s">
        <v>1075</v>
      </c>
      <c r="H117" s="240" t="s">
        <v>753</v>
      </c>
      <c r="I117" s="240" t="s">
        <v>804</v>
      </c>
    </row>
    <row r="118" spans="1:9" x14ac:dyDescent="0.3">
      <c r="A118" s="212">
        <v>3</v>
      </c>
      <c r="B118" s="236">
        <v>143</v>
      </c>
      <c r="C118" s="237" t="s">
        <v>1077</v>
      </c>
      <c r="D118" s="237" t="s">
        <v>1078</v>
      </c>
      <c r="E118" s="238" t="s">
        <v>1097</v>
      </c>
      <c r="F118" s="239" t="s">
        <v>1097</v>
      </c>
      <c r="G118" s="239" t="s">
        <v>1251</v>
      </c>
      <c r="H118" s="240" t="s">
        <v>763</v>
      </c>
      <c r="I118" s="240" t="s">
        <v>804</v>
      </c>
    </row>
    <row r="119" spans="1:9" x14ac:dyDescent="0.3">
      <c r="A119" s="212">
        <v>3</v>
      </c>
      <c r="B119" s="236">
        <v>148</v>
      </c>
      <c r="C119" s="237" t="s">
        <v>1079</v>
      </c>
      <c r="D119" s="237" t="s">
        <v>1080</v>
      </c>
      <c r="E119" s="238" t="s">
        <v>1097</v>
      </c>
      <c r="F119" s="239" t="s">
        <v>1097</v>
      </c>
      <c r="G119" s="239" t="s">
        <v>1252</v>
      </c>
      <c r="H119" s="240" t="s">
        <v>768</v>
      </c>
      <c r="I119" s="240" t="s">
        <v>804</v>
      </c>
    </row>
    <row r="120" spans="1:9" x14ac:dyDescent="0.3">
      <c r="A120" s="212">
        <v>3</v>
      </c>
      <c r="B120" s="236">
        <v>167</v>
      </c>
      <c r="C120" s="237" t="s">
        <v>1081</v>
      </c>
      <c r="D120" s="237" t="s">
        <v>1082</v>
      </c>
      <c r="E120" s="238" t="s">
        <v>1097</v>
      </c>
      <c r="F120" s="239" t="s">
        <v>1097</v>
      </c>
      <c r="G120" s="239" t="s">
        <v>1249</v>
      </c>
      <c r="H120" s="240" t="s">
        <v>727</v>
      </c>
      <c r="I120" s="240" t="s">
        <v>804</v>
      </c>
    </row>
    <row r="121" spans="1:9" x14ac:dyDescent="0.3">
      <c r="A121" s="212">
        <v>3</v>
      </c>
      <c r="B121" s="242">
        <v>65</v>
      </c>
      <c r="C121" s="243" t="s">
        <v>1083</v>
      </c>
      <c r="D121" s="243" t="s">
        <v>1084</v>
      </c>
      <c r="E121" s="244" t="s">
        <v>1097</v>
      </c>
      <c r="F121" s="245" t="s">
        <v>1097</v>
      </c>
      <c r="G121" s="245" t="s">
        <v>1083</v>
      </c>
      <c r="H121" s="246" t="s">
        <v>665</v>
      </c>
      <c r="I121" s="246" t="s">
        <v>804</v>
      </c>
    </row>
    <row r="122" spans="1:9" x14ac:dyDescent="0.3">
      <c r="A122" s="212">
        <v>3</v>
      </c>
      <c r="B122" s="242">
        <v>46</v>
      </c>
      <c r="C122" s="243" t="s">
        <v>1085</v>
      </c>
      <c r="D122" s="243" t="s">
        <v>1086</v>
      </c>
      <c r="E122" s="244" t="s">
        <v>1097</v>
      </c>
      <c r="F122" s="245" t="s">
        <v>1097</v>
      </c>
      <c r="G122" s="245" t="s">
        <v>1253</v>
      </c>
      <c r="H122" s="246" t="s">
        <v>687</v>
      </c>
      <c r="I122" s="246" t="s">
        <v>804</v>
      </c>
    </row>
    <row r="123" spans="1:9" ht="36.6" x14ac:dyDescent="0.3">
      <c r="A123" s="212">
        <v>3</v>
      </c>
      <c r="B123" s="242">
        <v>173</v>
      </c>
      <c r="C123" s="243" t="s">
        <v>1087</v>
      </c>
      <c r="D123" s="247" t="s">
        <v>1088</v>
      </c>
      <c r="E123" s="244" t="s">
        <v>1097</v>
      </c>
      <c r="F123" s="245" t="s">
        <v>1097</v>
      </c>
      <c r="G123" s="245" t="s">
        <v>1254</v>
      </c>
      <c r="H123" s="246" t="s">
        <v>1283</v>
      </c>
      <c r="I123" s="246" t="s">
        <v>804</v>
      </c>
    </row>
    <row r="124" spans="1:9" x14ac:dyDescent="0.3">
      <c r="A124" s="212">
        <v>3</v>
      </c>
      <c r="B124" s="242">
        <v>138</v>
      </c>
      <c r="C124" s="243" t="s">
        <v>1089</v>
      </c>
      <c r="D124" s="243" t="s">
        <v>1090</v>
      </c>
      <c r="E124" s="244" t="s">
        <v>1097</v>
      </c>
      <c r="F124" s="245" t="s">
        <v>1097</v>
      </c>
      <c r="G124" s="245" t="s">
        <v>1083</v>
      </c>
      <c r="H124" s="246" t="s">
        <v>665</v>
      </c>
      <c r="I124" s="246" t="s">
        <v>804</v>
      </c>
    </row>
    <row r="125" spans="1:9" x14ac:dyDescent="0.3">
      <c r="A125" s="212">
        <v>5</v>
      </c>
      <c r="B125" s="242">
        <v>64</v>
      </c>
      <c r="C125" s="243" t="s">
        <v>1091</v>
      </c>
      <c r="D125" s="243" t="s">
        <v>1092</v>
      </c>
      <c r="E125" s="244" t="s">
        <v>1097</v>
      </c>
      <c r="F125" s="245" t="s">
        <v>1097</v>
      </c>
      <c r="G125" s="245" t="s">
        <v>1083</v>
      </c>
      <c r="H125" s="246" t="s">
        <v>665</v>
      </c>
      <c r="I125" s="246" t="s">
        <v>804</v>
      </c>
    </row>
    <row r="126" spans="1:9" x14ac:dyDescent="0.3">
      <c r="A126" s="212">
        <v>3</v>
      </c>
      <c r="B126" s="242">
        <v>124</v>
      </c>
      <c r="C126" s="243" t="s">
        <v>1093</v>
      </c>
      <c r="D126" s="243" t="s">
        <v>1094</v>
      </c>
      <c r="E126" s="244" t="s">
        <v>1097</v>
      </c>
      <c r="F126" s="245" t="s">
        <v>1255</v>
      </c>
      <c r="G126" s="245" t="s">
        <v>1205</v>
      </c>
      <c r="H126" s="246" t="s">
        <v>715</v>
      </c>
      <c r="I126" s="246" t="s">
        <v>804</v>
      </c>
    </row>
    <row r="127" spans="1:9" x14ac:dyDescent="0.3">
      <c r="A127" s="212">
        <v>3</v>
      </c>
      <c r="B127" s="242">
        <v>186</v>
      </c>
      <c r="C127" s="243" t="s">
        <v>1095</v>
      </c>
      <c r="D127" s="243" t="s">
        <v>1096</v>
      </c>
      <c r="E127" s="244" t="s">
        <v>1097</v>
      </c>
      <c r="F127" s="245" t="s">
        <v>1097</v>
      </c>
      <c r="G127" s="245" t="s">
        <v>897</v>
      </c>
      <c r="H127" s="246" t="s">
        <v>1284</v>
      </c>
      <c r="I127" s="246" t="s">
        <v>804</v>
      </c>
    </row>
    <row r="128" spans="1:9" x14ac:dyDescent="0.3">
      <c r="A128" s="212">
        <v>3</v>
      </c>
      <c r="B128" s="242">
        <v>18</v>
      </c>
      <c r="C128" s="243" t="s">
        <v>1097</v>
      </c>
      <c r="D128" s="243" t="s">
        <v>1098</v>
      </c>
      <c r="E128" s="244" t="s">
        <v>1097</v>
      </c>
      <c r="F128" s="245" t="s">
        <v>1097</v>
      </c>
      <c r="G128" s="245" t="s">
        <v>1097</v>
      </c>
      <c r="H128" s="246" t="s">
        <v>719</v>
      </c>
      <c r="I128" s="246" t="s">
        <v>804</v>
      </c>
    </row>
    <row r="129" spans="1:9" x14ac:dyDescent="0.3">
      <c r="A129" s="212">
        <v>5</v>
      </c>
      <c r="B129" s="242">
        <v>159</v>
      </c>
      <c r="C129" s="243" t="s">
        <v>1099</v>
      </c>
      <c r="D129" s="243" t="s">
        <v>1100</v>
      </c>
      <c r="E129" s="244" t="s">
        <v>1097</v>
      </c>
      <c r="F129" s="245" t="s">
        <v>1097</v>
      </c>
      <c r="G129" s="245" t="s">
        <v>1256</v>
      </c>
      <c r="H129" s="246" t="s">
        <v>722</v>
      </c>
      <c r="I129" s="246" t="s">
        <v>804</v>
      </c>
    </row>
    <row r="130" spans="1:9" x14ac:dyDescent="0.3">
      <c r="A130" s="212">
        <v>3</v>
      </c>
      <c r="B130" s="242">
        <v>123</v>
      </c>
      <c r="C130" s="248" t="s">
        <v>1101</v>
      </c>
      <c r="D130" s="243" t="s">
        <v>1102</v>
      </c>
      <c r="E130" s="244" t="s">
        <v>1097</v>
      </c>
      <c r="F130" s="245" t="s">
        <v>1097</v>
      </c>
      <c r="G130" s="245" t="s">
        <v>1257</v>
      </c>
      <c r="H130" s="246" t="s">
        <v>723</v>
      </c>
      <c r="I130" s="246" t="s">
        <v>804</v>
      </c>
    </row>
    <row r="131" spans="1:9" x14ac:dyDescent="0.3">
      <c r="A131" s="212">
        <v>3</v>
      </c>
      <c r="B131" s="242">
        <v>184</v>
      </c>
      <c r="C131" s="243" t="s">
        <v>1103</v>
      </c>
      <c r="D131" s="243" t="s">
        <v>1104</v>
      </c>
      <c r="E131" s="244" t="s">
        <v>1097</v>
      </c>
      <c r="F131" s="245" t="s">
        <v>1097</v>
      </c>
      <c r="G131" s="245" t="s">
        <v>1107</v>
      </c>
      <c r="H131" s="246" t="s">
        <v>752</v>
      </c>
      <c r="I131" s="246" t="s">
        <v>804</v>
      </c>
    </row>
    <row r="132" spans="1:9" ht="24.6" x14ac:dyDescent="0.3">
      <c r="A132" s="212">
        <v>3</v>
      </c>
      <c r="B132" s="242">
        <v>183</v>
      </c>
      <c r="C132" s="243" t="s">
        <v>1105</v>
      </c>
      <c r="D132" s="247" t="s">
        <v>1106</v>
      </c>
      <c r="E132" s="244" t="s">
        <v>1097</v>
      </c>
      <c r="F132" s="245" t="s">
        <v>1097</v>
      </c>
      <c r="G132" s="245" t="s">
        <v>1105</v>
      </c>
      <c r="H132" s="246" t="s">
        <v>1285</v>
      </c>
      <c r="I132" s="246" t="s">
        <v>804</v>
      </c>
    </row>
    <row r="133" spans="1:9" x14ac:dyDescent="0.3">
      <c r="A133" s="212">
        <v>3</v>
      </c>
      <c r="B133" s="242">
        <v>22</v>
      </c>
      <c r="C133" s="243" t="s">
        <v>1107</v>
      </c>
      <c r="D133" s="243" t="s">
        <v>1108</v>
      </c>
      <c r="E133" s="244" t="s">
        <v>1097</v>
      </c>
      <c r="F133" s="245" t="s">
        <v>1097</v>
      </c>
      <c r="G133" s="245" t="s">
        <v>1107</v>
      </c>
      <c r="H133" s="246" t="s">
        <v>752</v>
      </c>
      <c r="I133" s="246" t="s">
        <v>804</v>
      </c>
    </row>
    <row r="134" spans="1:9" x14ac:dyDescent="0.3">
      <c r="A134" s="212">
        <v>3</v>
      </c>
      <c r="B134" s="242">
        <v>101</v>
      </c>
      <c r="C134" s="243" t="s">
        <v>1109</v>
      </c>
      <c r="D134" s="243" t="s">
        <v>1110</v>
      </c>
      <c r="E134" s="244" t="s">
        <v>1097</v>
      </c>
      <c r="F134" s="245" t="s">
        <v>1097</v>
      </c>
      <c r="G134" s="245" t="s">
        <v>1109</v>
      </c>
      <c r="H134" s="246" t="s">
        <v>748</v>
      </c>
      <c r="I134" s="246" t="s">
        <v>804</v>
      </c>
    </row>
    <row r="135" spans="1:9" x14ac:dyDescent="0.3">
      <c r="A135" s="212">
        <v>3</v>
      </c>
      <c r="B135" s="244">
        <v>178</v>
      </c>
      <c r="C135" s="243" t="s">
        <v>1111</v>
      </c>
      <c r="D135" s="249" t="s">
        <v>1112</v>
      </c>
      <c r="E135" s="244" t="s">
        <v>1097</v>
      </c>
      <c r="F135" s="245" t="s">
        <v>1097</v>
      </c>
      <c r="G135" s="243" t="s">
        <v>1083</v>
      </c>
      <c r="H135" s="246" t="s">
        <v>665</v>
      </c>
      <c r="I135" s="246" t="s">
        <v>804</v>
      </c>
    </row>
    <row r="136" spans="1:9" x14ac:dyDescent="0.3">
      <c r="A136" s="212">
        <v>5</v>
      </c>
      <c r="B136" s="242">
        <v>35</v>
      </c>
      <c r="C136" s="243" t="s">
        <v>1113</v>
      </c>
      <c r="D136" s="243" t="s">
        <v>1114</v>
      </c>
      <c r="E136" s="244" t="s">
        <v>1097</v>
      </c>
      <c r="F136" s="245" t="s">
        <v>1097</v>
      </c>
      <c r="G136" s="245" t="s">
        <v>1113</v>
      </c>
      <c r="H136" s="246" t="s">
        <v>755</v>
      </c>
      <c r="I136" s="246" t="s">
        <v>804</v>
      </c>
    </row>
    <row r="137" spans="1:9" x14ac:dyDescent="0.3">
      <c r="A137" s="212">
        <v>3</v>
      </c>
      <c r="B137" s="217">
        <v>179</v>
      </c>
      <c r="C137" s="218" t="s">
        <v>1115</v>
      </c>
      <c r="D137" s="218" t="s">
        <v>1116</v>
      </c>
      <c r="E137" s="250" t="s">
        <v>1117</v>
      </c>
      <c r="F137" s="219" t="s">
        <v>1258</v>
      </c>
      <c r="G137" s="219" t="s">
        <v>1115</v>
      </c>
      <c r="H137" s="220" t="s">
        <v>1286</v>
      </c>
      <c r="I137" s="220" t="s">
        <v>804</v>
      </c>
    </row>
    <row r="138" spans="1:9" x14ac:dyDescent="0.3">
      <c r="A138" s="212">
        <v>3</v>
      </c>
      <c r="B138" s="217">
        <v>139</v>
      </c>
      <c r="C138" s="218" t="s">
        <v>1117</v>
      </c>
      <c r="D138" s="218" t="s">
        <v>1118</v>
      </c>
      <c r="E138" s="250" t="s">
        <v>1117</v>
      </c>
      <c r="F138" s="219" t="s">
        <v>1117</v>
      </c>
      <c r="G138" s="219" t="s">
        <v>1117</v>
      </c>
      <c r="H138" s="220" t="s">
        <v>671</v>
      </c>
      <c r="I138" s="220" t="s">
        <v>804</v>
      </c>
    </row>
    <row r="139" spans="1:9" x14ac:dyDescent="0.3">
      <c r="A139" s="212">
        <v>3</v>
      </c>
      <c r="B139" s="217">
        <v>122</v>
      </c>
      <c r="C139" s="218" t="s">
        <v>1119</v>
      </c>
      <c r="D139" s="218" t="s">
        <v>1120</v>
      </c>
      <c r="E139" s="250" t="s">
        <v>1259</v>
      </c>
      <c r="F139" s="219" t="s">
        <v>1260</v>
      </c>
      <c r="G139" s="219" t="s">
        <v>1260</v>
      </c>
      <c r="H139" s="220" t="s">
        <v>677</v>
      </c>
      <c r="I139" s="220" t="s">
        <v>804</v>
      </c>
    </row>
    <row r="140" spans="1:9" x14ac:dyDescent="0.3">
      <c r="A140" s="212">
        <v>3</v>
      </c>
      <c r="B140" s="217">
        <v>113</v>
      </c>
      <c r="C140" s="218" t="s">
        <v>1121</v>
      </c>
      <c r="D140" s="218" t="s">
        <v>1122</v>
      </c>
      <c r="E140" s="250" t="s">
        <v>1261</v>
      </c>
      <c r="F140" s="219" t="s">
        <v>1121</v>
      </c>
      <c r="G140" s="219" t="s">
        <v>1121</v>
      </c>
      <c r="H140" s="220" t="s">
        <v>681</v>
      </c>
      <c r="I140" s="220" t="s">
        <v>804</v>
      </c>
    </row>
    <row r="141" spans="1:9" x14ac:dyDescent="0.3">
      <c r="A141" s="212">
        <v>3</v>
      </c>
      <c r="B141" s="217">
        <v>112</v>
      </c>
      <c r="C141" s="218" t="s">
        <v>1123</v>
      </c>
      <c r="D141" s="218" t="s">
        <v>1124</v>
      </c>
      <c r="E141" s="250" t="s">
        <v>1248</v>
      </c>
      <c r="F141" s="219" t="s">
        <v>1262</v>
      </c>
      <c r="G141" s="219" t="s">
        <v>1123</v>
      </c>
      <c r="H141" s="220" t="s">
        <v>683</v>
      </c>
      <c r="I141" s="220" t="s">
        <v>804</v>
      </c>
    </row>
    <row r="142" spans="1:9" x14ac:dyDescent="0.3">
      <c r="A142" s="212">
        <v>5</v>
      </c>
      <c r="B142" s="217">
        <v>176</v>
      </c>
      <c r="C142" s="218" t="s">
        <v>1125</v>
      </c>
      <c r="D142" s="218" t="s">
        <v>1126</v>
      </c>
      <c r="E142" s="250" t="s">
        <v>1117</v>
      </c>
      <c r="F142" s="219" t="s">
        <v>1125</v>
      </c>
      <c r="G142" s="219" t="s">
        <v>1125</v>
      </c>
      <c r="H142" s="220" t="s">
        <v>1287</v>
      </c>
      <c r="I142" s="220" t="s">
        <v>804</v>
      </c>
    </row>
    <row r="143" spans="1:9" x14ac:dyDescent="0.3">
      <c r="A143" s="212">
        <v>3</v>
      </c>
      <c r="B143" s="217">
        <v>158</v>
      </c>
      <c r="C143" s="218" t="s">
        <v>1127</v>
      </c>
      <c r="D143" s="218" t="s">
        <v>1128</v>
      </c>
      <c r="E143" s="250" t="s">
        <v>1259</v>
      </c>
      <c r="F143" s="219" t="s">
        <v>1260</v>
      </c>
      <c r="G143" s="219" t="s">
        <v>1127</v>
      </c>
      <c r="H143" s="220" t="s">
        <v>699</v>
      </c>
      <c r="I143" s="220" t="s">
        <v>804</v>
      </c>
    </row>
    <row r="144" spans="1:9" x14ac:dyDescent="0.3">
      <c r="A144" s="212">
        <v>3</v>
      </c>
      <c r="B144" s="217">
        <v>169</v>
      </c>
      <c r="C144" s="218" t="s">
        <v>1129</v>
      </c>
      <c r="D144" s="218" t="s">
        <v>1130</v>
      </c>
      <c r="E144" s="250" t="s">
        <v>1117</v>
      </c>
      <c r="F144" s="219" t="s">
        <v>1129</v>
      </c>
      <c r="G144" s="219" t="s">
        <v>1129</v>
      </c>
      <c r="H144" s="220" t="s">
        <v>1288</v>
      </c>
      <c r="I144" s="220" t="s">
        <v>804</v>
      </c>
    </row>
    <row r="145" spans="1:9" x14ac:dyDescent="0.3">
      <c r="A145" s="212">
        <v>3</v>
      </c>
      <c r="B145" s="217">
        <v>126</v>
      </c>
      <c r="C145" s="218" t="s">
        <v>1131</v>
      </c>
      <c r="D145" s="218" t="s">
        <v>1132</v>
      </c>
      <c r="E145" s="250" t="s">
        <v>1259</v>
      </c>
      <c r="F145" s="219" t="s">
        <v>1260</v>
      </c>
      <c r="G145" s="219" t="s">
        <v>1260</v>
      </c>
      <c r="H145" s="220" t="s">
        <v>677</v>
      </c>
      <c r="I145" s="220" t="s">
        <v>804</v>
      </c>
    </row>
    <row r="146" spans="1:9" x14ac:dyDescent="0.3">
      <c r="A146" s="212">
        <v>3</v>
      </c>
      <c r="B146" s="217">
        <v>181</v>
      </c>
      <c r="C146" s="218" t="s">
        <v>1133</v>
      </c>
      <c r="D146" s="218" t="s">
        <v>1134</v>
      </c>
      <c r="E146" s="250" t="s">
        <v>1141</v>
      </c>
      <c r="F146" s="219" t="s">
        <v>1141</v>
      </c>
      <c r="G146" s="219" t="s">
        <v>1133</v>
      </c>
      <c r="H146" s="220" t="s">
        <v>1289</v>
      </c>
      <c r="I146" s="220" t="s">
        <v>804</v>
      </c>
    </row>
    <row r="147" spans="1:9" x14ac:dyDescent="0.3">
      <c r="A147" s="212">
        <v>3</v>
      </c>
      <c r="B147" s="217">
        <v>163</v>
      </c>
      <c r="C147" s="218" t="s">
        <v>1135</v>
      </c>
      <c r="D147" s="218" t="s">
        <v>1136</v>
      </c>
      <c r="E147" s="250" t="s">
        <v>1261</v>
      </c>
      <c r="F147" s="219" t="s">
        <v>1121</v>
      </c>
      <c r="G147" s="219" t="s">
        <v>1121</v>
      </c>
      <c r="H147" s="220" t="s">
        <v>681</v>
      </c>
      <c r="I147" s="220" t="s">
        <v>804</v>
      </c>
    </row>
    <row r="148" spans="1:9" x14ac:dyDescent="0.3">
      <c r="A148" s="212">
        <v>3</v>
      </c>
      <c r="B148" s="217">
        <v>127</v>
      </c>
      <c r="C148" s="218" t="s">
        <v>1137</v>
      </c>
      <c r="D148" s="218" t="s">
        <v>1138</v>
      </c>
      <c r="E148" s="250" t="s">
        <v>1261</v>
      </c>
      <c r="F148" s="219" t="s">
        <v>1121</v>
      </c>
      <c r="G148" s="219" t="s">
        <v>1263</v>
      </c>
      <c r="H148" s="220" t="s">
        <v>729</v>
      </c>
      <c r="I148" s="220" t="s">
        <v>804</v>
      </c>
    </row>
    <row r="149" spans="1:9" x14ac:dyDescent="0.3">
      <c r="A149" s="212">
        <v>3</v>
      </c>
      <c r="B149" s="217">
        <v>156</v>
      </c>
      <c r="C149" s="218" t="s">
        <v>1139</v>
      </c>
      <c r="D149" s="218" t="s">
        <v>1140</v>
      </c>
      <c r="E149" s="250" t="s">
        <v>1141</v>
      </c>
      <c r="F149" s="219" t="s">
        <v>1145</v>
      </c>
      <c r="G149" s="219" t="s">
        <v>1145</v>
      </c>
      <c r="H149" s="220" t="s">
        <v>734</v>
      </c>
      <c r="I149" s="220" t="s">
        <v>804</v>
      </c>
    </row>
    <row r="150" spans="1:9" x14ac:dyDescent="0.3">
      <c r="A150" s="212">
        <v>3</v>
      </c>
      <c r="B150" s="217">
        <v>131</v>
      </c>
      <c r="C150" s="218" t="s">
        <v>1141</v>
      </c>
      <c r="D150" s="218" t="s">
        <v>1142</v>
      </c>
      <c r="E150" s="250" t="s">
        <v>1141</v>
      </c>
      <c r="F150" s="219" t="s">
        <v>1141</v>
      </c>
      <c r="G150" s="219" t="s">
        <v>1141</v>
      </c>
      <c r="H150" s="220" t="s">
        <v>740</v>
      </c>
      <c r="I150" s="220" t="s">
        <v>804</v>
      </c>
    </row>
    <row r="151" spans="1:9" x14ac:dyDescent="0.3">
      <c r="A151" s="212">
        <v>3</v>
      </c>
      <c r="B151" s="217">
        <v>155</v>
      </c>
      <c r="C151" s="218" t="s">
        <v>1143</v>
      </c>
      <c r="D151" s="218" t="s">
        <v>1144</v>
      </c>
      <c r="E151" s="250" t="s">
        <v>1141</v>
      </c>
      <c r="F151" s="219" t="s">
        <v>1141</v>
      </c>
      <c r="G151" s="219" t="s">
        <v>1141</v>
      </c>
      <c r="H151" s="220" t="s">
        <v>740</v>
      </c>
      <c r="I151" s="220" t="s">
        <v>804</v>
      </c>
    </row>
    <row r="152" spans="1:9" x14ac:dyDescent="0.3">
      <c r="A152" s="212">
        <v>3</v>
      </c>
      <c r="B152" s="217">
        <v>128</v>
      </c>
      <c r="C152" s="218" t="s">
        <v>1145</v>
      </c>
      <c r="D152" s="218" t="s">
        <v>1146</v>
      </c>
      <c r="E152" s="250" t="s">
        <v>1141</v>
      </c>
      <c r="F152" s="219" t="s">
        <v>1145</v>
      </c>
      <c r="G152" s="219" t="s">
        <v>1145</v>
      </c>
      <c r="H152" s="220" t="s">
        <v>734</v>
      </c>
      <c r="I152" s="220" t="s">
        <v>804</v>
      </c>
    </row>
    <row r="153" spans="1:9" x14ac:dyDescent="0.3">
      <c r="A153" s="212">
        <v>3</v>
      </c>
      <c r="B153" s="217">
        <v>180</v>
      </c>
      <c r="C153" s="218" t="s">
        <v>1147</v>
      </c>
      <c r="D153" s="218" t="s">
        <v>1148</v>
      </c>
      <c r="E153" s="250" t="s">
        <v>1141</v>
      </c>
      <c r="F153" s="219" t="s">
        <v>1147</v>
      </c>
      <c r="G153" s="219" t="s">
        <v>1264</v>
      </c>
      <c r="H153" s="220" t="s">
        <v>1290</v>
      </c>
      <c r="I153" s="220" t="s">
        <v>804</v>
      </c>
    </row>
    <row r="154" spans="1:9" x14ac:dyDescent="0.3">
      <c r="A154" s="212">
        <v>3</v>
      </c>
      <c r="B154" s="217">
        <v>157</v>
      </c>
      <c r="C154" s="218" t="s">
        <v>1149</v>
      </c>
      <c r="D154" s="218" t="s">
        <v>1150</v>
      </c>
      <c r="E154" s="250" t="s">
        <v>1259</v>
      </c>
      <c r="F154" s="219" t="s">
        <v>1260</v>
      </c>
      <c r="G154" s="219" t="s">
        <v>1265</v>
      </c>
      <c r="H154" s="220" t="s">
        <v>677</v>
      </c>
      <c r="I154" s="220" t="s">
        <v>804</v>
      </c>
    </row>
    <row r="155" spans="1:9" x14ac:dyDescent="0.3">
      <c r="A155" s="212">
        <v>3</v>
      </c>
      <c r="B155" s="217">
        <v>150</v>
      </c>
      <c r="C155" s="218" t="s">
        <v>1151</v>
      </c>
      <c r="D155" s="218" t="s">
        <v>1152</v>
      </c>
      <c r="E155" s="250" t="s">
        <v>1151</v>
      </c>
      <c r="F155" s="219" t="s">
        <v>1151</v>
      </c>
      <c r="G155" s="219" t="s">
        <v>1151</v>
      </c>
      <c r="H155" s="220" t="s">
        <v>760</v>
      </c>
      <c r="I155" s="220" t="s">
        <v>804</v>
      </c>
    </row>
    <row r="156" spans="1:9" x14ac:dyDescent="0.3">
      <c r="A156" s="212">
        <v>3</v>
      </c>
      <c r="B156" s="242">
        <v>120</v>
      </c>
      <c r="C156" s="243" t="s">
        <v>1153</v>
      </c>
      <c r="D156" s="243" t="s">
        <v>1154</v>
      </c>
      <c r="E156" s="244" t="s">
        <v>1159</v>
      </c>
      <c r="F156" s="245" t="s">
        <v>1159</v>
      </c>
      <c r="G156" s="245" t="s">
        <v>1159</v>
      </c>
      <c r="H156" s="246" t="s">
        <v>653</v>
      </c>
      <c r="I156" s="246" t="s">
        <v>804</v>
      </c>
    </row>
    <row r="157" spans="1:9" x14ac:dyDescent="0.3">
      <c r="A157" s="212">
        <v>3</v>
      </c>
      <c r="B157" s="242">
        <v>100</v>
      </c>
      <c r="C157" s="243" t="s">
        <v>1155</v>
      </c>
      <c r="D157" s="243" t="s">
        <v>1156</v>
      </c>
      <c r="E157" s="244" t="s">
        <v>1266</v>
      </c>
      <c r="F157" s="245" t="s">
        <v>1267</v>
      </c>
      <c r="G157" s="245" t="s">
        <v>1267</v>
      </c>
      <c r="H157" s="246" t="s">
        <v>655</v>
      </c>
      <c r="I157" s="246" t="s">
        <v>804</v>
      </c>
    </row>
    <row r="158" spans="1:9" x14ac:dyDescent="0.3">
      <c r="A158" s="212">
        <v>3</v>
      </c>
      <c r="B158" s="242">
        <v>151</v>
      </c>
      <c r="C158" s="243" t="s">
        <v>1157</v>
      </c>
      <c r="D158" s="243" t="s">
        <v>1158</v>
      </c>
      <c r="E158" s="244" t="s">
        <v>1266</v>
      </c>
      <c r="F158" s="245" t="s">
        <v>1268</v>
      </c>
      <c r="G158" s="245" t="s">
        <v>1157</v>
      </c>
      <c r="H158" s="246" t="s">
        <v>672</v>
      </c>
      <c r="I158" s="246" t="s">
        <v>804</v>
      </c>
    </row>
    <row r="159" spans="1:9" x14ac:dyDescent="0.3">
      <c r="A159" s="212">
        <v>3</v>
      </c>
      <c r="B159" s="242">
        <v>39</v>
      </c>
      <c r="C159" s="243" t="s">
        <v>1159</v>
      </c>
      <c r="D159" s="243" t="s">
        <v>1160</v>
      </c>
      <c r="E159" s="244" t="s">
        <v>1159</v>
      </c>
      <c r="F159" s="245" t="s">
        <v>1159</v>
      </c>
      <c r="G159" s="245" t="s">
        <v>1159</v>
      </c>
      <c r="H159" s="246" t="s">
        <v>653</v>
      </c>
      <c r="I159" s="246" t="s">
        <v>804</v>
      </c>
    </row>
    <row r="160" spans="1:9" x14ac:dyDescent="0.3">
      <c r="A160" s="212">
        <v>3</v>
      </c>
      <c r="B160" s="242">
        <v>145</v>
      </c>
      <c r="C160" s="243" t="s">
        <v>1161</v>
      </c>
      <c r="D160" s="243" t="s">
        <v>1162</v>
      </c>
      <c r="E160" s="244" t="s">
        <v>1269</v>
      </c>
      <c r="F160" s="245" t="s">
        <v>1270</v>
      </c>
      <c r="G160" s="245" t="s">
        <v>1161</v>
      </c>
      <c r="H160" s="246" t="s">
        <v>712</v>
      </c>
      <c r="I160" s="246" t="s">
        <v>804</v>
      </c>
    </row>
    <row r="161" spans="1:9" x14ac:dyDescent="0.3">
      <c r="A161" s="212">
        <v>3</v>
      </c>
      <c r="B161" s="242">
        <v>182</v>
      </c>
      <c r="C161" s="243" t="s">
        <v>1163</v>
      </c>
      <c r="D161" s="243" t="s">
        <v>1164</v>
      </c>
      <c r="E161" s="244" t="s">
        <v>1207</v>
      </c>
      <c r="F161" s="245" t="s">
        <v>1207</v>
      </c>
      <c r="G161" s="245" t="s">
        <v>1169</v>
      </c>
      <c r="H161" s="246" t="s">
        <v>756</v>
      </c>
      <c r="I161" s="246" t="s">
        <v>804</v>
      </c>
    </row>
    <row r="162" spans="1:9" x14ac:dyDescent="0.3">
      <c r="A162" s="212">
        <v>3</v>
      </c>
      <c r="B162" s="242">
        <v>153</v>
      </c>
      <c r="C162" s="243" t="s">
        <v>1165</v>
      </c>
      <c r="D162" s="243" t="s">
        <v>1166</v>
      </c>
      <c r="E162" s="244" t="s">
        <v>1207</v>
      </c>
      <c r="F162" s="245" t="s">
        <v>1165</v>
      </c>
      <c r="G162" s="245" t="s">
        <v>1165</v>
      </c>
      <c r="H162" s="246" t="s">
        <v>730</v>
      </c>
      <c r="I162" s="246" t="s">
        <v>804</v>
      </c>
    </row>
    <row r="163" spans="1:9" x14ac:dyDescent="0.3">
      <c r="A163" s="135"/>
      <c r="B163" s="242">
        <v>41</v>
      </c>
      <c r="C163" s="243" t="s">
        <v>1167</v>
      </c>
      <c r="D163" s="243" t="s">
        <v>1168</v>
      </c>
      <c r="E163" s="244" t="s">
        <v>1266</v>
      </c>
      <c r="F163" s="245" t="s">
        <v>1268</v>
      </c>
      <c r="G163" s="245" t="s">
        <v>1157</v>
      </c>
      <c r="H163" s="246" t="s">
        <v>672</v>
      </c>
      <c r="I163" s="246" t="s">
        <v>804</v>
      </c>
    </row>
    <row r="164" spans="1:9" x14ac:dyDescent="0.3">
      <c r="A164" s="135"/>
      <c r="B164" s="242">
        <v>114</v>
      </c>
      <c r="C164" s="243" t="s">
        <v>1169</v>
      </c>
      <c r="D164" s="243" t="s">
        <v>1170</v>
      </c>
      <c r="E164" s="244" t="s">
        <v>1207</v>
      </c>
      <c r="F164" s="245" t="s">
        <v>1207</v>
      </c>
      <c r="G164" s="245" t="s">
        <v>1169</v>
      </c>
      <c r="H164" s="246" t="s">
        <v>756</v>
      </c>
      <c r="I164" s="246" t="s">
        <v>804</v>
      </c>
    </row>
    <row r="165" spans="1:9" x14ac:dyDescent="0.3">
      <c r="A165" s="135"/>
      <c r="B165" s="242">
        <v>40</v>
      </c>
      <c r="C165" s="243" t="s">
        <v>1171</v>
      </c>
      <c r="D165" s="243" t="s">
        <v>1172</v>
      </c>
      <c r="E165" s="244" t="s">
        <v>1159</v>
      </c>
      <c r="F165" s="245" t="s">
        <v>1271</v>
      </c>
      <c r="G165" s="245" t="s">
        <v>1272</v>
      </c>
      <c r="H165" s="246" t="s">
        <v>758</v>
      </c>
      <c r="I165" s="246" t="s">
        <v>804</v>
      </c>
    </row>
    <row r="166" spans="1:9" x14ac:dyDescent="0.3">
      <c r="A166" s="135"/>
      <c r="B166" s="242">
        <v>115</v>
      </c>
      <c r="C166" s="243" t="s">
        <v>1173</v>
      </c>
      <c r="D166" s="243" t="s">
        <v>1174</v>
      </c>
      <c r="E166" s="244" t="s">
        <v>1207</v>
      </c>
      <c r="F166" s="245" t="s">
        <v>1173</v>
      </c>
      <c r="G166" s="245" t="s">
        <v>1173</v>
      </c>
      <c r="H166" s="246" t="s">
        <v>759</v>
      </c>
      <c r="I166" s="246" t="s">
        <v>804</v>
      </c>
    </row>
    <row r="167" spans="1:9" x14ac:dyDescent="0.3">
      <c r="A167" s="135"/>
      <c r="B167" s="242">
        <v>177</v>
      </c>
      <c r="C167" s="243" t="s">
        <v>1175</v>
      </c>
      <c r="D167" s="243" t="s">
        <v>1176</v>
      </c>
      <c r="E167" s="244" t="s">
        <v>1269</v>
      </c>
      <c r="F167" s="245" t="s">
        <v>1273</v>
      </c>
      <c r="G167" s="245" t="s">
        <v>1175</v>
      </c>
      <c r="H167" s="246" t="s">
        <v>1291</v>
      </c>
      <c r="I167" s="246" t="s">
        <v>804</v>
      </c>
    </row>
    <row r="168" spans="1:9" x14ac:dyDescent="0.3">
      <c r="A168" s="135"/>
      <c r="B168" s="213">
        <v>102</v>
      </c>
      <c r="C168" s="214" t="s">
        <v>1177</v>
      </c>
      <c r="D168" s="214" t="s">
        <v>1178</v>
      </c>
      <c r="E168" s="231" t="s">
        <v>1274</v>
      </c>
      <c r="F168" s="215" t="s">
        <v>1274</v>
      </c>
      <c r="G168" s="215" t="s">
        <v>1177</v>
      </c>
      <c r="H168" s="216" t="s">
        <v>690</v>
      </c>
      <c r="I168" s="216" t="s">
        <v>804</v>
      </c>
    </row>
    <row r="169" spans="1:9" x14ac:dyDescent="0.3">
      <c r="A169" s="135"/>
      <c r="B169" s="213">
        <v>69</v>
      </c>
      <c r="C169" s="214" t="s">
        <v>1179</v>
      </c>
      <c r="D169" s="214" t="s">
        <v>1180</v>
      </c>
      <c r="E169" s="231" t="s">
        <v>1216</v>
      </c>
      <c r="F169" s="215" t="s">
        <v>1275</v>
      </c>
      <c r="G169" s="215" t="s">
        <v>1179</v>
      </c>
      <c r="H169" s="216" t="s">
        <v>692</v>
      </c>
      <c r="I169" s="216" t="s">
        <v>804</v>
      </c>
    </row>
    <row r="170" spans="1:9" x14ac:dyDescent="0.3">
      <c r="A170" s="135"/>
      <c r="B170" s="213">
        <v>23</v>
      </c>
      <c r="C170" s="214" t="s">
        <v>1181</v>
      </c>
      <c r="D170" s="214" t="s">
        <v>1182</v>
      </c>
      <c r="E170" s="231" t="s">
        <v>1216</v>
      </c>
      <c r="F170" s="215" t="s">
        <v>1276</v>
      </c>
      <c r="G170" s="215" t="s">
        <v>1277</v>
      </c>
      <c r="H170" s="216" t="s">
        <v>694</v>
      </c>
      <c r="I170" s="216" t="s">
        <v>804</v>
      </c>
    </row>
    <row r="171" spans="1:9" x14ac:dyDescent="0.3">
      <c r="A171" s="135"/>
      <c r="B171" s="213">
        <v>93</v>
      </c>
      <c r="C171" s="214" t="s">
        <v>1183</v>
      </c>
      <c r="D171" s="214" t="s">
        <v>1184</v>
      </c>
      <c r="E171" s="231" t="s">
        <v>1274</v>
      </c>
      <c r="F171" s="215" t="s">
        <v>1274</v>
      </c>
      <c r="G171" s="215" t="s">
        <v>1274</v>
      </c>
      <c r="H171" s="216" t="s">
        <v>695</v>
      </c>
      <c r="I171" s="216" t="s">
        <v>804</v>
      </c>
    </row>
    <row r="172" spans="1:9" x14ac:dyDescent="0.3">
      <c r="A172" s="135"/>
      <c r="B172" s="213">
        <v>10</v>
      </c>
      <c r="C172" s="214" t="s">
        <v>1185</v>
      </c>
      <c r="D172" s="214" t="s">
        <v>1186</v>
      </c>
      <c r="E172" s="231" t="s">
        <v>1191</v>
      </c>
      <c r="F172" s="215" t="s">
        <v>1185</v>
      </c>
      <c r="G172" s="215" t="s">
        <v>1185</v>
      </c>
      <c r="H172" s="216" t="s">
        <v>710</v>
      </c>
      <c r="I172" s="216" t="s">
        <v>804</v>
      </c>
    </row>
    <row r="173" spans="1:9" x14ac:dyDescent="0.3">
      <c r="A173" s="135"/>
      <c r="B173" s="213">
        <v>188</v>
      </c>
      <c r="C173" s="214" t="s">
        <v>1187</v>
      </c>
      <c r="D173" s="214" t="s">
        <v>1188</v>
      </c>
      <c r="E173" s="231" t="s">
        <v>1216</v>
      </c>
      <c r="F173" s="215" t="s">
        <v>1220</v>
      </c>
      <c r="G173" s="215" t="s">
        <v>1278</v>
      </c>
      <c r="H173" s="216" t="s">
        <v>733</v>
      </c>
      <c r="I173" s="216" t="s">
        <v>804</v>
      </c>
    </row>
    <row r="174" spans="1:9" x14ac:dyDescent="0.3">
      <c r="A174" s="135"/>
      <c r="B174" s="213">
        <v>6</v>
      </c>
      <c r="C174" s="214" t="s">
        <v>1189</v>
      </c>
      <c r="D174" s="214" t="s">
        <v>1190</v>
      </c>
      <c r="E174" s="231" t="s">
        <v>1216</v>
      </c>
      <c r="F174" s="215" t="s">
        <v>1275</v>
      </c>
      <c r="G174" s="215" t="s">
        <v>1189</v>
      </c>
      <c r="H174" s="216" t="s">
        <v>726</v>
      </c>
      <c r="I174" s="216" t="s">
        <v>804</v>
      </c>
    </row>
    <row r="175" spans="1:9" x14ac:dyDescent="0.3">
      <c r="A175" s="135"/>
      <c r="B175" s="213">
        <v>9</v>
      </c>
      <c r="C175" s="214" t="s">
        <v>1191</v>
      </c>
      <c r="D175" s="214" t="s">
        <v>1192</v>
      </c>
      <c r="E175" s="231" t="s">
        <v>1191</v>
      </c>
      <c r="F175" s="215" t="s">
        <v>1279</v>
      </c>
      <c r="G175" s="215" t="s">
        <v>1191</v>
      </c>
      <c r="H175" s="216" t="s">
        <v>728</v>
      </c>
      <c r="I175" s="216" t="s">
        <v>804</v>
      </c>
    </row>
    <row r="176" spans="1:9" x14ac:dyDescent="0.3">
      <c r="A176" s="135"/>
      <c r="B176" s="213">
        <v>166</v>
      </c>
      <c r="C176" s="214" t="s">
        <v>1193</v>
      </c>
      <c r="D176" s="214" t="s">
        <v>1194</v>
      </c>
      <c r="E176" s="231" t="s">
        <v>1191</v>
      </c>
      <c r="F176" s="215" t="s">
        <v>1280</v>
      </c>
      <c r="G176" s="215" t="s">
        <v>1193</v>
      </c>
      <c r="H176" s="216" t="s">
        <v>732</v>
      </c>
      <c r="I176" s="216" t="s">
        <v>804</v>
      </c>
    </row>
    <row r="177" spans="1:9" x14ac:dyDescent="0.3">
      <c r="A177" s="135"/>
      <c r="B177" s="213">
        <v>72</v>
      </c>
      <c r="C177" s="214" t="s">
        <v>1195</v>
      </c>
      <c r="D177" s="214" t="s">
        <v>1196</v>
      </c>
      <c r="E177" s="231" t="s">
        <v>1191</v>
      </c>
      <c r="F177" s="215" t="s">
        <v>1279</v>
      </c>
      <c r="G177" s="215" t="s">
        <v>1191</v>
      </c>
      <c r="H177" s="216" t="s">
        <v>728</v>
      </c>
      <c r="I177" s="216" t="s">
        <v>804</v>
      </c>
    </row>
    <row r="178" spans="1:9" x14ac:dyDescent="0.3">
      <c r="A178" s="135"/>
      <c r="B178" s="213">
        <v>80</v>
      </c>
      <c r="C178" s="214" t="s">
        <v>1197</v>
      </c>
      <c r="D178" s="214" t="s">
        <v>1198</v>
      </c>
      <c r="E178" s="231" t="s">
        <v>1216</v>
      </c>
      <c r="F178" s="215" t="s">
        <v>1220</v>
      </c>
      <c r="G178" s="215" t="s">
        <v>1278</v>
      </c>
      <c r="H178" s="216" t="s">
        <v>733</v>
      </c>
      <c r="I178" s="216" t="s">
        <v>804</v>
      </c>
    </row>
    <row r="179" spans="1:9" x14ac:dyDescent="0.3">
      <c r="A179" s="135"/>
      <c r="B179" s="213">
        <v>68</v>
      </c>
      <c r="C179" s="214" t="s">
        <v>1199</v>
      </c>
      <c r="D179" s="214" t="s">
        <v>1200</v>
      </c>
      <c r="E179" s="231" t="s">
        <v>1191</v>
      </c>
      <c r="F179" s="215" t="s">
        <v>1185</v>
      </c>
      <c r="G179" s="215" t="s">
        <v>1185</v>
      </c>
      <c r="H179" s="216" t="s">
        <v>710</v>
      </c>
      <c r="I179" s="216" t="s">
        <v>804</v>
      </c>
    </row>
    <row r="180" spans="1:9" x14ac:dyDescent="0.3">
      <c r="A180" s="135"/>
      <c r="B180" s="213">
        <v>12</v>
      </c>
      <c r="C180" s="214" t="s">
        <v>1201</v>
      </c>
      <c r="D180" s="214" t="s">
        <v>1202</v>
      </c>
      <c r="E180" s="231" t="s">
        <v>1216</v>
      </c>
      <c r="F180" s="215" t="s">
        <v>1220</v>
      </c>
      <c r="G180" s="215" t="s">
        <v>1278</v>
      </c>
      <c r="H180" s="216" t="s">
        <v>733</v>
      </c>
      <c r="I180" s="216" t="s">
        <v>804</v>
      </c>
    </row>
    <row r="181" spans="1:9" x14ac:dyDescent="0.3">
      <c r="A181" s="135"/>
      <c r="B181" s="213">
        <v>44</v>
      </c>
      <c r="C181" s="214" t="s">
        <v>1203</v>
      </c>
      <c r="D181" s="214" t="s">
        <v>1204</v>
      </c>
      <c r="E181" s="231" t="s">
        <v>1274</v>
      </c>
      <c r="F181" s="215" t="s">
        <v>1274</v>
      </c>
      <c r="G181" s="215" t="s">
        <v>1274</v>
      </c>
      <c r="H181" s="216" t="s">
        <v>695</v>
      </c>
      <c r="I181" s="216" t="s">
        <v>804</v>
      </c>
    </row>
    <row r="182" spans="1:9" x14ac:dyDescent="0.3">
      <c r="A182" s="135"/>
      <c r="B182" s="213">
        <v>132</v>
      </c>
      <c r="C182" s="214" t="s">
        <v>1205</v>
      </c>
      <c r="D182" s="214" t="s">
        <v>1206</v>
      </c>
      <c r="E182" s="231" t="s">
        <v>1191</v>
      </c>
      <c r="F182" s="215" t="s">
        <v>1279</v>
      </c>
      <c r="G182" s="215" t="s">
        <v>1191</v>
      </c>
      <c r="H182" s="216" t="s">
        <v>1292</v>
      </c>
      <c r="I182" s="216" t="s">
        <v>804</v>
      </c>
    </row>
    <row r="183" spans="1:9" x14ac:dyDescent="0.3">
      <c r="A183" s="135"/>
      <c r="B183" s="213">
        <v>43</v>
      </c>
      <c r="C183" s="214" t="s">
        <v>1207</v>
      </c>
      <c r="D183" s="214" t="s">
        <v>1208</v>
      </c>
      <c r="E183" s="231" t="s">
        <v>1274</v>
      </c>
      <c r="F183" s="215" t="s">
        <v>1274</v>
      </c>
      <c r="G183" s="215" t="s">
        <v>1274</v>
      </c>
      <c r="H183" s="216" t="s">
        <v>695</v>
      </c>
      <c r="I183" s="216" t="s">
        <v>804</v>
      </c>
    </row>
    <row r="184" spans="1:9" x14ac:dyDescent="0.3">
      <c r="A184" s="135"/>
      <c r="B184" s="213">
        <v>49</v>
      </c>
      <c r="C184" s="214" t="s">
        <v>1209</v>
      </c>
      <c r="D184" s="214" t="s">
        <v>1210</v>
      </c>
      <c r="E184" s="231" t="s">
        <v>1274</v>
      </c>
      <c r="F184" s="215" t="s">
        <v>1274</v>
      </c>
      <c r="G184" s="215" t="s">
        <v>1281</v>
      </c>
      <c r="H184" s="216" t="s">
        <v>749</v>
      </c>
      <c r="I184" s="216" t="s">
        <v>804</v>
      </c>
    </row>
    <row r="185" spans="1:9" x14ac:dyDescent="0.3">
      <c r="A185" s="259"/>
      <c r="B185" s="260">
        <v>0</v>
      </c>
      <c r="C185" s="261" t="s">
        <v>769</v>
      </c>
      <c r="D185" s="261" t="s">
        <v>770</v>
      </c>
      <c r="E185" s="262" t="s">
        <v>656</v>
      </c>
      <c r="F185" s="263" t="s">
        <v>657</v>
      </c>
      <c r="G185" s="263" t="s">
        <v>771</v>
      </c>
      <c r="H185" s="264"/>
      <c r="I185" s="265" t="s">
        <v>806</v>
      </c>
    </row>
    <row r="186" spans="1:9" x14ac:dyDescent="0.3">
      <c r="I186" s="251"/>
    </row>
    <row r="187" spans="1:9" x14ac:dyDescent="0.3">
      <c r="I187" s="251"/>
    </row>
    <row r="188" spans="1:9" x14ac:dyDescent="0.3">
      <c r="I188" s="251"/>
    </row>
    <row r="189" spans="1:9" x14ac:dyDescent="0.3">
      <c r="I189" s="251"/>
    </row>
    <row r="190" spans="1:9" x14ac:dyDescent="0.3">
      <c r="I190" s="251"/>
    </row>
    <row r="191" spans="1:9" x14ac:dyDescent="0.3">
      <c r="I191" s="251"/>
    </row>
    <row r="192" spans="1:9" x14ac:dyDescent="0.3">
      <c r="I192" s="251"/>
    </row>
    <row r="193" spans="9:9" x14ac:dyDescent="0.3">
      <c r="I193" s="251"/>
    </row>
    <row r="194" spans="9:9" x14ac:dyDescent="0.3">
      <c r="I194" s="251"/>
    </row>
    <row r="195" spans="9:9" x14ac:dyDescent="0.3">
      <c r="I195" s="251"/>
    </row>
    <row r="196" spans="9:9" x14ac:dyDescent="0.3">
      <c r="I196" s="251"/>
    </row>
    <row r="197" spans="9:9" x14ac:dyDescent="0.3">
      <c r="I197" s="251"/>
    </row>
    <row r="198" spans="9:9" x14ac:dyDescent="0.3">
      <c r="I198" s="251"/>
    </row>
    <row r="199" spans="9:9" x14ac:dyDescent="0.3">
      <c r="I199" s="251"/>
    </row>
    <row r="200" spans="9:9" x14ac:dyDescent="0.3">
      <c r="I200" s="251"/>
    </row>
    <row r="201" spans="9:9" x14ac:dyDescent="0.3">
      <c r="I201" s="251"/>
    </row>
    <row r="202" spans="9:9" x14ac:dyDescent="0.3">
      <c r="I202" s="251"/>
    </row>
    <row r="203" spans="9:9" x14ac:dyDescent="0.3">
      <c r="I203" s="251"/>
    </row>
    <row r="204" spans="9:9" x14ac:dyDescent="0.3">
      <c r="I204" s="251"/>
    </row>
    <row r="205" spans="9:9" x14ac:dyDescent="0.3">
      <c r="I205" s="251"/>
    </row>
    <row r="206" spans="9:9" x14ac:dyDescent="0.3">
      <c r="I206" s="251"/>
    </row>
    <row r="207" spans="9:9" x14ac:dyDescent="0.3">
      <c r="I207" s="251"/>
    </row>
    <row r="208" spans="9:9" x14ac:dyDescent="0.3">
      <c r="I208" s="251"/>
    </row>
    <row r="209" spans="9:9" x14ac:dyDescent="0.3">
      <c r="I209" s="251"/>
    </row>
    <row r="210" spans="9:9" x14ac:dyDescent="0.3">
      <c r="I210" s="251"/>
    </row>
    <row r="211" spans="9:9" x14ac:dyDescent="0.3">
      <c r="I211" s="251"/>
    </row>
    <row r="212" spans="9:9" x14ac:dyDescent="0.3">
      <c r="I212" s="251"/>
    </row>
    <row r="213" spans="9:9" x14ac:dyDescent="0.3">
      <c r="I213" s="251"/>
    </row>
    <row r="214" spans="9:9" x14ac:dyDescent="0.3">
      <c r="I214" s="251"/>
    </row>
    <row r="215" spans="9:9" x14ac:dyDescent="0.3">
      <c r="I215" s="251"/>
    </row>
    <row r="216" spans="9:9" x14ac:dyDescent="0.3">
      <c r="I216" s="251"/>
    </row>
    <row r="217" spans="9:9" x14ac:dyDescent="0.3">
      <c r="I217" s="251"/>
    </row>
    <row r="218" spans="9:9" x14ac:dyDescent="0.3">
      <c r="I218" s="251"/>
    </row>
    <row r="219" spans="9:9" x14ac:dyDescent="0.3">
      <c r="I219" s="251"/>
    </row>
    <row r="220" spans="9:9" x14ac:dyDescent="0.3">
      <c r="I220" s="251"/>
    </row>
    <row r="221" spans="9:9" x14ac:dyDescent="0.3">
      <c r="I221" s="251"/>
    </row>
    <row r="222" spans="9:9" x14ac:dyDescent="0.3">
      <c r="I222" s="251"/>
    </row>
    <row r="223" spans="9:9" x14ac:dyDescent="0.3">
      <c r="I223" s="251"/>
    </row>
    <row r="224" spans="9:9" x14ac:dyDescent="0.3">
      <c r="I224" s="251"/>
    </row>
    <row r="225" spans="9:9" x14ac:dyDescent="0.3">
      <c r="I225" s="251"/>
    </row>
    <row r="226" spans="9:9" x14ac:dyDescent="0.3">
      <c r="I226" s="251"/>
    </row>
    <row r="227" spans="9:9" x14ac:dyDescent="0.3">
      <c r="I227" s="251"/>
    </row>
    <row r="228" spans="9:9" x14ac:dyDescent="0.3">
      <c r="I228" s="251"/>
    </row>
    <row r="229" spans="9:9" x14ac:dyDescent="0.3">
      <c r="I229" s="251"/>
    </row>
    <row r="230" spans="9:9" x14ac:dyDescent="0.3">
      <c r="I230" s="251"/>
    </row>
    <row r="231" spans="9:9" x14ac:dyDescent="0.3">
      <c r="I231" s="251"/>
    </row>
    <row r="232" spans="9:9" x14ac:dyDescent="0.3">
      <c r="I232" s="251"/>
    </row>
    <row r="233" spans="9:9" x14ac:dyDescent="0.3">
      <c r="I233" s="251"/>
    </row>
    <row r="234" spans="9:9" x14ac:dyDescent="0.3">
      <c r="I234" s="251"/>
    </row>
    <row r="235" spans="9:9" x14ac:dyDescent="0.3">
      <c r="I235" s="251"/>
    </row>
    <row r="236" spans="9:9" x14ac:dyDescent="0.3">
      <c r="I236" s="251"/>
    </row>
    <row r="237" spans="9:9" x14ac:dyDescent="0.3">
      <c r="I237" s="251"/>
    </row>
    <row r="238" spans="9:9" x14ac:dyDescent="0.3">
      <c r="I238" s="251"/>
    </row>
    <row r="239" spans="9:9" x14ac:dyDescent="0.3">
      <c r="I239" s="251"/>
    </row>
    <row r="240" spans="9:9" x14ac:dyDescent="0.3">
      <c r="I240" s="251"/>
    </row>
    <row r="241" spans="9:9" x14ac:dyDescent="0.3">
      <c r="I241" s="251"/>
    </row>
    <row r="242" spans="9:9" x14ac:dyDescent="0.3">
      <c r="I242" s="251"/>
    </row>
    <row r="243" spans="9:9" x14ac:dyDescent="0.3">
      <c r="I243" s="251"/>
    </row>
    <row r="244" spans="9:9" x14ac:dyDescent="0.3">
      <c r="I244" s="251"/>
    </row>
    <row r="245" spans="9:9" x14ac:dyDescent="0.3">
      <c r="I245" s="251"/>
    </row>
    <row r="246" spans="9:9" x14ac:dyDescent="0.3">
      <c r="I246" s="251"/>
    </row>
    <row r="247" spans="9:9" x14ac:dyDescent="0.3">
      <c r="I247" s="251"/>
    </row>
    <row r="248" spans="9:9" x14ac:dyDescent="0.3">
      <c r="I248" s="251"/>
    </row>
    <row r="249" spans="9:9" x14ac:dyDescent="0.3">
      <c r="I249" s="251"/>
    </row>
    <row r="250" spans="9:9" x14ac:dyDescent="0.3">
      <c r="I250" s="251"/>
    </row>
    <row r="251" spans="9:9" x14ac:dyDescent="0.3">
      <c r="I251" s="251"/>
    </row>
    <row r="252" spans="9:9" x14ac:dyDescent="0.3">
      <c r="I252" s="251"/>
    </row>
    <row r="253" spans="9:9" x14ac:dyDescent="0.3">
      <c r="I253" s="251"/>
    </row>
    <row r="254" spans="9:9" x14ac:dyDescent="0.3">
      <c r="I254" s="251"/>
    </row>
    <row r="255" spans="9:9" x14ac:dyDescent="0.3">
      <c r="I255" s="251"/>
    </row>
    <row r="256" spans="9:9" x14ac:dyDescent="0.3">
      <c r="I256" s="251"/>
    </row>
    <row r="257" spans="9:9" x14ac:dyDescent="0.3">
      <c r="I257" s="251"/>
    </row>
    <row r="258" spans="9:9" x14ac:dyDescent="0.3">
      <c r="I258" s="251"/>
    </row>
    <row r="259" spans="9:9" x14ac:dyDescent="0.3">
      <c r="I259" s="251"/>
    </row>
    <row r="260" spans="9:9" x14ac:dyDescent="0.3">
      <c r="I260" s="251"/>
    </row>
    <row r="261" spans="9:9" x14ac:dyDescent="0.3">
      <c r="I261" s="251"/>
    </row>
    <row r="262" spans="9:9" x14ac:dyDescent="0.3">
      <c r="I262" s="251"/>
    </row>
    <row r="263" spans="9:9" x14ac:dyDescent="0.3">
      <c r="I263" s="251"/>
    </row>
    <row r="264" spans="9:9" x14ac:dyDescent="0.3">
      <c r="I264" s="251"/>
    </row>
    <row r="265" spans="9:9" x14ac:dyDescent="0.3">
      <c r="I265" s="251"/>
    </row>
    <row r="266" spans="9:9" x14ac:dyDescent="0.3">
      <c r="I266" s="251"/>
    </row>
    <row r="267" spans="9:9" x14ac:dyDescent="0.3">
      <c r="I267" s="251"/>
    </row>
    <row r="268" spans="9:9" x14ac:dyDescent="0.3">
      <c r="I268" s="251"/>
    </row>
    <row r="269" spans="9:9" x14ac:dyDescent="0.3">
      <c r="I269" s="251"/>
    </row>
    <row r="270" spans="9:9" x14ac:dyDescent="0.3">
      <c r="I270" s="251"/>
    </row>
    <row r="271" spans="9:9" x14ac:dyDescent="0.3">
      <c r="I271" s="251"/>
    </row>
    <row r="272" spans="9:9" x14ac:dyDescent="0.3">
      <c r="I272" s="251"/>
    </row>
    <row r="273" spans="9:9" x14ac:dyDescent="0.3">
      <c r="I273" s="251"/>
    </row>
    <row r="274" spans="9:9" x14ac:dyDescent="0.3">
      <c r="I274" s="251"/>
    </row>
    <row r="275" spans="9:9" x14ac:dyDescent="0.3">
      <c r="I275" s="251"/>
    </row>
    <row r="276" spans="9:9" x14ac:dyDescent="0.3">
      <c r="I276" s="251"/>
    </row>
    <row r="277" spans="9:9" x14ac:dyDescent="0.3">
      <c r="I277" s="251"/>
    </row>
    <row r="278" spans="9:9" x14ac:dyDescent="0.3">
      <c r="I278" s="251"/>
    </row>
    <row r="279" spans="9:9" x14ac:dyDescent="0.3">
      <c r="I279" s="251"/>
    </row>
    <row r="280" spans="9:9" x14ac:dyDescent="0.3">
      <c r="I280" s="251"/>
    </row>
    <row r="281" spans="9:9" x14ac:dyDescent="0.3">
      <c r="I281" s="251"/>
    </row>
    <row r="282" spans="9:9" x14ac:dyDescent="0.3">
      <c r="I282" s="251"/>
    </row>
    <row r="283" spans="9:9" x14ac:dyDescent="0.3">
      <c r="I283" s="251"/>
    </row>
    <row r="284" spans="9:9" x14ac:dyDescent="0.3">
      <c r="I284" s="251"/>
    </row>
    <row r="285" spans="9:9" x14ac:dyDescent="0.3">
      <c r="I285" s="251"/>
    </row>
    <row r="286" spans="9:9" x14ac:dyDescent="0.3">
      <c r="I286" s="251"/>
    </row>
    <row r="287" spans="9:9" x14ac:dyDescent="0.3">
      <c r="I287" s="251"/>
    </row>
    <row r="288" spans="9:9" x14ac:dyDescent="0.3">
      <c r="I288" s="251"/>
    </row>
    <row r="289" spans="9:9" x14ac:dyDescent="0.3">
      <c r="I289" s="251"/>
    </row>
    <row r="290" spans="9:9" x14ac:dyDescent="0.3">
      <c r="I290" s="251"/>
    </row>
    <row r="291" spans="9:9" x14ac:dyDescent="0.3">
      <c r="I291" s="251"/>
    </row>
    <row r="292" spans="9:9" x14ac:dyDescent="0.3">
      <c r="I292" s="251"/>
    </row>
    <row r="293" spans="9:9" x14ac:dyDescent="0.3">
      <c r="I293" s="251"/>
    </row>
    <row r="294" spans="9:9" x14ac:dyDescent="0.3">
      <c r="I294" s="251"/>
    </row>
    <row r="295" spans="9:9" x14ac:dyDescent="0.3">
      <c r="I295" s="251"/>
    </row>
    <row r="296" spans="9:9" x14ac:dyDescent="0.3">
      <c r="I296" s="251"/>
    </row>
    <row r="297" spans="9:9" x14ac:dyDescent="0.3">
      <c r="I297" s="251"/>
    </row>
    <row r="298" spans="9:9" x14ac:dyDescent="0.3">
      <c r="I298" s="251"/>
    </row>
    <row r="299" spans="9:9" x14ac:dyDescent="0.3">
      <c r="I299" s="251"/>
    </row>
    <row r="300" spans="9:9" x14ac:dyDescent="0.3">
      <c r="I300" s="251"/>
    </row>
    <row r="301" spans="9:9" x14ac:dyDescent="0.3">
      <c r="I301" s="251"/>
    </row>
    <row r="302" spans="9:9" x14ac:dyDescent="0.3">
      <c r="I302" s="251"/>
    </row>
    <row r="303" spans="9:9" x14ac:dyDescent="0.3">
      <c r="I303" s="251"/>
    </row>
    <row r="304" spans="9:9" x14ac:dyDescent="0.3">
      <c r="I304" s="251"/>
    </row>
    <row r="305" spans="9:9" x14ac:dyDescent="0.3">
      <c r="I305" s="251"/>
    </row>
    <row r="306" spans="9:9" x14ac:dyDescent="0.3">
      <c r="I306" s="251"/>
    </row>
    <row r="307" spans="9:9" x14ac:dyDescent="0.3">
      <c r="I307" s="251"/>
    </row>
    <row r="308" spans="9:9" x14ac:dyDescent="0.3">
      <c r="I308" s="251"/>
    </row>
    <row r="309" spans="9:9" x14ac:dyDescent="0.3">
      <c r="I309" s="251"/>
    </row>
    <row r="310" spans="9:9" x14ac:dyDescent="0.3">
      <c r="I310" s="251"/>
    </row>
    <row r="311" spans="9:9" x14ac:dyDescent="0.3">
      <c r="I311" s="251"/>
    </row>
    <row r="312" spans="9:9" x14ac:dyDescent="0.3">
      <c r="I312" s="251"/>
    </row>
    <row r="313" spans="9:9" x14ac:dyDescent="0.3">
      <c r="I313" s="251"/>
    </row>
    <row r="314" spans="9:9" x14ac:dyDescent="0.3">
      <c r="I314" s="251"/>
    </row>
    <row r="315" spans="9:9" x14ac:dyDescent="0.3">
      <c r="I315" s="251"/>
    </row>
    <row r="316" spans="9:9" x14ac:dyDescent="0.3">
      <c r="I316" s="251"/>
    </row>
    <row r="317" spans="9:9" x14ac:dyDescent="0.3">
      <c r="I317" s="251"/>
    </row>
    <row r="318" spans="9:9" x14ac:dyDescent="0.3">
      <c r="I318" s="251"/>
    </row>
    <row r="319" spans="9:9" x14ac:dyDescent="0.3">
      <c r="I319" s="251"/>
    </row>
    <row r="320" spans="9:9" x14ac:dyDescent="0.3">
      <c r="I320" s="251"/>
    </row>
    <row r="321" spans="9:9" x14ac:dyDescent="0.3">
      <c r="I321" s="251"/>
    </row>
    <row r="322" spans="9:9" x14ac:dyDescent="0.3">
      <c r="I322" s="251"/>
    </row>
    <row r="323" spans="9:9" x14ac:dyDescent="0.3">
      <c r="I323" s="251"/>
    </row>
    <row r="324" spans="9:9" x14ac:dyDescent="0.3">
      <c r="I324" s="251"/>
    </row>
    <row r="325" spans="9:9" x14ac:dyDescent="0.3">
      <c r="I325" s="251"/>
    </row>
    <row r="326" spans="9:9" x14ac:dyDescent="0.3">
      <c r="I326" s="251"/>
    </row>
    <row r="327" spans="9:9" x14ac:dyDescent="0.3">
      <c r="I327" s="251"/>
    </row>
    <row r="328" spans="9:9" x14ac:dyDescent="0.3">
      <c r="I328" s="251"/>
    </row>
    <row r="329" spans="9:9" x14ac:dyDescent="0.3">
      <c r="I329" s="251"/>
    </row>
    <row r="330" spans="9:9" x14ac:dyDescent="0.3">
      <c r="I330" s="251"/>
    </row>
    <row r="331" spans="9:9" x14ac:dyDescent="0.3">
      <c r="I331" s="251"/>
    </row>
    <row r="332" spans="9:9" x14ac:dyDescent="0.3">
      <c r="I332" s="251"/>
    </row>
    <row r="333" spans="9:9" x14ac:dyDescent="0.3">
      <c r="I333" s="251"/>
    </row>
    <row r="334" spans="9:9" x14ac:dyDescent="0.3">
      <c r="I334" s="251"/>
    </row>
    <row r="335" spans="9:9" x14ac:dyDescent="0.3">
      <c r="I335" s="251"/>
    </row>
    <row r="336" spans="9:9" x14ac:dyDescent="0.3">
      <c r="I336" s="251"/>
    </row>
    <row r="337" spans="9:9" x14ac:dyDescent="0.3">
      <c r="I337" s="251"/>
    </row>
    <row r="338" spans="9:9" x14ac:dyDescent="0.3">
      <c r="I338" s="251"/>
    </row>
    <row r="339" spans="9:9" x14ac:dyDescent="0.3">
      <c r="I339" s="251"/>
    </row>
    <row r="340" spans="9:9" x14ac:dyDescent="0.3">
      <c r="I340" s="251"/>
    </row>
    <row r="341" spans="9:9" x14ac:dyDescent="0.3">
      <c r="I341" s="251"/>
    </row>
    <row r="342" spans="9:9" x14ac:dyDescent="0.3">
      <c r="I342" s="251"/>
    </row>
    <row r="343" spans="9:9" x14ac:dyDescent="0.3">
      <c r="I343" s="251"/>
    </row>
    <row r="344" spans="9:9" x14ac:dyDescent="0.3">
      <c r="I344" s="251"/>
    </row>
    <row r="345" spans="9:9" x14ac:dyDescent="0.3">
      <c r="I345" s="251"/>
    </row>
    <row r="346" spans="9:9" x14ac:dyDescent="0.3">
      <c r="I346" s="251"/>
    </row>
    <row r="347" spans="9:9" x14ac:dyDescent="0.3">
      <c r="I347" s="251"/>
    </row>
    <row r="348" spans="9:9" x14ac:dyDescent="0.3">
      <c r="I348" s="251"/>
    </row>
    <row r="349" spans="9:9" x14ac:dyDescent="0.3">
      <c r="I349" s="251"/>
    </row>
    <row r="350" spans="9:9" x14ac:dyDescent="0.3">
      <c r="I350" s="251"/>
    </row>
    <row r="351" spans="9:9" x14ac:dyDescent="0.3">
      <c r="I351" s="251"/>
    </row>
    <row r="352" spans="9:9" x14ac:dyDescent="0.3">
      <c r="I352" s="251"/>
    </row>
    <row r="353" spans="9:9" x14ac:dyDescent="0.3">
      <c r="I353" s="251"/>
    </row>
    <row r="354" spans="9:9" x14ac:dyDescent="0.3">
      <c r="I354" s="251"/>
    </row>
    <row r="355" spans="9:9" x14ac:dyDescent="0.3">
      <c r="I355" s="251"/>
    </row>
    <row r="356" spans="9:9" x14ac:dyDescent="0.3">
      <c r="I356" s="251"/>
    </row>
    <row r="357" spans="9:9" x14ac:dyDescent="0.3">
      <c r="I357" s="251"/>
    </row>
    <row r="358" spans="9:9" x14ac:dyDescent="0.3">
      <c r="I358" s="251"/>
    </row>
    <row r="359" spans="9:9" x14ac:dyDescent="0.3">
      <c r="I359" s="251"/>
    </row>
    <row r="360" spans="9:9" x14ac:dyDescent="0.3">
      <c r="I360" s="251"/>
    </row>
    <row r="361" spans="9:9" x14ac:dyDescent="0.3">
      <c r="I361" s="251"/>
    </row>
    <row r="362" spans="9:9" x14ac:dyDescent="0.3">
      <c r="I362" s="252"/>
    </row>
  </sheetData>
  <conditionalFormatting sqref="C2:C185">
    <cfRule type="duplicateValues" dxfId="26" priority="1"/>
  </conditionalFormatting>
  <pageMargins left="0.7" right="0.7" top="0.75" bottom="0.75" header="0.3" footer="0.3"/>
  <pageSetup paperSize="0" orientation="portrait" horizontalDpi="0" verticalDpi="0" copies="0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">
    <tabColor rgb="FF92D050"/>
  </sheetPr>
  <dimension ref="A1:P89"/>
  <sheetViews>
    <sheetView topLeftCell="I1" workbookViewId="0">
      <selection activeCell="R5" sqref="R5"/>
    </sheetView>
  </sheetViews>
  <sheetFormatPr baseColWidth="10" defaultColWidth="11.44140625" defaultRowHeight="14.4" x14ac:dyDescent="0.3"/>
  <cols>
    <col min="1" max="1" width="5.109375" style="31" customWidth="1"/>
    <col min="2" max="2" width="15.109375" customWidth="1"/>
    <col min="3" max="3" width="5.109375" style="32" customWidth="1"/>
    <col min="4" max="4" width="17.6640625" customWidth="1"/>
    <col min="5" max="5" width="5.109375" customWidth="1"/>
    <col min="6" max="6" width="13.33203125" customWidth="1"/>
    <col min="7" max="7" width="6.6640625" customWidth="1"/>
    <col min="8" max="8" width="24" customWidth="1"/>
    <col min="9" max="9" width="8.5546875" style="32" customWidth="1"/>
    <col min="10" max="10" width="22.88671875" customWidth="1"/>
    <col min="11" max="11" width="7.33203125" style="32" customWidth="1"/>
    <col min="12" max="12" width="26.44140625" customWidth="1"/>
    <col min="13" max="13" width="38.5546875" customWidth="1"/>
    <col min="14" max="14" width="27.88671875" customWidth="1"/>
    <col min="15" max="15" width="15.6640625" customWidth="1"/>
  </cols>
  <sheetData>
    <row r="1" spans="1:16" s="32" customFormat="1" ht="15" thickBot="1" x14ac:dyDescent="0.35">
      <c r="A1" s="78" t="s">
        <v>453</v>
      </c>
      <c r="B1" s="78" t="s">
        <v>79</v>
      </c>
      <c r="C1" s="79" t="s">
        <v>452</v>
      </c>
      <c r="D1" s="79" t="s">
        <v>80</v>
      </c>
      <c r="E1" s="79" t="s">
        <v>454</v>
      </c>
      <c r="F1" s="79" t="s">
        <v>81</v>
      </c>
      <c r="G1" s="80" t="s">
        <v>455</v>
      </c>
      <c r="H1" s="80" t="s">
        <v>82</v>
      </c>
      <c r="I1" s="33" t="s">
        <v>83</v>
      </c>
      <c r="J1" s="210" t="s">
        <v>84</v>
      </c>
      <c r="K1" s="33" t="s">
        <v>456</v>
      </c>
      <c r="L1" s="33" t="s">
        <v>85</v>
      </c>
      <c r="M1" s="34" t="s">
        <v>86</v>
      </c>
      <c r="N1" s="35" t="s">
        <v>87</v>
      </c>
      <c r="O1" s="36" t="s">
        <v>88</v>
      </c>
      <c r="P1" s="207" t="s">
        <v>393</v>
      </c>
    </row>
    <row r="2" spans="1:16" ht="20.399999999999999" x14ac:dyDescent="0.3">
      <c r="A2" s="189">
        <v>1</v>
      </c>
      <c r="B2" s="190" t="s">
        <v>89</v>
      </c>
      <c r="C2" s="191">
        <v>1.1000000000000001</v>
      </c>
      <c r="D2" s="190" t="s">
        <v>89</v>
      </c>
      <c r="E2" s="190"/>
      <c r="F2" s="190"/>
      <c r="G2" s="191">
        <v>1</v>
      </c>
      <c r="H2" s="190" t="s">
        <v>90</v>
      </c>
      <c r="I2" s="191">
        <v>1.1000000000000001</v>
      </c>
      <c r="J2" s="190" t="s">
        <v>91</v>
      </c>
      <c r="K2" s="191" t="s">
        <v>92</v>
      </c>
      <c r="L2" s="37" t="s">
        <v>93</v>
      </c>
      <c r="M2" s="37" t="s">
        <v>819</v>
      </c>
      <c r="N2" s="38" t="s">
        <v>94</v>
      </c>
      <c r="O2" s="189" t="s">
        <v>95</v>
      </c>
      <c r="P2">
        <v>1.5</v>
      </c>
    </row>
    <row r="3" spans="1:16" x14ac:dyDescent="0.3">
      <c r="A3" s="189">
        <v>1</v>
      </c>
      <c r="B3" s="190" t="s">
        <v>89</v>
      </c>
      <c r="C3" s="191">
        <v>1.1000000000000001</v>
      </c>
      <c r="D3" s="190" t="s">
        <v>89</v>
      </c>
      <c r="E3" s="190"/>
      <c r="F3" s="190"/>
      <c r="G3" s="191">
        <v>1</v>
      </c>
      <c r="H3" s="190" t="s">
        <v>90</v>
      </c>
      <c r="I3" s="191">
        <v>1.2</v>
      </c>
      <c r="J3" s="190" t="s">
        <v>96</v>
      </c>
      <c r="K3" s="191" t="s">
        <v>97</v>
      </c>
      <c r="L3" s="37" t="s">
        <v>98</v>
      </c>
      <c r="M3" s="37" t="s">
        <v>819</v>
      </c>
      <c r="N3" s="38" t="s">
        <v>94</v>
      </c>
      <c r="O3" s="189" t="s">
        <v>95</v>
      </c>
      <c r="P3">
        <v>2.5</v>
      </c>
    </row>
    <row r="4" spans="1:16" x14ac:dyDescent="0.3">
      <c r="A4" s="189">
        <v>1</v>
      </c>
      <c r="B4" s="190" t="s">
        <v>89</v>
      </c>
      <c r="C4" s="191">
        <v>1.1000000000000001</v>
      </c>
      <c r="D4" s="190" t="s">
        <v>89</v>
      </c>
      <c r="E4" s="190"/>
      <c r="F4" s="190"/>
      <c r="G4" s="191">
        <v>1</v>
      </c>
      <c r="H4" s="190" t="s">
        <v>90</v>
      </c>
      <c r="I4" s="191">
        <v>1.2</v>
      </c>
      <c r="J4" s="190" t="s">
        <v>96</v>
      </c>
      <c r="K4" s="191" t="s">
        <v>99</v>
      </c>
      <c r="L4" s="37" t="s">
        <v>100</v>
      </c>
      <c r="M4" s="37" t="s">
        <v>819</v>
      </c>
      <c r="N4" s="38" t="s">
        <v>94</v>
      </c>
      <c r="O4" s="189" t="s">
        <v>95</v>
      </c>
      <c r="P4">
        <v>2.5</v>
      </c>
    </row>
    <row r="5" spans="1:16" x14ac:dyDescent="0.3">
      <c r="A5" s="189">
        <v>1</v>
      </c>
      <c r="B5" s="190" t="s">
        <v>89</v>
      </c>
      <c r="C5" s="191">
        <v>1.1000000000000001</v>
      </c>
      <c r="D5" s="190" t="s">
        <v>89</v>
      </c>
      <c r="E5" s="190"/>
      <c r="F5" s="190"/>
      <c r="G5" s="191">
        <v>1</v>
      </c>
      <c r="H5" s="190" t="s">
        <v>90</v>
      </c>
      <c r="I5" s="191">
        <v>1.2</v>
      </c>
      <c r="J5" s="190" t="s">
        <v>96</v>
      </c>
      <c r="K5" s="191" t="s">
        <v>101</v>
      </c>
      <c r="L5" s="37" t="s">
        <v>102</v>
      </c>
      <c r="M5" s="37" t="s">
        <v>819</v>
      </c>
      <c r="N5" s="38" t="s">
        <v>94</v>
      </c>
      <c r="O5" s="189" t="s">
        <v>95</v>
      </c>
      <c r="P5">
        <v>2.5</v>
      </c>
    </row>
    <row r="6" spans="1:16" ht="20.399999999999999" x14ac:dyDescent="0.3">
      <c r="A6" s="189">
        <v>1</v>
      </c>
      <c r="B6" s="190" t="s">
        <v>89</v>
      </c>
      <c r="C6" s="191">
        <v>1.1000000000000001</v>
      </c>
      <c r="D6" s="190" t="s">
        <v>89</v>
      </c>
      <c r="E6" s="190"/>
      <c r="F6" s="190"/>
      <c r="G6" s="191">
        <v>1</v>
      </c>
      <c r="H6" s="190" t="s">
        <v>90</v>
      </c>
      <c r="I6" s="191">
        <v>1.2</v>
      </c>
      <c r="J6" s="190" t="s">
        <v>96</v>
      </c>
      <c r="K6" s="191" t="s">
        <v>103</v>
      </c>
      <c r="L6" s="37" t="s">
        <v>104</v>
      </c>
      <c r="M6" s="37" t="s">
        <v>819</v>
      </c>
      <c r="N6" s="38" t="s">
        <v>94</v>
      </c>
      <c r="O6" s="189" t="s">
        <v>95</v>
      </c>
      <c r="P6">
        <v>2.5</v>
      </c>
    </row>
    <row r="7" spans="1:16" x14ac:dyDescent="0.3">
      <c r="A7" s="189">
        <v>1</v>
      </c>
      <c r="B7" s="190" t="s">
        <v>89</v>
      </c>
      <c r="C7" s="191">
        <v>1.1000000000000001</v>
      </c>
      <c r="D7" s="190" t="s">
        <v>89</v>
      </c>
      <c r="E7" s="190"/>
      <c r="F7" s="190"/>
      <c r="G7" s="191">
        <v>1</v>
      </c>
      <c r="H7" s="190" t="s">
        <v>90</v>
      </c>
      <c r="I7" s="191">
        <v>1.2</v>
      </c>
      <c r="J7" s="190" t="s">
        <v>96</v>
      </c>
      <c r="K7" s="191" t="s">
        <v>105</v>
      </c>
      <c r="L7" s="37" t="s">
        <v>106</v>
      </c>
      <c r="M7" s="37" t="s">
        <v>819</v>
      </c>
      <c r="N7" s="38" t="s">
        <v>94</v>
      </c>
      <c r="O7" s="189" t="s">
        <v>95</v>
      </c>
      <c r="P7">
        <v>2.5</v>
      </c>
    </row>
    <row r="8" spans="1:16" x14ac:dyDescent="0.3">
      <c r="A8" s="189">
        <v>1</v>
      </c>
      <c r="B8" s="190" t="s">
        <v>89</v>
      </c>
      <c r="C8" s="191">
        <v>1.1000000000000001</v>
      </c>
      <c r="D8" s="190" t="s">
        <v>89</v>
      </c>
      <c r="E8" s="190"/>
      <c r="F8" s="190"/>
      <c r="G8" s="191">
        <v>1</v>
      </c>
      <c r="H8" s="190" t="s">
        <v>90</v>
      </c>
      <c r="I8" s="191">
        <v>1.2</v>
      </c>
      <c r="J8" s="190" t="s">
        <v>96</v>
      </c>
      <c r="K8" s="191" t="s">
        <v>831</v>
      </c>
      <c r="L8" s="37" t="s">
        <v>832</v>
      </c>
      <c r="M8" s="37" t="s">
        <v>819</v>
      </c>
      <c r="N8" s="38" t="s">
        <v>94</v>
      </c>
      <c r="O8" s="189" t="s">
        <v>95</v>
      </c>
      <c r="P8">
        <v>2.5</v>
      </c>
    </row>
    <row r="9" spans="1:16" x14ac:dyDescent="0.3">
      <c r="A9" s="189">
        <v>1</v>
      </c>
      <c r="B9" s="190" t="s">
        <v>89</v>
      </c>
      <c r="C9" s="191">
        <v>1.1000000000000001</v>
      </c>
      <c r="D9" s="190" t="s">
        <v>89</v>
      </c>
      <c r="E9" s="190"/>
      <c r="F9" s="190"/>
      <c r="G9" s="191">
        <v>1</v>
      </c>
      <c r="H9" s="190" t="s">
        <v>90</v>
      </c>
      <c r="I9" s="191">
        <v>1.3</v>
      </c>
      <c r="J9" s="190" t="s">
        <v>107</v>
      </c>
      <c r="K9" s="191" t="s">
        <v>108</v>
      </c>
      <c r="L9" s="37" t="s">
        <v>109</v>
      </c>
      <c r="M9" s="37" t="s">
        <v>819</v>
      </c>
      <c r="N9" s="38" t="s">
        <v>94</v>
      </c>
      <c r="O9" s="189" t="s">
        <v>95</v>
      </c>
      <c r="P9">
        <v>3</v>
      </c>
    </row>
    <row r="10" spans="1:16" ht="20.399999999999999" x14ac:dyDescent="0.3">
      <c r="A10" s="189">
        <v>1</v>
      </c>
      <c r="B10" s="190" t="s">
        <v>89</v>
      </c>
      <c r="C10" s="191">
        <v>1.1000000000000001</v>
      </c>
      <c r="D10" s="190" t="s">
        <v>89</v>
      </c>
      <c r="E10" s="190"/>
      <c r="F10" s="190"/>
      <c r="G10" s="191">
        <v>1</v>
      </c>
      <c r="H10" s="190" t="s">
        <v>90</v>
      </c>
      <c r="I10" s="191">
        <v>1.3</v>
      </c>
      <c r="J10" s="190" t="s">
        <v>107</v>
      </c>
      <c r="K10" s="191" t="s">
        <v>110</v>
      </c>
      <c r="L10" s="37" t="s">
        <v>104</v>
      </c>
      <c r="M10" s="37" t="s">
        <v>819</v>
      </c>
      <c r="N10" s="38" t="s">
        <v>94</v>
      </c>
      <c r="O10" s="189" t="s">
        <v>95</v>
      </c>
      <c r="P10">
        <v>3</v>
      </c>
    </row>
    <row r="11" spans="1:16" x14ac:dyDescent="0.3">
      <c r="A11" s="189">
        <v>1</v>
      </c>
      <c r="B11" s="190" t="s">
        <v>89</v>
      </c>
      <c r="C11" s="191">
        <v>1.1000000000000001</v>
      </c>
      <c r="D11" s="190" t="s">
        <v>89</v>
      </c>
      <c r="E11" s="190"/>
      <c r="F11" s="190"/>
      <c r="G11" s="191">
        <v>1</v>
      </c>
      <c r="H11" s="190" t="s">
        <v>90</v>
      </c>
      <c r="I11" s="191">
        <v>1.4</v>
      </c>
      <c r="J11" s="190" t="s">
        <v>111</v>
      </c>
      <c r="K11" s="191" t="s">
        <v>112</v>
      </c>
      <c r="L11" s="37" t="s">
        <v>111</v>
      </c>
      <c r="M11" s="37" t="s">
        <v>819</v>
      </c>
      <c r="N11" s="38" t="s">
        <v>94</v>
      </c>
      <c r="O11" s="189" t="s">
        <v>95</v>
      </c>
      <c r="P11">
        <v>3</v>
      </c>
    </row>
    <row r="12" spans="1:16" x14ac:dyDescent="0.3">
      <c r="A12" s="189">
        <v>1</v>
      </c>
      <c r="B12" s="190" t="s">
        <v>89</v>
      </c>
      <c r="C12" s="191">
        <v>1.1000000000000001</v>
      </c>
      <c r="D12" s="190" t="s">
        <v>89</v>
      </c>
      <c r="E12" s="190"/>
      <c r="F12" s="190"/>
      <c r="G12" s="191">
        <v>1</v>
      </c>
      <c r="H12" s="190" t="s">
        <v>90</v>
      </c>
      <c r="I12" s="191">
        <v>1.4</v>
      </c>
      <c r="J12" s="190" t="s">
        <v>111</v>
      </c>
      <c r="K12" s="191" t="s">
        <v>113</v>
      </c>
      <c r="L12" s="37" t="s">
        <v>114</v>
      </c>
      <c r="M12" s="37" t="s">
        <v>819</v>
      </c>
      <c r="N12" s="38" t="s">
        <v>94</v>
      </c>
      <c r="O12" s="189" t="s">
        <v>95</v>
      </c>
      <c r="P12">
        <v>3</v>
      </c>
    </row>
    <row r="13" spans="1:16" x14ac:dyDescent="0.3">
      <c r="A13" s="189">
        <v>1</v>
      </c>
      <c r="B13" s="190" t="s">
        <v>89</v>
      </c>
      <c r="C13" s="191">
        <v>1.1000000000000001</v>
      </c>
      <c r="D13" s="190" t="s">
        <v>89</v>
      </c>
      <c r="E13" s="190"/>
      <c r="F13" s="190"/>
      <c r="G13" s="191">
        <v>1</v>
      </c>
      <c r="H13" s="190" t="s">
        <v>90</v>
      </c>
      <c r="I13" s="191">
        <v>1.5</v>
      </c>
      <c r="J13" s="190" t="s">
        <v>115</v>
      </c>
      <c r="K13" s="191" t="s">
        <v>116</v>
      </c>
      <c r="L13" s="37" t="s">
        <v>115</v>
      </c>
      <c r="M13" s="37" t="s">
        <v>819</v>
      </c>
      <c r="N13" s="38" t="s">
        <v>94</v>
      </c>
      <c r="O13" s="189" t="s">
        <v>95</v>
      </c>
      <c r="P13">
        <v>3</v>
      </c>
    </row>
    <row r="14" spans="1:16" ht="20.399999999999999" x14ac:dyDescent="0.3">
      <c r="A14" s="189">
        <v>1</v>
      </c>
      <c r="B14" s="190" t="s">
        <v>89</v>
      </c>
      <c r="C14" s="191">
        <v>1.1000000000000001</v>
      </c>
      <c r="D14" s="190" t="s">
        <v>89</v>
      </c>
      <c r="E14" s="190"/>
      <c r="F14" s="190"/>
      <c r="G14" s="191">
        <v>2</v>
      </c>
      <c r="H14" s="190" t="s">
        <v>117</v>
      </c>
      <c r="I14" s="191">
        <v>2.1</v>
      </c>
      <c r="J14" s="190" t="s">
        <v>118</v>
      </c>
      <c r="K14" s="191" t="s">
        <v>119</v>
      </c>
      <c r="L14" s="37" t="s">
        <v>118</v>
      </c>
      <c r="M14" s="37" t="s">
        <v>819</v>
      </c>
      <c r="N14" s="38" t="s">
        <v>120</v>
      </c>
      <c r="O14" s="189" t="s">
        <v>95</v>
      </c>
      <c r="P14">
        <v>1.5</v>
      </c>
    </row>
    <row r="15" spans="1:16" ht="20.399999999999999" x14ac:dyDescent="0.3">
      <c r="A15" s="189">
        <v>1</v>
      </c>
      <c r="B15" s="190" t="s">
        <v>89</v>
      </c>
      <c r="C15" s="191">
        <v>1.1000000000000001</v>
      </c>
      <c r="D15" s="190" t="s">
        <v>89</v>
      </c>
      <c r="E15" s="190"/>
      <c r="F15" s="190"/>
      <c r="G15" s="191">
        <v>2</v>
      </c>
      <c r="H15" s="190" t="s">
        <v>117</v>
      </c>
      <c r="I15" s="191">
        <v>2.1</v>
      </c>
      <c r="J15" s="190" t="s">
        <v>118</v>
      </c>
      <c r="K15" s="191" t="s">
        <v>121</v>
      </c>
      <c r="L15" s="37" t="s">
        <v>122</v>
      </c>
      <c r="M15" s="37" t="s">
        <v>819</v>
      </c>
      <c r="N15" s="38" t="s">
        <v>120</v>
      </c>
      <c r="O15" s="189" t="s">
        <v>95</v>
      </c>
      <c r="P15">
        <v>1.5</v>
      </c>
    </row>
    <row r="16" spans="1:16" x14ac:dyDescent="0.3">
      <c r="A16" s="189">
        <v>1</v>
      </c>
      <c r="B16" s="190" t="s">
        <v>89</v>
      </c>
      <c r="C16" s="191">
        <v>1.1000000000000001</v>
      </c>
      <c r="D16" s="190" t="s">
        <v>89</v>
      </c>
      <c r="E16" s="190"/>
      <c r="F16" s="190"/>
      <c r="G16" s="191">
        <v>2</v>
      </c>
      <c r="H16" s="190" t="s">
        <v>117</v>
      </c>
      <c r="I16" s="191">
        <v>2.2000000000000002</v>
      </c>
      <c r="J16" s="190" t="s">
        <v>123</v>
      </c>
      <c r="K16" s="191" t="s">
        <v>124</v>
      </c>
      <c r="L16" s="37" t="s">
        <v>123</v>
      </c>
      <c r="M16" s="37" t="s">
        <v>819</v>
      </c>
      <c r="N16" s="38" t="s">
        <v>145</v>
      </c>
      <c r="O16" s="189" t="s">
        <v>95</v>
      </c>
      <c r="P16">
        <v>7.5</v>
      </c>
    </row>
    <row r="17" spans="1:16" x14ac:dyDescent="0.3">
      <c r="A17" s="189">
        <v>1</v>
      </c>
      <c r="B17" s="190" t="s">
        <v>89</v>
      </c>
      <c r="C17" s="191">
        <v>1.1000000000000001</v>
      </c>
      <c r="D17" s="190" t="s">
        <v>89</v>
      </c>
      <c r="E17" s="190"/>
      <c r="F17" s="190"/>
      <c r="G17" s="191">
        <v>2</v>
      </c>
      <c r="H17" s="190" t="s">
        <v>117</v>
      </c>
      <c r="I17" s="191">
        <v>2.2999999999999998</v>
      </c>
      <c r="J17" s="190" t="s">
        <v>125</v>
      </c>
      <c r="K17" s="191" t="s">
        <v>126</v>
      </c>
      <c r="L17" s="37" t="s">
        <v>125</v>
      </c>
      <c r="M17" s="37" t="s">
        <v>819</v>
      </c>
      <c r="N17" s="38" t="s">
        <v>120</v>
      </c>
      <c r="O17" s="189" t="s">
        <v>95</v>
      </c>
      <c r="P17">
        <v>1</v>
      </c>
    </row>
    <row r="18" spans="1:16" x14ac:dyDescent="0.3">
      <c r="A18" s="189">
        <v>1</v>
      </c>
      <c r="B18" s="190" t="s">
        <v>89</v>
      </c>
      <c r="C18" s="191">
        <v>1.1000000000000001</v>
      </c>
      <c r="D18" s="190" t="s">
        <v>89</v>
      </c>
      <c r="E18" s="190"/>
      <c r="F18" s="190"/>
      <c r="G18" s="191">
        <v>2</v>
      </c>
      <c r="H18" s="190" t="s">
        <v>117</v>
      </c>
      <c r="I18" s="191">
        <v>2.2999999999999998</v>
      </c>
      <c r="J18" s="190" t="s">
        <v>125</v>
      </c>
      <c r="K18" s="191" t="s">
        <v>127</v>
      </c>
      <c r="L18" s="37" t="s">
        <v>128</v>
      </c>
      <c r="M18" s="37" t="s">
        <v>819</v>
      </c>
      <c r="N18" s="38" t="s">
        <v>120</v>
      </c>
      <c r="O18" s="189" t="s">
        <v>95</v>
      </c>
      <c r="P18">
        <v>1</v>
      </c>
    </row>
    <row r="19" spans="1:16" x14ac:dyDescent="0.3">
      <c r="A19" s="189">
        <v>1</v>
      </c>
      <c r="B19" s="190" t="s">
        <v>89</v>
      </c>
      <c r="C19" s="191">
        <v>1.1000000000000001</v>
      </c>
      <c r="D19" s="190" t="s">
        <v>89</v>
      </c>
      <c r="E19" s="190"/>
      <c r="F19" s="190"/>
      <c r="G19" s="191">
        <v>2</v>
      </c>
      <c r="H19" s="190" t="s">
        <v>117</v>
      </c>
      <c r="I19" s="191">
        <v>2.2999999999999998</v>
      </c>
      <c r="J19" s="190" t="s">
        <v>125</v>
      </c>
      <c r="K19" s="191" t="s">
        <v>129</v>
      </c>
      <c r="L19" s="37" t="s">
        <v>130</v>
      </c>
      <c r="M19" s="37" t="s">
        <v>819</v>
      </c>
      <c r="N19" s="38" t="s">
        <v>120</v>
      </c>
      <c r="O19" s="189" t="s">
        <v>95</v>
      </c>
      <c r="P19">
        <v>1</v>
      </c>
    </row>
    <row r="20" spans="1:16" x14ac:dyDescent="0.3">
      <c r="A20" s="189">
        <v>1</v>
      </c>
      <c r="B20" s="190" t="s">
        <v>89</v>
      </c>
      <c r="C20" s="191">
        <v>1.1000000000000001</v>
      </c>
      <c r="D20" s="190" t="s">
        <v>89</v>
      </c>
      <c r="E20" s="190"/>
      <c r="F20" s="190"/>
      <c r="G20" s="191">
        <v>2</v>
      </c>
      <c r="H20" s="190" t="s">
        <v>117</v>
      </c>
      <c r="I20" s="191">
        <v>2.2999999999999998</v>
      </c>
      <c r="J20" s="190" t="s">
        <v>125</v>
      </c>
      <c r="K20" s="191" t="s">
        <v>131</v>
      </c>
      <c r="L20" s="37" t="s">
        <v>132</v>
      </c>
      <c r="M20" s="37" t="s">
        <v>819</v>
      </c>
      <c r="N20" s="38" t="s">
        <v>120</v>
      </c>
      <c r="O20" s="189" t="s">
        <v>95</v>
      </c>
      <c r="P20">
        <v>1</v>
      </c>
    </row>
    <row r="21" spans="1:16" x14ac:dyDescent="0.3">
      <c r="A21" s="189">
        <v>1</v>
      </c>
      <c r="B21" s="190" t="s">
        <v>89</v>
      </c>
      <c r="C21" s="191">
        <v>1.1000000000000001</v>
      </c>
      <c r="D21" s="190" t="s">
        <v>89</v>
      </c>
      <c r="E21" s="190"/>
      <c r="F21" s="190"/>
      <c r="G21" s="191">
        <v>2</v>
      </c>
      <c r="H21" s="190" t="s">
        <v>117</v>
      </c>
      <c r="I21" s="191">
        <v>2.2999999999999998</v>
      </c>
      <c r="J21" s="190" t="s">
        <v>125</v>
      </c>
      <c r="K21" s="191" t="s">
        <v>833</v>
      </c>
      <c r="L21" s="37" t="s">
        <v>834</v>
      </c>
      <c r="M21" s="37" t="s">
        <v>819</v>
      </c>
      <c r="N21" s="38" t="s">
        <v>120</v>
      </c>
      <c r="O21" s="189" t="s">
        <v>95</v>
      </c>
      <c r="P21">
        <v>1</v>
      </c>
    </row>
    <row r="22" spans="1:16" x14ac:dyDescent="0.3">
      <c r="A22" s="189">
        <v>1</v>
      </c>
      <c r="B22" s="190" t="s">
        <v>89</v>
      </c>
      <c r="C22" s="191">
        <v>1.1000000000000001</v>
      </c>
      <c r="D22" s="190" t="s">
        <v>89</v>
      </c>
      <c r="E22" s="190"/>
      <c r="F22" s="190"/>
      <c r="G22" s="191">
        <v>2</v>
      </c>
      <c r="H22" s="190" t="s">
        <v>117</v>
      </c>
      <c r="I22" s="191">
        <v>2.4</v>
      </c>
      <c r="J22" s="190" t="s">
        <v>133</v>
      </c>
      <c r="K22" s="191" t="s">
        <v>134</v>
      </c>
      <c r="L22" s="37" t="s">
        <v>135</v>
      </c>
      <c r="M22" s="37" t="s">
        <v>819</v>
      </c>
      <c r="N22" s="38" t="s">
        <v>120</v>
      </c>
      <c r="O22" s="189" t="s">
        <v>95</v>
      </c>
      <c r="P22">
        <v>1</v>
      </c>
    </row>
    <row r="23" spans="1:16" x14ac:dyDescent="0.3">
      <c r="A23" s="189">
        <v>1</v>
      </c>
      <c r="B23" s="190" t="s">
        <v>89</v>
      </c>
      <c r="C23" s="191">
        <v>1.1000000000000001</v>
      </c>
      <c r="D23" s="190" t="s">
        <v>89</v>
      </c>
      <c r="E23" s="190"/>
      <c r="F23" s="190"/>
      <c r="G23" s="191">
        <v>2</v>
      </c>
      <c r="H23" s="190" t="s">
        <v>117</v>
      </c>
      <c r="I23" s="191">
        <v>2.4</v>
      </c>
      <c r="J23" s="190" t="s">
        <v>133</v>
      </c>
      <c r="K23" s="191" t="s">
        <v>136</v>
      </c>
      <c r="L23" s="37" t="s">
        <v>137</v>
      </c>
      <c r="M23" s="37" t="s">
        <v>819</v>
      </c>
      <c r="N23" s="38" t="s">
        <v>120</v>
      </c>
      <c r="O23" s="189" t="s">
        <v>95</v>
      </c>
      <c r="P23">
        <v>1</v>
      </c>
    </row>
    <row r="24" spans="1:16" x14ac:dyDescent="0.3">
      <c r="A24" s="189">
        <v>1</v>
      </c>
      <c r="B24" s="190" t="s">
        <v>89</v>
      </c>
      <c r="C24" s="191">
        <v>1.1000000000000001</v>
      </c>
      <c r="D24" s="190" t="s">
        <v>89</v>
      </c>
      <c r="E24" s="190"/>
      <c r="F24" s="190"/>
      <c r="G24" s="191">
        <v>2</v>
      </c>
      <c r="H24" s="190" t="s">
        <v>117</v>
      </c>
      <c r="I24" s="191">
        <v>2.4</v>
      </c>
      <c r="J24" s="190" t="s">
        <v>133</v>
      </c>
      <c r="K24" s="191" t="s">
        <v>138</v>
      </c>
      <c r="L24" s="37" t="s">
        <v>139</v>
      </c>
      <c r="M24" s="37" t="s">
        <v>819</v>
      </c>
      <c r="N24" s="38" t="s">
        <v>120</v>
      </c>
      <c r="O24" s="189" t="s">
        <v>95</v>
      </c>
      <c r="P24">
        <v>1</v>
      </c>
    </row>
    <row r="25" spans="1:16" x14ac:dyDescent="0.3">
      <c r="A25" s="189">
        <v>1</v>
      </c>
      <c r="B25" s="190" t="s">
        <v>89</v>
      </c>
      <c r="C25" s="191">
        <v>1.1000000000000001</v>
      </c>
      <c r="D25" s="190" t="s">
        <v>89</v>
      </c>
      <c r="E25" s="190"/>
      <c r="F25" s="190"/>
      <c r="G25" s="191">
        <v>2</v>
      </c>
      <c r="H25" s="190" t="s">
        <v>117</v>
      </c>
      <c r="I25" s="191">
        <v>2.5</v>
      </c>
      <c r="J25" s="190" t="s">
        <v>140</v>
      </c>
      <c r="K25" s="191" t="s">
        <v>141</v>
      </c>
      <c r="L25" s="37" t="s">
        <v>140</v>
      </c>
      <c r="M25" s="37" t="s">
        <v>819</v>
      </c>
      <c r="N25" s="38" t="s">
        <v>142</v>
      </c>
      <c r="O25" s="189" t="s">
        <v>95</v>
      </c>
      <c r="P25">
        <v>7.5</v>
      </c>
    </row>
    <row r="26" spans="1:16" x14ac:dyDescent="0.3">
      <c r="A26" s="189">
        <v>1</v>
      </c>
      <c r="B26" s="190" t="s">
        <v>89</v>
      </c>
      <c r="C26" s="191">
        <v>1.1000000000000001</v>
      </c>
      <c r="D26" s="190" t="s">
        <v>89</v>
      </c>
      <c r="E26" s="190"/>
      <c r="F26" s="190"/>
      <c r="G26" s="191">
        <v>2</v>
      </c>
      <c r="H26" s="190" t="s">
        <v>117</v>
      </c>
      <c r="I26" s="191">
        <v>2.6</v>
      </c>
      <c r="J26" s="190" t="s">
        <v>143</v>
      </c>
      <c r="K26" s="191" t="s">
        <v>144</v>
      </c>
      <c r="L26" s="37" t="s">
        <v>143</v>
      </c>
      <c r="M26" s="37" t="s">
        <v>819</v>
      </c>
      <c r="N26" s="38" t="s">
        <v>145</v>
      </c>
      <c r="O26" s="189" t="s">
        <v>95</v>
      </c>
      <c r="P26">
        <v>3.5</v>
      </c>
    </row>
    <row r="27" spans="1:16" x14ac:dyDescent="0.3">
      <c r="A27" s="189">
        <v>1</v>
      </c>
      <c r="B27" s="190" t="s">
        <v>89</v>
      </c>
      <c r="C27" s="191">
        <v>1.1000000000000001</v>
      </c>
      <c r="D27" s="190" t="s">
        <v>89</v>
      </c>
      <c r="E27" s="190"/>
      <c r="F27" s="190"/>
      <c r="G27" s="191">
        <v>2</v>
      </c>
      <c r="H27" s="190" t="s">
        <v>117</v>
      </c>
      <c r="I27" s="191">
        <v>2.7</v>
      </c>
      <c r="J27" s="190" t="s">
        <v>146</v>
      </c>
      <c r="K27" s="191" t="s">
        <v>147</v>
      </c>
      <c r="L27" s="37" t="s">
        <v>146</v>
      </c>
      <c r="M27" s="37" t="s">
        <v>819</v>
      </c>
      <c r="N27" s="38" t="s">
        <v>145</v>
      </c>
      <c r="O27" s="189" t="s">
        <v>95</v>
      </c>
      <c r="P27">
        <v>7.5</v>
      </c>
    </row>
    <row r="28" spans="1:16" x14ac:dyDescent="0.3">
      <c r="A28" s="189">
        <v>1</v>
      </c>
      <c r="B28" s="190" t="s">
        <v>89</v>
      </c>
      <c r="C28" s="191">
        <v>1.1000000000000001</v>
      </c>
      <c r="D28" s="190" t="s">
        <v>89</v>
      </c>
      <c r="E28" s="190"/>
      <c r="F28" s="190"/>
      <c r="G28" s="191">
        <v>2</v>
      </c>
      <c r="H28" s="190" t="s">
        <v>117</v>
      </c>
      <c r="I28" s="191">
        <v>2.8</v>
      </c>
      <c r="J28" s="190" t="s">
        <v>148</v>
      </c>
      <c r="K28" s="191" t="s">
        <v>149</v>
      </c>
      <c r="L28" s="37" t="s">
        <v>150</v>
      </c>
      <c r="M28" s="37" t="s">
        <v>819</v>
      </c>
      <c r="N28" s="38" t="s">
        <v>120</v>
      </c>
      <c r="O28" s="189" t="s">
        <v>95</v>
      </c>
      <c r="P28">
        <v>1.5</v>
      </c>
    </row>
    <row r="29" spans="1:16" x14ac:dyDescent="0.3">
      <c r="A29" s="189">
        <v>1</v>
      </c>
      <c r="B29" s="190" t="s">
        <v>89</v>
      </c>
      <c r="C29" s="191">
        <v>1.1000000000000001</v>
      </c>
      <c r="D29" s="190" t="s">
        <v>89</v>
      </c>
      <c r="E29" s="190"/>
      <c r="F29" s="190"/>
      <c r="G29" s="191">
        <v>2</v>
      </c>
      <c r="H29" s="190" t="s">
        <v>117</v>
      </c>
      <c r="I29" s="191">
        <v>2.8</v>
      </c>
      <c r="J29" s="190" t="s">
        <v>148</v>
      </c>
      <c r="K29" s="191" t="s">
        <v>151</v>
      </c>
      <c r="L29" s="37" t="s">
        <v>152</v>
      </c>
      <c r="M29" s="37" t="s">
        <v>819</v>
      </c>
      <c r="N29" s="38" t="s">
        <v>120</v>
      </c>
      <c r="O29" s="189" t="s">
        <v>95</v>
      </c>
      <c r="P29">
        <v>1.5</v>
      </c>
    </row>
    <row r="30" spans="1:16" x14ac:dyDescent="0.3">
      <c r="A30" s="189">
        <v>1</v>
      </c>
      <c r="B30" s="190" t="s">
        <v>89</v>
      </c>
      <c r="C30" s="191">
        <v>1.1000000000000001</v>
      </c>
      <c r="D30" s="190" t="s">
        <v>89</v>
      </c>
      <c r="E30" s="190"/>
      <c r="F30" s="190"/>
      <c r="G30" s="191">
        <v>3</v>
      </c>
      <c r="H30" s="190" t="s">
        <v>153</v>
      </c>
      <c r="I30" s="191">
        <v>3.1</v>
      </c>
      <c r="J30" s="190" t="s">
        <v>153</v>
      </c>
      <c r="K30" s="191" t="s">
        <v>154</v>
      </c>
      <c r="L30" s="37" t="s">
        <v>155</v>
      </c>
      <c r="M30" s="37" t="s">
        <v>819</v>
      </c>
      <c r="N30" s="38" t="s">
        <v>156</v>
      </c>
      <c r="O30" s="189" t="s">
        <v>95</v>
      </c>
      <c r="P30">
        <v>1</v>
      </c>
    </row>
    <row r="31" spans="1:16" ht="20.399999999999999" x14ac:dyDescent="0.3">
      <c r="A31" s="189">
        <v>1</v>
      </c>
      <c r="B31" s="190" t="s">
        <v>89</v>
      </c>
      <c r="C31" s="191">
        <v>1.1000000000000001</v>
      </c>
      <c r="D31" s="190" t="s">
        <v>89</v>
      </c>
      <c r="E31" s="190"/>
      <c r="F31" s="190"/>
      <c r="G31" s="191">
        <v>3</v>
      </c>
      <c r="H31" s="190" t="s">
        <v>153</v>
      </c>
      <c r="I31" s="191">
        <v>3.1</v>
      </c>
      <c r="J31" s="190" t="s">
        <v>153</v>
      </c>
      <c r="K31" s="191" t="s">
        <v>157</v>
      </c>
      <c r="L31" s="37" t="s">
        <v>158</v>
      </c>
      <c r="M31" s="37" t="s">
        <v>819</v>
      </c>
      <c r="N31" s="38" t="s">
        <v>156</v>
      </c>
      <c r="O31" s="189" t="s">
        <v>95</v>
      </c>
      <c r="P31">
        <v>1</v>
      </c>
    </row>
    <row r="32" spans="1:16" x14ac:dyDescent="0.3">
      <c r="A32" s="189">
        <v>1</v>
      </c>
      <c r="B32" s="190" t="s">
        <v>89</v>
      </c>
      <c r="C32" s="191">
        <v>1.1000000000000001</v>
      </c>
      <c r="D32" s="190" t="s">
        <v>89</v>
      </c>
      <c r="E32" s="190"/>
      <c r="F32" s="190"/>
      <c r="G32" s="191">
        <v>3</v>
      </c>
      <c r="H32" s="190" t="s">
        <v>153</v>
      </c>
      <c r="I32" s="191">
        <v>3.1</v>
      </c>
      <c r="J32" s="190" t="s">
        <v>153</v>
      </c>
      <c r="K32" s="191" t="s">
        <v>159</v>
      </c>
      <c r="L32" s="37" t="s">
        <v>160</v>
      </c>
      <c r="M32" s="37" t="s">
        <v>819</v>
      </c>
      <c r="N32" s="38" t="s">
        <v>156</v>
      </c>
      <c r="O32" s="189" t="s">
        <v>95</v>
      </c>
      <c r="P32">
        <v>1</v>
      </c>
    </row>
    <row r="33" spans="1:16" x14ac:dyDescent="0.3">
      <c r="A33" s="189">
        <v>1</v>
      </c>
      <c r="B33" s="190" t="s">
        <v>89</v>
      </c>
      <c r="C33" s="191">
        <v>1.1000000000000001</v>
      </c>
      <c r="D33" s="190" t="s">
        <v>89</v>
      </c>
      <c r="E33" s="190"/>
      <c r="F33" s="190"/>
      <c r="G33" s="191">
        <v>3</v>
      </c>
      <c r="H33" s="190" t="s">
        <v>153</v>
      </c>
      <c r="I33" s="191">
        <v>3.1</v>
      </c>
      <c r="J33" s="190" t="s">
        <v>153</v>
      </c>
      <c r="K33" s="191" t="s">
        <v>161</v>
      </c>
      <c r="L33" s="37" t="s">
        <v>162</v>
      </c>
      <c r="M33" s="37" t="s">
        <v>819</v>
      </c>
      <c r="N33" s="38" t="s">
        <v>156</v>
      </c>
      <c r="O33" s="189" t="s">
        <v>95</v>
      </c>
      <c r="P33">
        <v>1</v>
      </c>
    </row>
    <row r="34" spans="1:16" x14ac:dyDescent="0.3">
      <c r="A34" s="189">
        <v>1</v>
      </c>
      <c r="B34" s="190" t="s">
        <v>89</v>
      </c>
      <c r="C34" s="191">
        <v>1.1000000000000001</v>
      </c>
      <c r="D34" s="190" t="s">
        <v>89</v>
      </c>
      <c r="E34" s="190"/>
      <c r="F34" s="190"/>
      <c r="G34" s="191">
        <v>4</v>
      </c>
      <c r="H34" s="190" t="s">
        <v>163</v>
      </c>
      <c r="I34" s="191">
        <v>4.0999999999999996</v>
      </c>
      <c r="J34" s="190" t="s">
        <v>164</v>
      </c>
      <c r="K34" s="191" t="s">
        <v>165</v>
      </c>
      <c r="L34" s="37" t="s">
        <v>166</v>
      </c>
      <c r="M34" s="37" t="s">
        <v>821</v>
      </c>
      <c r="N34" s="38" t="s">
        <v>168</v>
      </c>
      <c r="O34" s="189" t="s">
        <v>169</v>
      </c>
      <c r="P34">
        <v>1</v>
      </c>
    </row>
    <row r="35" spans="1:16" x14ac:dyDescent="0.3">
      <c r="A35" s="189">
        <v>1</v>
      </c>
      <c r="B35" s="190" t="s">
        <v>89</v>
      </c>
      <c r="C35" s="191">
        <v>1.1000000000000001</v>
      </c>
      <c r="D35" s="190" t="s">
        <v>89</v>
      </c>
      <c r="E35" s="190"/>
      <c r="F35" s="190"/>
      <c r="G35" s="191">
        <v>4</v>
      </c>
      <c r="H35" s="190" t="s">
        <v>163</v>
      </c>
      <c r="I35" s="191">
        <v>4.0999999999999996</v>
      </c>
      <c r="J35" s="190" t="s">
        <v>164</v>
      </c>
      <c r="K35" s="191" t="s">
        <v>170</v>
      </c>
      <c r="L35" s="37" t="s">
        <v>171</v>
      </c>
      <c r="M35" s="37" t="s">
        <v>821</v>
      </c>
      <c r="N35" s="38" t="s">
        <v>168</v>
      </c>
      <c r="O35" s="189" t="s">
        <v>169</v>
      </c>
      <c r="P35">
        <v>1</v>
      </c>
    </row>
    <row r="36" spans="1:16" x14ac:dyDescent="0.3">
      <c r="A36" s="189">
        <v>1</v>
      </c>
      <c r="B36" s="190" t="s">
        <v>89</v>
      </c>
      <c r="C36" s="191">
        <v>1.1000000000000001</v>
      </c>
      <c r="D36" s="190" t="s">
        <v>89</v>
      </c>
      <c r="E36" s="190"/>
      <c r="F36" s="190"/>
      <c r="G36" s="191">
        <v>4</v>
      </c>
      <c r="H36" s="190" t="s">
        <v>163</v>
      </c>
      <c r="I36" s="191">
        <v>4.0999999999999996</v>
      </c>
      <c r="J36" s="190" t="s">
        <v>164</v>
      </c>
      <c r="K36" s="191" t="s">
        <v>172</v>
      </c>
      <c r="L36" s="37" t="s">
        <v>173</v>
      </c>
      <c r="M36" s="37" t="s">
        <v>821</v>
      </c>
      <c r="N36" s="38" t="s">
        <v>168</v>
      </c>
      <c r="O36" s="189" t="s">
        <v>169</v>
      </c>
      <c r="P36">
        <v>1</v>
      </c>
    </row>
    <row r="37" spans="1:16" x14ac:dyDescent="0.3">
      <c r="A37" s="189">
        <v>1</v>
      </c>
      <c r="B37" s="190" t="s">
        <v>89</v>
      </c>
      <c r="C37" s="191">
        <v>1.1000000000000001</v>
      </c>
      <c r="D37" s="190" t="s">
        <v>89</v>
      </c>
      <c r="E37" s="190"/>
      <c r="F37" s="190"/>
      <c r="G37" s="191">
        <v>4</v>
      </c>
      <c r="H37" s="190" t="s">
        <v>163</v>
      </c>
      <c r="I37" s="191">
        <v>4.0999999999999996</v>
      </c>
      <c r="J37" s="190" t="s">
        <v>164</v>
      </c>
      <c r="K37" s="191" t="s">
        <v>174</v>
      </c>
      <c r="L37" s="37" t="s">
        <v>175</v>
      </c>
      <c r="M37" s="37" t="s">
        <v>821</v>
      </c>
      <c r="N37" s="38" t="s">
        <v>168</v>
      </c>
      <c r="O37" s="189" t="s">
        <v>169</v>
      </c>
      <c r="P37">
        <v>1</v>
      </c>
    </row>
    <row r="38" spans="1:16" x14ac:dyDescent="0.3">
      <c r="A38" s="189">
        <v>1</v>
      </c>
      <c r="B38" s="190" t="s">
        <v>89</v>
      </c>
      <c r="C38" s="191">
        <v>1.1000000000000001</v>
      </c>
      <c r="D38" s="190" t="s">
        <v>89</v>
      </c>
      <c r="E38" s="190"/>
      <c r="F38" s="190"/>
      <c r="G38" s="191">
        <v>4</v>
      </c>
      <c r="H38" s="190" t="s">
        <v>163</v>
      </c>
      <c r="I38" s="191">
        <v>4.0999999999999996</v>
      </c>
      <c r="J38" s="190" t="s">
        <v>164</v>
      </c>
      <c r="K38" s="191" t="s">
        <v>176</v>
      </c>
      <c r="L38" s="37" t="s">
        <v>177</v>
      </c>
      <c r="M38" s="37" t="s">
        <v>821</v>
      </c>
      <c r="N38" s="38" t="s">
        <v>168</v>
      </c>
      <c r="O38" s="189" t="s">
        <v>169</v>
      </c>
      <c r="P38">
        <v>1</v>
      </c>
    </row>
    <row r="39" spans="1:16" x14ac:dyDescent="0.3">
      <c r="A39" s="189">
        <v>1</v>
      </c>
      <c r="B39" s="190" t="s">
        <v>89</v>
      </c>
      <c r="C39" s="191">
        <v>1.1000000000000001</v>
      </c>
      <c r="D39" s="190" t="s">
        <v>89</v>
      </c>
      <c r="E39" s="190"/>
      <c r="F39" s="190"/>
      <c r="G39" s="191">
        <v>4</v>
      </c>
      <c r="H39" s="190" t="s">
        <v>163</v>
      </c>
      <c r="I39" s="191">
        <v>4.2</v>
      </c>
      <c r="J39" s="190" t="s">
        <v>178</v>
      </c>
      <c r="K39" s="191" t="s">
        <v>179</v>
      </c>
      <c r="L39" s="37" t="s">
        <v>180</v>
      </c>
      <c r="M39" s="37" t="s">
        <v>821</v>
      </c>
      <c r="N39" s="38" t="s">
        <v>168</v>
      </c>
      <c r="O39" s="189" t="s">
        <v>169</v>
      </c>
      <c r="P39">
        <v>1</v>
      </c>
    </row>
    <row r="40" spans="1:16" x14ac:dyDescent="0.3">
      <c r="A40" s="189">
        <v>1</v>
      </c>
      <c r="B40" s="190" t="s">
        <v>89</v>
      </c>
      <c r="C40" s="191">
        <v>1.1000000000000001</v>
      </c>
      <c r="D40" s="190" t="s">
        <v>89</v>
      </c>
      <c r="E40" s="190"/>
      <c r="F40" s="190"/>
      <c r="G40" s="191">
        <v>4</v>
      </c>
      <c r="H40" s="190" t="s">
        <v>163</v>
      </c>
      <c r="I40" s="191">
        <v>4.2</v>
      </c>
      <c r="J40" s="190" t="s">
        <v>178</v>
      </c>
      <c r="K40" s="191" t="s">
        <v>181</v>
      </c>
      <c r="L40" s="37" t="s">
        <v>182</v>
      </c>
      <c r="M40" s="37" t="s">
        <v>821</v>
      </c>
      <c r="N40" s="38" t="s">
        <v>168</v>
      </c>
      <c r="O40" s="189" t="s">
        <v>169</v>
      </c>
      <c r="P40">
        <v>1</v>
      </c>
    </row>
    <row r="41" spans="1:16" x14ac:dyDescent="0.3">
      <c r="A41" s="189">
        <v>1</v>
      </c>
      <c r="B41" s="190" t="s">
        <v>89</v>
      </c>
      <c r="C41" s="191">
        <v>1.1000000000000001</v>
      </c>
      <c r="D41" s="190" t="s">
        <v>89</v>
      </c>
      <c r="E41" s="190"/>
      <c r="F41" s="190"/>
      <c r="G41" s="191">
        <v>4</v>
      </c>
      <c r="H41" s="190" t="s">
        <v>163</v>
      </c>
      <c r="I41" s="191">
        <v>4.2</v>
      </c>
      <c r="J41" s="190" t="s">
        <v>178</v>
      </c>
      <c r="K41" s="191" t="s">
        <v>835</v>
      </c>
      <c r="L41" s="37" t="s">
        <v>836</v>
      </c>
      <c r="M41" s="37" t="s">
        <v>821</v>
      </c>
      <c r="N41" s="38" t="s">
        <v>168</v>
      </c>
      <c r="O41" s="189" t="s">
        <v>169</v>
      </c>
      <c r="P41">
        <v>1</v>
      </c>
    </row>
    <row r="42" spans="1:16" x14ac:dyDescent="0.3">
      <c r="A42" s="189">
        <v>1</v>
      </c>
      <c r="B42" s="190" t="s">
        <v>89</v>
      </c>
      <c r="C42" s="191">
        <v>1.1000000000000001</v>
      </c>
      <c r="D42" s="190" t="s">
        <v>89</v>
      </c>
      <c r="E42" s="190"/>
      <c r="F42" s="190"/>
      <c r="G42" s="191">
        <v>4</v>
      </c>
      <c r="H42" s="190" t="s">
        <v>163</v>
      </c>
      <c r="I42" s="191">
        <v>4.3</v>
      </c>
      <c r="J42" s="190" t="s">
        <v>183</v>
      </c>
      <c r="K42" s="191" t="s">
        <v>184</v>
      </c>
      <c r="L42" s="37" t="s">
        <v>183</v>
      </c>
      <c r="M42" s="37" t="s">
        <v>167</v>
      </c>
      <c r="N42" s="38" t="s">
        <v>168</v>
      </c>
      <c r="O42" s="189" t="s">
        <v>169</v>
      </c>
      <c r="P42">
        <v>1</v>
      </c>
    </row>
    <row r="43" spans="1:16" ht="20.399999999999999" x14ac:dyDescent="0.3">
      <c r="A43" s="192">
        <v>2</v>
      </c>
      <c r="B43" s="193" t="s">
        <v>185</v>
      </c>
      <c r="C43" s="194">
        <v>2.1</v>
      </c>
      <c r="D43" s="193" t="s">
        <v>185</v>
      </c>
      <c r="E43" s="190"/>
      <c r="F43" s="190"/>
      <c r="G43" s="191">
        <v>5</v>
      </c>
      <c r="H43" s="190" t="s">
        <v>186</v>
      </c>
      <c r="I43" s="194">
        <v>5.0999999999999996</v>
      </c>
      <c r="J43" s="193" t="s">
        <v>187</v>
      </c>
      <c r="K43" s="194" t="s">
        <v>188</v>
      </c>
      <c r="L43" s="37" t="s">
        <v>189</v>
      </c>
      <c r="M43" s="37" t="s">
        <v>190</v>
      </c>
      <c r="N43" s="38" t="s">
        <v>191</v>
      </c>
      <c r="O43" s="192" t="s">
        <v>169</v>
      </c>
      <c r="P43">
        <v>1</v>
      </c>
    </row>
    <row r="44" spans="1:16" ht="20.399999999999999" x14ac:dyDescent="0.3">
      <c r="A44" s="192">
        <v>2</v>
      </c>
      <c r="B44" s="193" t="s">
        <v>185</v>
      </c>
      <c r="C44" s="194">
        <v>2.1</v>
      </c>
      <c r="D44" s="193" t="s">
        <v>185</v>
      </c>
      <c r="E44" s="190"/>
      <c r="F44" s="190"/>
      <c r="G44" s="191">
        <v>5</v>
      </c>
      <c r="H44" s="190" t="s">
        <v>186</v>
      </c>
      <c r="I44" s="194">
        <v>5.2</v>
      </c>
      <c r="J44" s="193" t="s">
        <v>192</v>
      </c>
      <c r="K44" s="194" t="s">
        <v>193</v>
      </c>
      <c r="L44" s="37" t="s">
        <v>192</v>
      </c>
      <c r="M44" s="37" t="s">
        <v>819</v>
      </c>
      <c r="N44" s="38" t="s">
        <v>145</v>
      </c>
      <c r="O44" s="192" t="s">
        <v>95</v>
      </c>
      <c r="P44">
        <v>15</v>
      </c>
    </row>
    <row r="45" spans="1:16" x14ac:dyDescent="0.3">
      <c r="A45" s="192">
        <v>2</v>
      </c>
      <c r="B45" s="193" t="s">
        <v>185</v>
      </c>
      <c r="C45" s="194">
        <v>2.1</v>
      </c>
      <c r="D45" s="193" t="s">
        <v>185</v>
      </c>
      <c r="E45" s="190"/>
      <c r="F45" s="190"/>
      <c r="G45" s="191">
        <v>5</v>
      </c>
      <c r="H45" s="190" t="s">
        <v>186</v>
      </c>
      <c r="I45" s="194">
        <v>5.3</v>
      </c>
      <c r="J45" s="193" t="s">
        <v>194</v>
      </c>
      <c r="K45" s="194" t="s">
        <v>195</v>
      </c>
      <c r="L45" s="37" t="s">
        <v>194</v>
      </c>
      <c r="M45" s="37" t="s">
        <v>819</v>
      </c>
      <c r="N45" s="38" t="s">
        <v>145</v>
      </c>
      <c r="O45" s="192" t="s">
        <v>95</v>
      </c>
      <c r="P45">
        <v>15</v>
      </c>
    </row>
    <row r="46" spans="1:16" x14ac:dyDescent="0.3">
      <c r="A46" s="192">
        <v>2</v>
      </c>
      <c r="B46" s="193" t="s">
        <v>185</v>
      </c>
      <c r="C46" s="194">
        <v>2.1</v>
      </c>
      <c r="D46" s="193" t="s">
        <v>185</v>
      </c>
      <c r="E46" s="190"/>
      <c r="F46" s="190"/>
      <c r="G46" s="191">
        <v>5</v>
      </c>
      <c r="H46" s="190" t="s">
        <v>186</v>
      </c>
      <c r="I46" s="194">
        <v>5.4</v>
      </c>
      <c r="J46" s="193" t="s">
        <v>196</v>
      </c>
      <c r="K46" s="194" t="s">
        <v>197</v>
      </c>
      <c r="L46" s="37" t="s">
        <v>198</v>
      </c>
      <c r="M46" s="37" t="s">
        <v>819</v>
      </c>
      <c r="N46" s="38" t="s">
        <v>145</v>
      </c>
      <c r="O46" s="192" t="s">
        <v>95</v>
      </c>
      <c r="P46">
        <v>15</v>
      </c>
    </row>
    <row r="47" spans="1:16" x14ac:dyDescent="0.3">
      <c r="A47" s="192">
        <v>2</v>
      </c>
      <c r="B47" s="193" t="s">
        <v>185</v>
      </c>
      <c r="C47" s="194">
        <v>2.1</v>
      </c>
      <c r="D47" s="193" t="s">
        <v>185</v>
      </c>
      <c r="E47" s="190"/>
      <c r="F47" s="190"/>
      <c r="G47" s="191">
        <v>5</v>
      </c>
      <c r="H47" s="190" t="s">
        <v>186</v>
      </c>
      <c r="I47" s="194">
        <v>5.4</v>
      </c>
      <c r="J47" s="193" t="s">
        <v>196</v>
      </c>
      <c r="K47" s="194" t="s">
        <v>199</v>
      </c>
      <c r="L47" s="37" t="s">
        <v>200</v>
      </c>
      <c r="M47" s="37" t="s">
        <v>819</v>
      </c>
      <c r="N47" s="38" t="s">
        <v>145</v>
      </c>
      <c r="O47" s="192" t="s">
        <v>95</v>
      </c>
      <c r="P47">
        <v>15</v>
      </c>
    </row>
    <row r="48" spans="1:16" x14ac:dyDescent="0.3">
      <c r="A48" s="192">
        <v>2</v>
      </c>
      <c r="B48" s="193" t="s">
        <v>185</v>
      </c>
      <c r="C48" s="194">
        <v>2.1</v>
      </c>
      <c r="D48" s="193" t="s">
        <v>185</v>
      </c>
      <c r="E48" s="190"/>
      <c r="F48" s="190"/>
      <c r="G48" s="191">
        <v>5</v>
      </c>
      <c r="H48" s="190" t="s">
        <v>186</v>
      </c>
      <c r="I48" s="194">
        <v>5.5</v>
      </c>
      <c r="J48" s="193" t="s">
        <v>201</v>
      </c>
      <c r="K48" s="194" t="s">
        <v>202</v>
      </c>
      <c r="L48" s="37" t="s">
        <v>201</v>
      </c>
      <c r="M48" s="37" t="s">
        <v>819</v>
      </c>
      <c r="N48" s="38" t="s">
        <v>145</v>
      </c>
      <c r="O48" s="192" t="s">
        <v>95</v>
      </c>
      <c r="P48">
        <v>15</v>
      </c>
    </row>
    <row r="49" spans="1:16" x14ac:dyDescent="0.3">
      <c r="A49" s="192">
        <v>2</v>
      </c>
      <c r="B49" s="193" t="s">
        <v>185</v>
      </c>
      <c r="C49" s="194">
        <v>2.1</v>
      </c>
      <c r="D49" s="193" t="s">
        <v>185</v>
      </c>
      <c r="E49" s="190"/>
      <c r="F49" s="190"/>
      <c r="G49" s="191">
        <v>5</v>
      </c>
      <c r="H49" s="190" t="s">
        <v>186</v>
      </c>
      <c r="I49" s="194">
        <v>5.6</v>
      </c>
      <c r="J49" s="193" t="s">
        <v>203</v>
      </c>
      <c r="K49" s="194" t="s">
        <v>204</v>
      </c>
      <c r="L49" s="37" t="s">
        <v>203</v>
      </c>
      <c r="M49" s="37" t="s">
        <v>819</v>
      </c>
      <c r="N49" s="38" t="s">
        <v>145</v>
      </c>
      <c r="O49" s="192" t="s">
        <v>95</v>
      </c>
      <c r="P49">
        <v>15</v>
      </c>
    </row>
    <row r="50" spans="1:16" x14ac:dyDescent="0.3">
      <c r="A50" s="192">
        <v>2</v>
      </c>
      <c r="B50" s="193" t="s">
        <v>185</v>
      </c>
      <c r="C50" s="194">
        <v>2.1</v>
      </c>
      <c r="D50" s="193" t="s">
        <v>185</v>
      </c>
      <c r="E50" s="190"/>
      <c r="F50" s="190"/>
      <c r="G50" s="191">
        <v>5</v>
      </c>
      <c r="H50" s="190" t="s">
        <v>186</v>
      </c>
      <c r="I50" s="194">
        <v>5.7</v>
      </c>
      <c r="J50" s="193" t="s">
        <v>837</v>
      </c>
      <c r="K50" s="194" t="s">
        <v>838</v>
      </c>
      <c r="L50" s="37" t="s">
        <v>837</v>
      </c>
      <c r="M50" s="37" t="s">
        <v>819</v>
      </c>
      <c r="N50" s="38" t="s">
        <v>156</v>
      </c>
      <c r="O50" s="192" t="s">
        <v>95</v>
      </c>
      <c r="P50">
        <v>30</v>
      </c>
    </row>
    <row r="51" spans="1:16" x14ac:dyDescent="0.3">
      <c r="A51" s="192">
        <v>2</v>
      </c>
      <c r="B51" s="193" t="s">
        <v>185</v>
      </c>
      <c r="C51" s="194">
        <v>2.1</v>
      </c>
      <c r="D51" s="193" t="s">
        <v>185</v>
      </c>
      <c r="E51" s="190"/>
      <c r="F51" s="190"/>
      <c r="G51" s="191">
        <v>6</v>
      </c>
      <c r="H51" s="190" t="s">
        <v>205</v>
      </c>
      <c r="I51" s="194">
        <v>6.1</v>
      </c>
      <c r="J51" s="193" t="s">
        <v>206</v>
      </c>
      <c r="K51" s="194" t="s">
        <v>207</v>
      </c>
      <c r="L51" s="37" t="s">
        <v>166</v>
      </c>
      <c r="M51" s="37" t="s">
        <v>821</v>
      </c>
      <c r="N51" s="195" t="s">
        <v>168</v>
      </c>
      <c r="O51" s="192" t="s">
        <v>169</v>
      </c>
      <c r="P51">
        <v>1</v>
      </c>
    </row>
    <row r="52" spans="1:16" x14ac:dyDescent="0.3">
      <c r="A52" s="192">
        <v>2</v>
      </c>
      <c r="B52" s="193" t="s">
        <v>185</v>
      </c>
      <c r="C52" s="194">
        <v>2.1</v>
      </c>
      <c r="D52" s="193" t="s">
        <v>185</v>
      </c>
      <c r="E52" s="190"/>
      <c r="F52" s="190"/>
      <c r="G52" s="191">
        <v>6</v>
      </c>
      <c r="H52" s="190" t="s">
        <v>205</v>
      </c>
      <c r="I52" s="194">
        <v>6.1</v>
      </c>
      <c r="J52" s="193" t="s">
        <v>206</v>
      </c>
      <c r="K52" s="194" t="s">
        <v>208</v>
      </c>
      <c r="L52" s="37" t="s">
        <v>175</v>
      </c>
      <c r="M52" s="37" t="s">
        <v>821</v>
      </c>
      <c r="N52" s="195" t="s">
        <v>168</v>
      </c>
      <c r="O52" s="192" t="s">
        <v>169</v>
      </c>
      <c r="P52">
        <v>1</v>
      </c>
    </row>
    <row r="53" spans="1:16" x14ac:dyDescent="0.3">
      <c r="A53" s="192">
        <v>2</v>
      </c>
      <c r="B53" s="193" t="s">
        <v>185</v>
      </c>
      <c r="C53" s="194">
        <v>2.1</v>
      </c>
      <c r="D53" s="193" t="s">
        <v>185</v>
      </c>
      <c r="E53" s="190"/>
      <c r="F53" s="190"/>
      <c r="G53" s="191">
        <v>6</v>
      </c>
      <c r="H53" s="190" t="s">
        <v>205</v>
      </c>
      <c r="I53" s="194">
        <v>6.2</v>
      </c>
      <c r="J53" s="193" t="s">
        <v>209</v>
      </c>
      <c r="K53" s="194" t="s">
        <v>210</v>
      </c>
      <c r="L53" s="37" t="s">
        <v>182</v>
      </c>
      <c r="M53" s="37" t="s">
        <v>821</v>
      </c>
      <c r="N53" s="195" t="s">
        <v>168</v>
      </c>
      <c r="O53" s="192" t="s">
        <v>169</v>
      </c>
      <c r="P53">
        <v>1</v>
      </c>
    </row>
    <row r="54" spans="1:16" ht="20.399999999999999" x14ac:dyDescent="0.3">
      <c r="A54" s="192">
        <v>3</v>
      </c>
      <c r="B54" s="193" t="s">
        <v>211</v>
      </c>
      <c r="C54" s="194">
        <v>3.1</v>
      </c>
      <c r="D54" s="193" t="s">
        <v>212</v>
      </c>
      <c r="E54" s="193"/>
      <c r="F54" s="193"/>
      <c r="G54" s="194">
        <v>7</v>
      </c>
      <c r="H54" s="193" t="s">
        <v>212</v>
      </c>
      <c r="I54" s="194">
        <v>7.1</v>
      </c>
      <c r="J54" s="193" t="s">
        <v>213</v>
      </c>
      <c r="K54" s="194" t="s">
        <v>214</v>
      </c>
      <c r="L54" s="37" t="s">
        <v>215</v>
      </c>
      <c r="M54" s="37" t="s">
        <v>190</v>
      </c>
      <c r="N54" s="39" t="s">
        <v>191</v>
      </c>
      <c r="O54" s="192" t="s">
        <v>216</v>
      </c>
      <c r="P54">
        <v>1.5</v>
      </c>
    </row>
    <row r="55" spans="1:16" ht="20.399999999999999" x14ac:dyDescent="0.3">
      <c r="A55" s="192">
        <v>3</v>
      </c>
      <c r="B55" s="193" t="s">
        <v>211</v>
      </c>
      <c r="C55" s="194">
        <v>3.1</v>
      </c>
      <c r="D55" s="193" t="s">
        <v>212</v>
      </c>
      <c r="E55" s="193"/>
      <c r="F55" s="193"/>
      <c r="G55" s="194">
        <v>7</v>
      </c>
      <c r="H55" s="193" t="s">
        <v>212</v>
      </c>
      <c r="I55" s="194">
        <v>7.2</v>
      </c>
      <c r="J55" s="193" t="s">
        <v>217</v>
      </c>
      <c r="K55" s="194" t="s">
        <v>218</v>
      </c>
      <c r="L55" s="37" t="s">
        <v>217</v>
      </c>
      <c r="M55" s="37" t="s">
        <v>190</v>
      </c>
      <c r="N55" s="38" t="s">
        <v>191</v>
      </c>
      <c r="O55" s="192" t="s">
        <v>216</v>
      </c>
      <c r="P55">
        <v>2.5</v>
      </c>
    </row>
    <row r="56" spans="1:16" ht="20.399999999999999" x14ac:dyDescent="0.3">
      <c r="A56" s="192">
        <v>3</v>
      </c>
      <c r="B56" s="193" t="s">
        <v>211</v>
      </c>
      <c r="C56" s="194">
        <v>3.1</v>
      </c>
      <c r="D56" s="193" t="s">
        <v>212</v>
      </c>
      <c r="E56" s="193"/>
      <c r="F56" s="193"/>
      <c r="G56" s="194">
        <v>7</v>
      </c>
      <c r="H56" s="193" t="s">
        <v>212</v>
      </c>
      <c r="I56" s="194">
        <v>7.3</v>
      </c>
      <c r="J56" s="193" t="s">
        <v>219</v>
      </c>
      <c r="K56" s="194" t="s">
        <v>220</v>
      </c>
      <c r="L56" s="37" t="s">
        <v>221</v>
      </c>
      <c r="M56" s="37" t="s">
        <v>190</v>
      </c>
      <c r="N56" s="38" t="s">
        <v>191</v>
      </c>
      <c r="O56" s="192" t="s">
        <v>216</v>
      </c>
      <c r="P56">
        <v>1.5</v>
      </c>
    </row>
    <row r="57" spans="1:16" ht="20.399999999999999" x14ac:dyDescent="0.3">
      <c r="A57" s="192">
        <v>3</v>
      </c>
      <c r="B57" s="193" t="s">
        <v>211</v>
      </c>
      <c r="C57" s="194">
        <v>3.1</v>
      </c>
      <c r="D57" s="193" t="s">
        <v>212</v>
      </c>
      <c r="E57" s="193"/>
      <c r="F57" s="193"/>
      <c r="G57" s="194">
        <v>7</v>
      </c>
      <c r="H57" s="193" t="s">
        <v>212</v>
      </c>
      <c r="I57" s="194">
        <v>7.3</v>
      </c>
      <c r="J57" s="193" t="s">
        <v>219</v>
      </c>
      <c r="K57" s="194" t="s">
        <v>222</v>
      </c>
      <c r="L57" s="37" t="s">
        <v>223</v>
      </c>
      <c r="M57" s="37" t="s">
        <v>190</v>
      </c>
      <c r="N57" s="38" t="s">
        <v>191</v>
      </c>
      <c r="O57" s="192" t="s">
        <v>216</v>
      </c>
      <c r="P57">
        <v>1.5</v>
      </c>
    </row>
    <row r="58" spans="1:16" ht="20.399999999999999" x14ac:dyDescent="0.3">
      <c r="A58" s="192">
        <v>3</v>
      </c>
      <c r="B58" s="193" t="s">
        <v>211</v>
      </c>
      <c r="C58" s="194">
        <v>3.1</v>
      </c>
      <c r="D58" s="193" t="s">
        <v>212</v>
      </c>
      <c r="E58" s="193"/>
      <c r="F58" s="193"/>
      <c r="G58" s="194">
        <v>7</v>
      </c>
      <c r="H58" s="193" t="s">
        <v>212</v>
      </c>
      <c r="I58" s="194">
        <v>7.4</v>
      </c>
      <c r="J58" s="193" t="s">
        <v>224</v>
      </c>
      <c r="K58" s="194" t="s">
        <v>225</v>
      </c>
      <c r="L58" s="37" t="s">
        <v>226</v>
      </c>
      <c r="M58" s="37" t="s">
        <v>190</v>
      </c>
      <c r="N58" s="38" t="s">
        <v>191</v>
      </c>
      <c r="O58" s="192" t="s">
        <v>216</v>
      </c>
      <c r="P58">
        <v>1.5</v>
      </c>
    </row>
    <row r="59" spans="1:16" ht="20.399999999999999" x14ac:dyDescent="0.3">
      <c r="A59" s="192">
        <v>3</v>
      </c>
      <c r="B59" s="193" t="s">
        <v>211</v>
      </c>
      <c r="C59" s="194">
        <v>3.2</v>
      </c>
      <c r="D59" s="193" t="s">
        <v>227</v>
      </c>
      <c r="E59" s="193"/>
      <c r="F59" s="193"/>
      <c r="G59" s="194">
        <v>8</v>
      </c>
      <c r="H59" s="193" t="s">
        <v>227</v>
      </c>
      <c r="I59" s="194">
        <v>8.1</v>
      </c>
      <c r="J59" s="193" t="s">
        <v>228</v>
      </c>
      <c r="K59" s="194" t="s">
        <v>229</v>
      </c>
      <c r="L59" s="37" t="s">
        <v>230</v>
      </c>
      <c r="M59" s="37" t="s">
        <v>190</v>
      </c>
      <c r="N59" s="38" t="s">
        <v>191</v>
      </c>
      <c r="O59" s="192" t="s">
        <v>216</v>
      </c>
      <c r="P59">
        <v>1</v>
      </c>
    </row>
    <row r="60" spans="1:16" ht="20.399999999999999" x14ac:dyDescent="0.3">
      <c r="A60" s="192">
        <v>3</v>
      </c>
      <c r="B60" s="193" t="s">
        <v>211</v>
      </c>
      <c r="C60" s="194">
        <v>3.2</v>
      </c>
      <c r="D60" s="193" t="s">
        <v>227</v>
      </c>
      <c r="E60" s="193"/>
      <c r="F60" s="193"/>
      <c r="G60" s="194">
        <v>8</v>
      </c>
      <c r="H60" s="193" t="s">
        <v>227</v>
      </c>
      <c r="I60" s="194">
        <v>8.1</v>
      </c>
      <c r="J60" s="193" t="s">
        <v>228</v>
      </c>
      <c r="K60" s="194" t="s">
        <v>231</v>
      </c>
      <c r="L60" s="37" t="s">
        <v>232</v>
      </c>
      <c r="M60" s="37" t="s">
        <v>190</v>
      </c>
      <c r="N60" s="38" t="s">
        <v>191</v>
      </c>
      <c r="O60" s="192" t="s">
        <v>216</v>
      </c>
      <c r="P60">
        <v>1</v>
      </c>
    </row>
    <row r="61" spans="1:16" ht="20.399999999999999" x14ac:dyDescent="0.3">
      <c r="A61" s="192">
        <v>3</v>
      </c>
      <c r="B61" s="193" t="s">
        <v>211</v>
      </c>
      <c r="C61" s="194">
        <v>3.2</v>
      </c>
      <c r="D61" s="193" t="s">
        <v>227</v>
      </c>
      <c r="E61" s="193"/>
      <c r="F61" s="193"/>
      <c r="G61" s="194">
        <v>8</v>
      </c>
      <c r="H61" s="193" t="s">
        <v>227</v>
      </c>
      <c r="I61" s="194">
        <v>8.1999999999999993</v>
      </c>
      <c r="J61" s="193" t="s">
        <v>233</v>
      </c>
      <c r="K61" s="194" t="s">
        <v>234</v>
      </c>
      <c r="L61" s="37" t="s">
        <v>235</v>
      </c>
      <c r="M61" s="37" t="s">
        <v>190</v>
      </c>
      <c r="N61" s="38" t="s">
        <v>191</v>
      </c>
      <c r="O61" s="192" t="s">
        <v>216</v>
      </c>
      <c r="P61">
        <v>1</v>
      </c>
    </row>
    <row r="62" spans="1:16" ht="20.399999999999999" x14ac:dyDescent="0.3">
      <c r="A62" s="192">
        <v>3</v>
      </c>
      <c r="B62" s="193" t="s">
        <v>211</v>
      </c>
      <c r="C62" s="194">
        <v>3.2</v>
      </c>
      <c r="D62" s="193" t="s">
        <v>227</v>
      </c>
      <c r="E62" s="193"/>
      <c r="F62" s="193"/>
      <c r="G62" s="194">
        <v>8</v>
      </c>
      <c r="H62" s="193" t="s">
        <v>227</v>
      </c>
      <c r="I62" s="194">
        <v>8.3000000000000007</v>
      </c>
      <c r="J62" s="193" t="s">
        <v>236</v>
      </c>
      <c r="K62" s="194" t="s">
        <v>237</v>
      </c>
      <c r="L62" s="37" t="s">
        <v>238</v>
      </c>
      <c r="M62" s="37" t="s">
        <v>190</v>
      </c>
      <c r="N62" s="38" t="s">
        <v>191</v>
      </c>
      <c r="O62" s="192" t="s">
        <v>216</v>
      </c>
      <c r="P62">
        <v>1</v>
      </c>
    </row>
    <row r="63" spans="1:16" ht="20.399999999999999" x14ac:dyDescent="0.3">
      <c r="A63" s="192">
        <v>3</v>
      </c>
      <c r="B63" s="193" t="s">
        <v>211</v>
      </c>
      <c r="C63" s="194">
        <v>3.2</v>
      </c>
      <c r="D63" s="193" t="s">
        <v>227</v>
      </c>
      <c r="E63" s="193"/>
      <c r="F63" s="193"/>
      <c r="G63" s="194">
        <v>8</v>
      </c>
      <c r="H63" s="193" t="s">
        <v>227</v>
      </c>
      <c r="I63" s="194">
        <v>8.3000000000000007</v>
      </c>
      <c r="J63" s="193" t="s">
        <v>236</v>
      </c>
      <c r="K63" s="194" t="s">
        <v>239</v>
      </c>
      <c r="L63" s="37" t="s">
        <v>240</v>
      </c>
      <c r="M63" s="37" t="s">
        <v>190</v>
      </c>
      <c r="N63" s="38" t="s">
        <v>191</v>
      </c>
      <c r="O63" s="192" t="s">
        <v>216</v>
      </c>
      <c r="P63">
        <v>1</v>
      </c>
    </row>
    <row r="64" spans="1:16" ht="20.399999999999999" x14ac:dyDescent="0.3">
      <c r="A64" s="192">
        <v>3</v>
      </c>
      <c r="B64" s="193" t="s">
        <v>211</v>
      </c>
      <c r="C64" s="194">
        <v>3.2</v>
      </c>
      <c r="D64" s="193" t="s">
        <v>227</v>
      </c>
      <c r="E64" s="193"/>
      <c r="F64" s="193"/>
      <c r="G64" s="194">
        <v>8</v>
      </c>
      <c r="H64" s="193" t="s">
        <v>227</v>
      </c>
      <c r="I64" s="194">
        <v>8.4</v>
      </c>
      <c r="J64" s="193" t="s">
        <v>241</v>
      </c>
      <c r="K64" s="194" t="s">
        <v>242</v>
      </c>
      <c r="L64" s="37" t="s">
        <v>241</v>
      </c>
      <c r="M64" s="37" t="s">
        <v>190</v>
      </c>
      <c r="N64" s="38" t="s">
        <v>243</v>
      </c>
      <c r="O64" s="192" t="s">
        <v>216</v>
      </c>
      <c r="P64">
        <v>3.5</v>
      </c>
    </row>
    <row r="65" spans="1:16" ht="20.399999999999999" x14ac:dyDescent="0.3">
      <c r="A65" s="192">
        <v>3</v>
      </c>
      <c r="B65" s="193" t="s">
        <v>211</v>
      </c>
      <c r="C65" s="194">
        <v>3.2</v>
      </c>
      <c r="D65" s="193" t="s">
        <v>227</v>
      </c>
      <c r="E65" s="193"/>
      <c r="F65" s="193"/>
      <c r="G65" s="194">
        <v>8</v>
      </c>
      <c r="H65" s="193" t="s">
        <v>227</v>
      </c>
      <c r="I65" s="194">
        <v>8.4</v>
      </c>
      <c r="J65" s="193" t="s">
        <v>241</v>
      </c>
      <c r="K65" s="194" t="s">
        <v>244</v>
      </c>
      <c r="L65" s="37" t="s">
        <v>245</v>
      </c>
      <c r="M65" s="37" t="s">
        <v>190</v>
      </c>
      <c r="N65" s="38" t="s">
        <v>243</v>
      </c>
      <c r="O65" s="192" t="s">
        <v>216</v>
      </c>
      <c r="P65">
        <v>3.5</v>
      </c>
    </row>
    <row r="66" spans="1:16" ht="20.399999999999999" x14ac:dyDescent="0.3">
      <c r="A66" s="192">
        <v>3</v>
      </c>
      <c r="B66" s="193" t="s">
        <v>211</v>
      </c>
      <c r="C66" s="194">
        <v>3.1</v>
      </c>
      <c r="D66" s="193" t="s">
        <v>227</v>
      </c>
      <c r="E66" s="193"/>
      <c r="F66" s="193"/>
      <c r="G66" s="194">
        <v>8</v>
      </c>
      <c r="H66" s="193" t="s">
        <v>227</v>
      </c>
      <c r="I66" s="194">
        <v>8.6999999999999993</v>
      </c>
      <c r="J66" s="193" t="s">
        <v>246</v>
      </c>
      <c r="K66" s="194" t="s">
        <v>247</v>
      </c>
      <c r="L66" s="37" t="s">
        <v>248</v>
      </c>
      <c r="M66" s="37" t="s">
        <v>190</v>
      </c>
      <c r="N66" s="38" t="s">
        <v>191</v>
      </c>
      <c r="O66" s="192" t="s">
        <v>216</v>
      </c>
      <c r="P66">
        <v>15</v>
      </c>
    </row>
    <row r="67" spans="1:16" ht="20.399999999999999" x14ac:dyDescent="0.3">
      <c r="A67" s="192">
        <v>3</v>
      </c>
      <c r="B67" s="193" t="s">
        <v>211</v>
      </c>
      <c r="C67" s="194">
        <v>3.1</v>
      </c>
      <c r="D67" s="193" t="s">
        <v>227</v>
      </c>
      <c r="E67" s="193"/>
      <c r="F67" s="193"/>
      <c r="G67" s="194">
        <v>8</v>
      </c>
      <c r="H67" s="193" t="s">
        <v>227</v>
      </c>
      <c r="I67" s="194">
        <v>8.6999999999999993</v>
      </c>
      <c r="J67" s="193" t="s">
        <v>246</v>
      </c>
      <c r="K67" s="194" t="s">
        <v>249</v>
      </c>
      <c r="L67" s="37" t="s">
        <v>250</v>
      </c>
      <c r="M67" s="37" t="s">
        <v>190</v>
      </c>
      <c r="N67" s="38" t="s">
        <v>191</v>
      </c>
      <c r="O67" s="192" t="s">
        <v>216</v>
      </c>
      <c r="P67">
        <v>15</v>
      </c>
    </row>
    <row r="68" spans="1:16" ht="20.399999999999999" x14ac:dyDescent="0.3">
      <c r="A68" s="192">
        <v>3</v>
      </c>
      <c r="B68" s="193" t="s">
        <v>211</v>
      </c>
      <c r="C68" s="194">
        <v>3.1</v>
      </c>
      <c r="D68" s="193" t="s">
        <v>227</v>
      </c>
      <c r="E68" s="193"/>
      <c r="F68" s="193"/>
      <c r="G68" s="194">
        <v>8</v>
      </c>
      <c r="H68" s="193" t="s">
        <v>227</v>
      </c>
      <c r="I68" s="194">
        <v>8.6999999999999993</v>
      </c>
      <c r="J68" s="193" t="s">
        <v>246</v>
      </c>
      <c r="K68" s="194" t="s">
        <v>251</v>
      </c>
      <c r="L68" s="37" t="s">
        <v>252</v>
      </c>
      <c r="M68" s="37" t="s">
        <v>190</v>
      </c>
      <c r="N68" s="38" t="s">
        <v>191</v>
      </c>
      <c r="O68" s="192" t="s">
        <v>216</v>
      </c>
      <c r="P68">
        <v>15</v>
      </c>
    </row>
    <row r="69" spans="1:16" ht="20.399999999999999" x14ac:dyDescent="0.3">
      <c r="A69" s="192">
        <v>3</v>
      </c>
      <c r="B69" s="193" t="s">
        <v>211</v>
      </c>
      <c r="C69" s="194">
        <v>3.1</v>
      </c>
      <c r="D69" s="193" t="s">
        <v>227</v>
      </c>
      <c r="E69" s="193"/>
      <c r="F69" s="193"/>
      <c r="G69" s="194">
        <v>8</v>
      </c>
      <c r="H69" s="193" t="s">
        <v>227</v>
      </c>
      <c r="I69" s="194">
        <v>8.6999999999999993</v>
      </c>
      <c r="J69" s="193" t="s">
        <v>246</v>
      </c>
      <c r="K69" s="194" t="s">
        <v>253</v>
      </c>
      <c r="L69" s="37" t="s">
        <v>254</v>
      </c>
      <c r="M69" s="37" t="s">
        <v>190</v>
      </c>
      <c r="N69" s="38" t="s">
        <v>191</v>
      </c>
      <c r="O69" s="192" t="s">
        <v>216</v>
      </c>
      <c r="P69">
        <v>15</v>
      </c>
    </row>
    <row r="70" spans="1:16" ht="20.399999999999999" x14ac:dyDescent="0.3">
      <c r="A70" s="192">
        <v>3</v>
      </c>
      <c r="B70" s="193" t="s">
        <v>211</v>
      </c>
      <c r="C70" s="194">
        <v>3.1</v>
      </c>
      <c r="D70" s="193" t="s">
        <v>227</v>
      </c>
      <c r="E70" s="193"/>
      <c r="F70" s="193"/>
      <c r="G70" s="194">
        <v>8</v>
      </c>
      <c r="H70" s="193" t="s">
        <v>227</v>
      </c>
      <c r="I70" s="194">
        <v>8.8000000000000007</v>
      </c>
      <c r="J70" s="193" t="s">
        <v>255</v>
      </c>
      <c r="K70" s="194" t="s">
        <v>256</v>
      </c>
      <c r="L70" s="37" t="s">
        <v>257</v>
      </c>
      <c r="M70" s="37" t="s">
        <v>190</v>
      </c>
      <c r="N70" s="38" t="s">
        <v>243</v>
      </c>
      <c r="O70" s="192" t="s">
        <v>216</v>
      </c>
      <c r="P70">
        <v>15</v>
      </c>
    </row>
    <row r="71" spans="1:16" ht="20.399999999999999" x14ac:dyDescent="0.3">
      <c r="A71" s="192">
        <v>3</v>
      </c>
      <c r="B71" s="193" t="s">
        <v>211</v>
      </c>
      <c r="C71" s="194">
        <v>3.1</v>
      </c>
      <c r="D71" s="193" t="s">
        <v>227</v>
      </c>
      <c r="E71" s="193"/>
      <c r="F71" s="193"/>
      <c r="G71" s="194">
        <v>8</v>
      </c>
      <c r="H71" s="193" t="s">
        <v>227</v>
      </c>
      <c r="I71" s="194">
        <v>8.8000000000000007</v>
      </c>
      <c r="J71" s="193" t="s">
        <v>255</v>
      </c>
      <c r="K71" s="194" t="s">
        <v>258</v>
      </c>
      <c r="L71" s="37" t="s">
        <v>259</v>
      </c>
      <c r="M71" s="37" t="s">
        <v>190</v>
      </c>
      <c r="N71" s="38" t="s">
        <v>243</v>
      </c>
      <c r="O71" s="192" t="s">
        <v>216</v>
      </c>
      <c r="P71">
        <v>15</v>
      </c>
    </row>
    <row r="72" spans="1:16" ht="20.399999999999999" x14ac:dyDescent="0.3">
      <c r="A72" s="192">
        <v>3</v>
      </c>
      <c r="B72" s="193" t="s">
        <v>211</v>
      </c>
      <c r="C72" s="194">
        <v>3.1</v>
      </c>
      <c r="D72" s="193" t="s">
        <v>227</v>
      </c>
      <c r="E72" s="193"/>
      <c r="F72" s="193"/>
      <c r="G72" s="194">
        <v>8</v>
      </c>
      <c r="H72" s="193" t="s">
        <v>227</v>
      </c>
      <c r="I72" s="194">
        <v>8.8000000000000007</v>
      </c>
      <c r="J72" s="193" t="s">
        <v>255</v>
      </c>
      <c r="K72" s="194" t="s">
        <v>260</v>
      </c>
      <c r="L72" s="37" t="s">
        <v>261</v>
      </c>
      <c r="M72" s="37" t="s">
        <v>190</v>
      </c>
      <c r="N72" s="38" t="s">
        <v>243</v>
      </c>
      <c r="O72" s="192" t="s">
        <v>216</v>
      </c>
      <c r="P72">
        <v>15</v>
      </c>
    </row>
    <row r="73" spans="1:16" ht="20.399999999999999" x14ac:dyDescent="0.3">
      <c r="A73" s="192">
        <v>4</v>
      </c>
      <c r="B73" s="193" t="s">
        <v>262</v>
      </c>
      <c r="C73" s="194">
        <v>4.0999999999999996</v>
      </c>
      <c r="D73" s="193" t="s">
        <v>263</v>
      </c>
      <c r="E73" s="193"/>
      <c r="F73" s="193"/>
      <c r="G73" s="194">
        <v>9</v>
      </c>
      <c r="H73" s="193" t="s">
        <v>264</v>
      </c>
      <c r="I73" s="194">
        <v>9.1</v>
      </c>
      <c r="J73" s="193" t="s">
        <v>264</v>
      </c>
      <c r="K73" s="194" t="s">
        <v>265</v>
      </c>
      <c r="L73" s="37" t="s">
        <v>264</v>
      </c>
      <c r="M73" s="37" t="s">
        <v>266</v>
      </c>
      <c r="N73" s="38" t="s">
        <v>267</v>
      </c>
      <c r="O73" s="192" t="s">
        <v>268</v>
      </c>
      <c r="P73">
        <v>7.5</v>
      </c>
    </row>
    <row r="74" spans="1:16" x14ac:dyDescent="0.3">
      <c r="A74" s="192">
        <v>5</v>
      </c>
      <c r="B74" s="193" t="s">
        <v>269</v>
      </c>
      <c r="C74" s="194">
        <v>5.0999999999999996</v>
      </c>
      <c r="D74" s="193" t="s">
        <v>269</v>
      </c>
      <c r="E74" s="196"/>
      <c r="F74" s="196"/>
      <c r="G74" s="194">
        <v>10</v>
      </c>
      <c r="H74" s="193" t="s">
        <v>270</v>
      </c>
      <c r="I74" s="194">
        <v>10.1</v>
      </c>
      <c r="J74" s="193" t="s">
        <v>839</v>
      </c>
      <c r="K74" s="194" t="s">
        <v>272</v>
      </c>
      <c r="L74" s="37" t="s">
        <v>273</v>
      </c>
      <c r="M74" s="37" t="s">
        <v>819</v>
      </c>
      <c r="N74" s="38" t="s">
        <v>274</v>
      </c>
      <c r="O74" s="192" t="s">
        <v>270</v>
      </c>
      <c r="P74">
        <v>15</v>
      </c>
    </row>
    <row r="75" spans="1:16" x14ac:dyDescent="0.3">
      <c r="A75" s="192">
        <v>5</v>
      </c>
      <c r="B75" s="193" t="s">
        <v>269</v>
      </c>
      <c r="C75" s="194">
        <v>5.0999999999999996</v>
      </c>
      <c r="D75" s="193" t="s">
        <v>269</v>
      </c>
      <c r="E75" s="196"/>
      <c r="F75" s="196"/>
      <c r="G75" s="194">
        <v>10</v>
      </c>
      <c r="H75" s="193" t="s">
        <v>270</v>
      </c>
      <c r="I75" s="194">
        <v>10.1</v>
      </c>
      <c r="J75" s="193" t="s">
        <v>839</v>
      </c>
      <c r="K75" s="194" t="s">
        <v>275</v>
      </c>
      <c r="L75" s="37" t="s">
        <v>276</v>
      </c>
      <c r="M75" s="37" t="s">
        <v>819</v>
      </c>
      <c r="N75" s="38" t="s">
        <v>274</v>
      </c>
      <c r="O75" s="192" t="s">
        <v>270</v>
      </c>
      <c r="P75">
        <v>15</v>
      </c>
    </row>
    <row r="76" spans="1:16" x14ac:dyDescent="0.3">
      <c r="A76" s="192">
        <v>5</v>
      </c>
      <c r="B76" s="193" t="s">
        <v>269</v>
      </c>
      <c r="C76" s="194">
        <v>5.0999999999999996</v>
      </c>
      <c r="D76" s="193" t="s">
        <v>269</v>
      </c>
      <c r="E76" s="196"/>
      <c r="F76" s="196"/>
      <c r="G76" s="194">
        <v>10</v>
      </c>
      <c r="H76" s="193" t="s">
        <v>270</v>
      </c>
      <c r="I76" s="194">
        <v>10.1</v>
      </c>
      <c r="J76" s="193" t="s">
        <v>839</v>
      </c>
      <c r="K76" s="194" t="s">
        <v>277</v>
      </c>
      <c r="L76" s="37" t="s">
        <v>282</v>
      </c>
      <c r="M76" s="37" t="s">
        <v>819</v>
      </c>
      <c r="N76" s="38" t="s">
        <v>274</v>
      </c>
      <c r="O76" s="192" t="s">
        <v>270</v>
      </c>
      <c r="P76">
        <v>15</v>
      </c>
    </row>
    <row r="77" spans="1:16" x14ac:dyDescent="0.3">
      <c r="A77" s="192">
        <v>5</v>
      </c>
      <c r="B77" s="193" t="s">
        <v>269</v>
      </c>
      <c r="C77" s="194">
        <v>5.0999999999999996</v>
      </c>
      <c r="D77" s="193" t="s">
        <v>269</v>
      </c>
      <c r="E77" s="196"/>
      <c r="F77" s="196"/>
      <c r="G77" s="194">
        <v>10</v>
      </c>
      <c r="H77" s="193" t="s">
        <v>270</v>
      </c>
      <c r="I77" s="194">
        <v>10.1</v>
      </c>
      <c r="J77" s="193" t="s">
        <v>839</v>
      </c>
      <c r="K77" s="194" t="s">
        <v>840</v>
      </c>
      <c r="L77" s="37" t="s">
        <v>841</v>
      </c>
      <c r="M77" s="37" t="s">
        <v>819</v>
      </c>
      <c r="N77" s="38" t="s">
        <v>274</v>
      </c>
      <c r="O77" s="192" t="s">
        <v>270</v>
      </c>
      <c r="P77">
        <v>15</v>
      </c>
    </row>
    <row r="78" spans="1:16" x14ac:dyDescent="0.3">
      <c r="A78" s="192">
        <v>5</v>
      </c>
      <c r="B78" s="193" t="s">
        <v>269</v>
      </c>
      <c r="C78" s="194">
        <v>5.0999999999999996</v>
      </c>
      <c r="D78" s="193" t="s">
        <v>269</v>
      </c>
      <c r="E78" s="196"/>
      <c r="F78" s="196"/>
      <c r="G78" s="194">
        <v>10</v>
      </c>
      <c r="H78" s="193" t="s">
        <v>270</v>
      </c>
      <c r="I78" s="194">
        <v>10.1</v>
      </c>
      <c r="J78" s="193" t="s">
        <v>839</v>
      </c>
      <c r="K78" s="194" t="s">
        <v>279</v>
      </c>
      <c r="L78" s="37" t="s">
        <v>280</v>
      </c>
      <c r="M78" s="37" t="s">
        <v>819</v>
      </c>
      <c r="N78" s="38" t="s">
        <v>274</v>
      </c>
      <c r="O78" s="192" t="s">
        <v>270</v>
      </c>
      <c r="P78">
        <v>15</v>
      </c>
    </row>
    <row r="79" spans="1:16" x14ac:dyDescent="0.3">
      <c r="A79" s="192">
        <v>5</v>
      </c>
      <c r="B79" s="193" t="s">
        <v>269</v>
      </c>
      <c r="C79" s="194">
        <v>5.0999999999999996</v>
      </c>
      <c r="D79" s="193" t="s">
        <v>269</v>
      </c>
      <c r="E79" s="197"/>
      <c r="F79" s="197"/>
      <c r="G79" s="194">
        <v>10</v>
      </c>
      <c r="H79" s="193" t="s">
        <v>270</v>
      </c>
      <c r="I79" s="194">
        <v>10.1</v>
      </c>
      <c r="J79" s="193" t="s">
        <v>839</v>
      </c>
      <c r="K79" s="194" t="s">
        <v>281</v>
      </c>
      <c r="L79" s="37" t="s">
        <v>285</v>
      </c>
      <c r="M79" s="37" t="s">
        <v>819</v>
      </c>
      <c r="N79" s="38" t="s">
        <v>274</v>
      </c>
      <c r="O79" s="192" t="s">
        <v>270</v>
      </c>
      <c r="P79">
        <v>15</v>
      </c>
    </row>
    <row r="80" spans="1:16" x14ac:dyDescent="0.3">
      <c r="A80" s="192">
        <v>5</v>
      </c>
      <c r="B80" s="193" t="s">
        <v>269</v>
      </c>
      <c r="C80" s="194">
        <v>5.0999999999999996</v>
      </c>
      <c r="D80" s="193" t="s">
        <v>269</v>
      </c>
      <c r="E80" s="197"/>
      <c r="F80" s="197"/>
      <c r="G80" s="194">
        <v>10</v>
      </c>
      <c r="H80" s="193" t="s">
        <v>270</v>
      </c>
      <c r="I80" s="194">
        <v>10.199999999999999</v>
      </c>
      <c r="J80" s="193" t="s">
        <v>842</v>
      </c>
      <c r="K80" s="194" t="s">
        <v>283</v>
      </c>
      <c r="L80" s="37" t="s">
        <v>111</v>
      </c>
      <c r="M80" s="37" t="s">
        <v>819</v>
      </c>
      <c r="N80" s="38" t="s">
        <v>274</v>
      </c>
      <c r="O80" s="192" t="s">
        <v>270</v>
      </c>
      <c r="P80">
        <v>15</v>
      </c>
    </row>
    <row r="81" spans="1:16" x14ac:dyDescent="0.3">
      <c r="A81" s="192">
        <v>5</v>
      </c>
      <c r="B81" s="193" t="s">
        <v>269</v>
      </c>
      <c r="C81" s="194">
        <v>5.0999999999999996</v>
      </c>
      <c r="D81" s="193" t="s">
        <v>269</v>
      </c>
      <c r="E81" s="197"/>
      <c r="F81" s="197"/>
      <c r="G81" s="194">
        <v>10</v>
      </c>
      <c r="H81" s="193" t="s">
        <v>270</v>
      </c>
      <c r="I81" s="194">
        <v>10.199999999999999</v>
      </c>
      <c r="J81" s="193" t="s">
        <v>842</v>
      </c>
      <c r="K81" s="194" t="s">
        <v>284</v>
      </c>
      <c r="L81" s="37" t="s">
        <v>278</v>
      </c>
      <c r="M81" s="37" t="s">
        <v>819</v>
      </c>
      <c r="N81" s="38" t="s">
        <v>274</v>
      </c>
      <c r="O81" s="192" t="s">
        <v>270</v>
      </c>
      <c r="P81">
        <v>15</v>
      </c>
    </row>
    <row r="82" spans="1:16" ht="20.399999999999999" x14ac:dyDescent="0.3">
      <c r="A82" s="192">
        <v>6</v>
      </c>
      <c r="B82" s="193" t="s">
        <v>286</v>
      </c>
      <c r="C82" s="194">
        <v>6.1</v>
      </c>
      <c r="D82" s="193" t="s">
        <v>286</v>
      </c>
      <c r="E82" s="198"/>
      <c r="F82" s="198"/>
      <c r="G82" s="194">
        <v>11</v>
      </c>
      <c r="H82" s="198" t="s">
        <v>286</v>
      </c>
      <c r="I82" s="194">
        <v>11.1</v>
      </c>
      <c r="J82" s="193" t="s">
        <v>287</v>
      </c>
      <c r="K82" s="194" t="s">
        <v>288</v>
      </c>
      <c r="L82" s="37" t="s">
        <v>287</v>
      </c>
      <c r="M82" s="37" t="s">
        <v>289</v>
      </c>
      <c r="N82" s="38" t="s">
        <v>290</v>
      </c>
      <c r="O82" s="192" t="s">
        <v>291</v>
      </c>
      <c r="P82">
        <v>1</v>
      </c>
    </row>
    <row r="83" spans="1:16" ht="20.399999999999999" x14ac:dyDescent="0.3">
      <c r="A83" s="192">
        <v>6</v>
      </c>
      <c r="B83" s="193" t="s">
        <v>286</v>
      </c>
      <c r="C83" s="194">
        <v>6.1</v>
      </c>
      <c r="D83" s="193" t="s">
        <v>286</v>
      </c>
      <c r="E83" s="198"/>
      <c r="F83" s="198"/>
      <c r="G83" s="194">
        <v>11</v>
      </c>
      <c r="H83" s="198" t="s">
        <v>286</v>
      </c>
      <c r="I83" s="194">
        <v>11.2</v>
      </c>
      <c r="J83" s="193" t="s">
        <v>292</v>
      </c>
      <c r="K83" s="194" t="s">
        <v>293</v>
      </c>
      <c r="L83" s="37" t="s">
        <v>292</v>
      </c>
      <c r="M83" s="37" t="s">
        <v>294</v>
      </c>
      <c r="N83" s="38" t="s">
        <v>295</v>
      </c>
      <c r="O83" s="192" t="s">
        <v>291</v>
      </c>
      <c r="P83">
        <v>1</v>
      </c>
    </row>
    <row r="84" spans="1:16" ht="40.799999999999997" x14ac:dyDescent="0.3">
      <c r="A84" s="192">
        <v>6</v>
      </c>
      <c r="B84" s="193" t="s">
        <v>286</v>
      </c>
      <c r="C84" s="194">
        <v>6.1</v>
      </c>
      <c r="D84" s="193" t="s">
        <v>286</v>
      </c>
      <c r="E84" s="198"/>
      <c r="F84" s="198"/>
      <c r="G84" s="194">
        <v>11</v>
      </c>
      <c r="H84" s="198" t="s">
        <v>286</v>
      </c>
      <c r="I84" s="194">
        <v>11.3</v>
      </c>
      <c r="J84" s="193" t="s">
        <v>296</v>
      </c>
      <c r="K84" s="194" t="s">
        <v>297</v>
      </c>
      <c r="L84" s="193" t="s">
        <v>296</v>
      </c>
      <c r="M84" s="37" t="s">
        <v>298</v>
      </c>
      <c r="N84" s="38" t="s">
        <v>299</v>
      </c>
      <c r="O84" s="192" t="s">
        <v>291</v>
      </c>
      <c r="P84">
        <v>1</v>
      </c>
    </row>
    <row r="85" spans="1:16" ht="20.399999999999999" x14ac:dyDescent="0.3">
      <c r="A85" s="192">
        <v>6</v>
      </c>
      <c r="B85" s="193" t="s">
        <v>286</v>
      </c>
      <c r="C85" s="194">
        <v>6.1</v>
      </c>
      <c r="D85" s="193" t="s">
        <v>286</v>
      </c>
      <c r="E85" s="198"/>
      <c r="F85" s="198"/>
      <c r="G85" s="194">
        <v>11</v>
      </c>
      <c r="H85" s="198" t="s">
        <v>286</v>
      </c>
      <c r="I85" s="194">
        <v>11.4</v>
      </c>
      <c r="J85" s="193" t="s">
        <v>300</v>
      </c>
      <c r="K85" s="194" t="s">
        <v>301</v>
      </c>
      <c r="L85" s="37" t="s">
        <v>300</v>
      </c>
      <c r="M85" s="37" t="s">
        <v>302</v>
      </c>
      <c r="N85" s="38" t="s">
        <v>303</v>
      </c>
      <c r="O85" s="192" t="s">
        <v>291</v>
      </c>
      <c r="P85">
        <v>1</v>
      </c>
    </row>
    <row r="86" spans="1:16" ht="20.399999999999999" x14ac:dyDescent="0.3">
      <c r="A86" s="192">
        <v>6</v>
      </c>
      <c r="B86" s="193" t="s">
        <v>286</v>
      </c>
      <c r="C86" s="194">
        <v>6.1</v>
      </c>
      <c r="D86" s="193" t="s">
        <v>286</v>
      </c>
      <c r="E86" s="198"/>
      <c r="F86" s="198"/>
      <c r="G86" s="194">
        <v>11</v>
      </c>
      <c r="H86" s="198" t="s">
        <v>286</v>
      </c>
      <c r="I86" s="194">
        <v>11.5</v>
      </c>
      <c r="J86" s="193" t="s">
        <v>304</v>
      </c>
      <c r="K86" s="194" t="s">
        <v>305</v>
      </c>
      <c r="L86" s="37" t="s">
        <v>304</v>
      </c>
      <c r="M86" s="37" t="s">
        <v>306</v>
      </c>
      <c r="N86" s="38" t="s">
        <v>307</v>
      </c>
      <c r="O86" s="192" t="s">
        <v>291</v>
      </c>
      <c r="P86">
        <v>1</v>
      </c>
    </row>
    <row r="87" spans="1:16" ht="20.399999999999999" x14ac:dyDescent="0.3">
      <c r="A87" s="192">
        <v>6</v>
      </c>
      <c r="B87" s="199" t="s">
        <v>286</v>
      </c>
      <c r="C87" s="194">
        <v>6.1</v>
      </c>
      <c r="D87" s="193" t="s">
        <v>286</v>
      </c>
      <c r="E87" s="198"/>
      <c r="F87" s="198"/>
      <c r="G87" s="200">
        <v>11</v>
      </c>
      <c r="H87" s="196" t="s">
        <v>286</v>
      </c>
      <c r="I87" s="200">
        <v>11.6</v>
      </c>
      <c r="J87" s="199" t="s">
        <v>308</v>
      </c>
      <c r="K87" s="200" t="s">
        <v>309</v>
      </c>
      <c r="L87" s="201" t="s">
        <v>308</v>
      </c>
      <c r="M87" s="201" t="s">
        <v>266</v>
      </c>
      <c r="N87" s="195" t="s">
        <v>267</v>
      </c>
      <c r="O87" s="192" t="s">
        <v>310</v>
      </c>
      <c r="P87">
        <v>1</v>
      </c>
    </row>
    <row r="88" spans="1:16" ht="31.2" thickBot="1" x14ac:dyDescent="0.35">
      <c r="A88" s="202">
        <v>6</v>
      </c>
      <c r="B88" s="203" t="s">
        <v>286</v>
      </c>
      <c r="C88" s="204">
        <v>6.1</v>
      </c>
      <c r="D88" s="203" t="s">
        <v>286</v>
      </c>
      <c r="E88" s="205"/>
      <c r="F88" s="205"/>
      <c r="G88" s="204">
        <v>11</v>
      </c>
      <c r="H88" s="203" t="s">
        <v>286</v>
      </c>
      <c r="I88" s="204">
        <v>11.7</v>
      </c>
      <c r="J88" s="203" t="s">
        <v>358</v>
      </c>
      <c r="K88" s="204" t="s">
        <v>843</v>
      </c>
      <c r="L88" s="203" t="s">
        <v>358</v>
      </c>
      <c r="M88" s="206" t="s">
        <v>814</v>
      </c>
      <c r="N88" s="40" t="s">
        <v>844</v>
      </c>
      <c r="O88" s="202" t="s">
        <v>291</v>
      </c>
      <c r="P88">
        <v>1</v>
      </c>
    </row>
    <row r="89" spans="1:16" ht="15" thickTop="1" x14ac:dyDescent="0.3"/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3</vt:i4>
      </vt:variant>
    </vt:vector>
  </HeadingPairs>
  <TitlesOfParts>
    <vt:vector size="18" baseType="lpstr">
      <vt:lpstr>Rating SS</vt:lpstr>
      <vt:lpstr>INFO</vt:lpstr>
      <vt:lpstr>Guia de instrucciones</vt:lpstr>
      <vt:lpstr>PCI</vt:lpstr>
      <vt:lpstr>PDP</vt:lpstr>
      <vt:lpstr>Parámetros</vt:lpstr>
      <vt:lpstr>Análisis</vt:lpstr>
      <vt:lpstr>criterios rating</vt:lpstr>
      <vt:lpstr>Productos</vt:lpstr>
      <vt:lpstr>Procesos Soporte</vt:lpstr>
      <vt:lpstr>Canales</vt:lpstr>
      <vt:lpstr>Proveedores PCN</vt:lpstr>
      <vt:lpstr>Bien Servicio compras</vt:lpstr>
      <vt:lpstr>Oficinas Agencias</vt:lpstr>
      <vt:lpstr>Productos RO-Detallado</vt:lpstr>
      <vt:lpstr>Criterios_rating</vt:lpstr>
      <vt:lpstr>Proc_soporte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Gutierrez Fernandez</dc:creator>
  <cp:lastModifiedBy>Roderick Nestor Cusirramos Montesinos</cp:lastModifiedBy>
  <cp:lastPrinted>2019-01-09T17:08:04Z</cp:lastPrinted>
  <dcterms:created xsi:type="dcterms:W3CDTF">2018-11-20T14:54:16Z</dcterms:created>
  <dcterms:modified xsi:type="dcterms:W3CDTF">2024-01-19T15:43:25Z</dcterms:modified>
</cp:coreProperties>
</file>