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der\Documents\UT_Bootcamp\Modules\Module1\Challenge 1\"/>
    </mc:Choice>
  </mc:AlternateContent>
  <xr:revisionPtr revIDLastSave="0" documentId="13_ncr:1_{DAE57488-4019-45E3-9E12-2520C36E6BB1}" xr6:coauthVersionLast="46" xr6:coauthVersionMax="46" xr10:uidLastSave="{00000000-0000-0000-0000-000000000000}"/>
  <bookViews>
    <workbookView xWindow="-120" yWindow="-120" windowWidth="38640" windowHeight="15840" firstSheet="1" activeTab="7" xr2:uid="{00000000-000D-0000-FFFF-FFFF00000000}"/>
  </bookViews>
  <sheets>
    <sheet name="Theater Outcomes By Launch Date" sheetId="13" r:id="rId1"/>
    <sheet name="Outcomes Based on Goals" sheetId="15" r:id="rId2"/>
    <sheet name="Kickstarter" sheetId="1" r:id="rId3"/>
    <sheet name="Category Statitics" sheetId="3" r:id="rId4"/>
    <sheet name="Subcategory Statistics" sheetId="4" r:id="rId5"/>
    <sheet name="Outcomes Based on Launch Date" sheetId="7" r:id="rId6"/>
    <sheet name="Edinburg Research" sheetId="8" r:id="rId7"/>
    <sheet name="Descriptive Statistics" sheetId="11" r:id="rId8"/>
  </sheets>
  <definedNames>
    <definedName name="_xlnm._FilterDatabase" localSheetId="2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5" l="1"/>
  <c r="D13" i="15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13" i="15"/>
  <c r="B12" i="15"/>
  <c r="B11" i="15"/>
  <c r="B10" i="15"/>
  <c r="B9" i="15"/>
  <c r="B8" i="15"/>
  <c r="B7" i="15"/>
  <c r="B6" i="15"/>
  <c r="B5" i="15"/>
  <c r="B4" i="15"/>
  <c r="B3" i="15"/>
  <c r="C13" i="11"/>
  <c r="C12" i="11"/>
  <c r="C14" i="11" s="1"/>
  <c r="C11" i="11"/>
  <c r="C6" i="11"/>
  <c r="C5" i="11"/>
  <c r="C7" i="11" s="1"/>
  <c r="B5" i="11"/>
  <c r="C4" i="11"/>
  <c r="B13" i="11"/>
  <c r="B12" i="11"/>
  <c r="B14" i="11" s="1"/>
  <c r="B11" i="11"/>
  <c r="B6" i="11"/>
  <c r="B4" i="11"/>
  <c r="C10" i="11"/>
  <c r="C9" i="11"/>
  <c r="B10" i="11"/>
  <c r="B9" i="11"/>
  <c r="C3" i="11"/>
  <c r="B3" i="11"/>
  <c r="C2" i="11"/>
  <c r="B2" i="11"/>
  <c r="F3" i="8"/>
  <c r="F4" i="8"/>
  <c r="F5" i="8"/>
  <c r="F6" i="8"/>
  <c r="F2" i="8"/>
  <c r="C2" i="8"/>
  <c r="B3" i="8"/>
  <c r="B2" i="8"/>
  <c r="D2" i="8"/>
  <c r="D3" i="8"/>
  <c r="D4" i="8"/>
  <c r="D5" i="8"/>
  <c r="D6" i="8"/>
  <c r="C3" i="8"/>
  <c r="C4" i="8"/>
  <c r="C5" i="8"/>
  <c r="C6" i="8"/>
  <c r="B4" i="8"/>
  <c r="B5" i="8"/>
  <c r="B6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7" i="11" l="1"/>
  <c r="E7" i="15"/>
  <c r="F7" i="15" s="1"/>
  <c r="E10" i="15"/>
  <c r="F10" i="15" s="1"/>
  <c r="E8" i="15"/>
  <c r="H8" i="15" s="1"/>
  <c r="E9" i="15"/>
  <c r="G9" i="15" s="1"/>
  <c r="E2" i="15"/>
  <c r="G2" i="15" s="1"/>
  <c r="E6" i="15"/>
  <c r="G6" i="15" s="1"/>
  <c r="E13" i="15"/>
  <c r="G13" i="15" s="1"/>
  <c r="E5" i="15"/>
  <c r="G5" i="15" s="1"/>
  <c r="E12" i="15"/>
  <c r="G12" i="15" s="1"/>
  <c r="E4" i="15"/>
  <c r="F4" i="15" s="1"/>
  <c r="E11" i="15"/>
  <c r="F11" i="15" s="1"/>
  <c r="E3" i="15"/>
  <c r="G3" i="15" s="1"/>
  <c r="H10" i="15" l="1"/>
  <c r="G7" i="15"/>
  <c r="G10" i="15"/>
  <c r="F9" i="15"/>
  <c r="G8" i="15"/>
  <c r="H7" i="15"/>
  <c r="H9" i="15"/>
  <c r="F8" i="15"/>
  <c r="H5" i="15"/>
  <c r="F3" i="15"/>
  <c r="H3" i="15"/>
  <c r="F6" i="15"/>
  <c r="G11" i="15"/>
  <c r="H13" i="15"/>
  <c r="H6" i="15"/>
  <c r="H11" i="15"/>
  <c r="F13" i="15"/>
  <c r="G4" i="15"/>
  <c r="H2" i="15"/>
  <c r="F5" i="15"/>
  <c r="H12" i="15"/>
  <c r="F12" i="15"/>
  <c r="F2" i="15"/>
  <c r="H4" i="15"/>
</calcChain>
</file>

<file path=xl/sharedStrings.xml><?xml version="1.0" encoding="utf-8"?>
<sst xmlns="http://schemas.openxmlformats.org/spreadsheetml/2006/main" count="33051" uniqueCount="8421">
  <si>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</si>
  <si>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</si>
  <si>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</si>
  <si>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</si>
  <si>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</si>
  <si>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</si>
  <si>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</si>
  <si>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</si>
  <si>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</si>
  <si>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</si>
  <si>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</si>
  <si>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</si>
  <si>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</si>
  <si>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</si>
  <si>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</si>
  <si>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</si>
  <si>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</si>
  <si>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</si>
  <si>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</si>
  <si>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</si>
  <si>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</si>
  <si>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</si>
  <si>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</si>
  <si>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</si>
  <si>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</si>
  <si>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</si>
  <si>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</si>
  <si>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</si>
  <si>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</si>
  <si>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</si>
  <si>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</si>
  <si>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</si>
  <si>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</si>
  <si>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</si>
  <si>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</si>
  <si>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</si>
  <si>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</si>
  <si>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</si>
  <si>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</si>
  <si>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</si>
  <si>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</si>
  <si>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</si>
  <si>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</si>
  <si>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</si>
  <si>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</si>
  <si>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</si>
  <si>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</si>
  <si>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</si>
  <si>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</si>
  <si>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</si>
  <si>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</si>
  <si>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</si>
  <si>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</si>
  <si>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</si>
  <si>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</si>
  <si>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</si>
  <si>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</si>
  <si>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</si>
  <si>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</si>
  <si>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</si>
  <si>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</si>
  <si>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</si>
  <si>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</si>
  <si>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</si>
  <si>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</si>
  <si>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</si>
  <si>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</si>
  <si>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</si>
  <si>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</si>
  <si>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</si>
  <si>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</si>
  <si>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</si>
  <si>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</si>
  <si>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</si>
  <si>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</si>
  <si>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</si>
  <si>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</si>
  <si>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</si>
  <si>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</si>
  <si>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</si>
  <si>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</si>
  <si>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</si>
  <si>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</si>
  <si>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</si>
  <si>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</si>
  <si>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</si>
  <si>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</si>
  <si>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</si>
  <si>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</si>
  <si>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</si>
  <si>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</si>
  <si>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</si>
  <si>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</si>
  <si>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</si>
  <si>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</si>
  <si>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</si>
  <si>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</si>
  <si>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</si>
  <si>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</si>
  <si>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</si>
  <si>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</si>
  <si>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</si>
  <si>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</si>
  <si>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</si>
  <si>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</si>
  <si>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</si>
  <si>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</si>
  <si>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</si>
  <si>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</si>
  <si>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</si>
  <si>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</si>
  <si>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</si>
  <si>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</si>
  <si>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</si>
  <si>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</si>
  <si>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</si>
  <si>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</si>
  <si>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</si>
  <si>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</si>
  <si>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</si>
  <si>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</si>
  <si>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</si>
  <si>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</si>
  <si>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</si>
  <si>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</si>
  <si>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</si>
  <si>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</si>
  <si>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</si>
  <si>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</si>
  <si>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</si>
  <si>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</si>
  <si>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</si>
  <si>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</si>
  <si>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</si>
  <si>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</si>
  <si>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</si>
  <si>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</si>
  <si>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</si>
  <si>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</si>
  <si>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</si>
  <si>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</si>
  <si>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</si>
  <si>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</si>
  <si>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</si>
  <si>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</si>
  <si>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</si>
  <si>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</si>
  <si>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</si>
  <si>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</si>
  <si>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</si>
  <si>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</si>
  <si>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</si>
  <si>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</si>
  <si>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</si>
  <si>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</si>
  <si>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</si>
  <si>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</si>
  <si>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</si>
  <si>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</si>
  <si>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</si>
  <si>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</si>
  <si>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</si>
  <si>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</si>
  <si>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</si>
  <si>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</si>
  <si>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</si>
  <si>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</si>
  <si>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</si>
  <si>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</si>
  <si>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</si>
  <si>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</si>
  <si>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</si>
  <si>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</si>
  <si>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</si>
  <si>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</si>
  <si>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</si>
  <si>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</si>
  <si>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</si>
  <si>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</si>
  <si>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</si>
  <si>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</si>
  <si>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</si>
  <si>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</si>
  <si>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</si>
  <si>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</si>
  <si>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</si>
  <si>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</si>
  <si>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</si>
  <si>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</si>
  <si>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</si>
  <si>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</si>
  <si>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</si>
  <si>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</si>
  <si>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</si>
  <si>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</si>
  <si>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</si>
  <si>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</si>
  <si>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</si>
  <si>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</si>
  <si>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</si>
  <si>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</si>
  <si>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</si>
  <si>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</si>
  <si>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</si>
  <si>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</si>
  <si>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</si>
  <si>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</si>
  <si>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</si>
  <si>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</si>
  <si>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</si>
  <si>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</si>
  <si>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</si>
  <si>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</si>
  <si>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</si>
  <si>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</si>
  <si>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</si>
  <si>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</si>
  <si>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</si>
  <si>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</si>
  <si>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</si>
  <si>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</si>
  <si>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</si>
  <si>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</si>
  <si>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</si>
  <si>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</si>
  <si>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</si>
  <si>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</si>
  <si>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</si>
  <si>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</si>
  <si>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</si>
  <si>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</si>
  <si>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</si>
  <si>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</si>
  <si>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</si>
  <si>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</si>
  <si>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</si>
  <si>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</si>
  <si>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</si>
  <si>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</si>
  <si>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</si>
  <si>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</si>
  <si>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</si>
  <si>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</si>
  <si>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</si>
  <si>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</si>
  <si>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</si>
  <si>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</si>
  <si>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</si>
  <si>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</si>
  <si>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</si>
  <si>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</si>
  <si>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</si>
  <si>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</si>
  <si>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</si>
  <si>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</si>
  <si>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</si>
  <si>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</si>
  <si>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</si>
  <si>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</si>
  <si>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</si>
  <si>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</si>
  <si>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</si>
  <si>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</si>
  <si>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</si>
  <si>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</si>
  <si>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</si>
  <si>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</si>
  <si>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</si>
  <si>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</si>
  <si>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</si>
  <si>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</si>
  <si>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</si>
  <si>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</si>
  <si>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</si>
  <si>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</si>
  <si>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</si>
  <si>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</si>
  <si>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</si>
  <si>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</si>
  <si>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</si>
  <si>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</si>
  <si>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</si>
  <si>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</si>
  <si>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</si>
  <si>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</si>
  <si>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</si>
  <si>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</si>
  <si>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</si>
  <si>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</si>
  <si>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</si>
  <si>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</si>
  <si>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</si>
  <si>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</si>
  <si>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</si>
  <si>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</si>
  <si>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</si>
  <si>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</si>
  <si>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</si>
  <si>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</si>
  <si>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</si>
  <si>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</si>
  <si>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</si>
  <si>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</si>
  <si>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</si>
  <si>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</si>
  <si>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</si>
  <si>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</si>
  <si>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</si>
  <si>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</si>
  <si>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</si>
  <si>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</si>
  <si>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</si>
  <si>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</si>
  <si>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</si>
  <si>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</si>
  <si>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</si>
  <si>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</si>
  <si>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</si>
  <si>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</si>
  <si>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</si>
  <si>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</si>
  <si>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</si>
  <si>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</si>
  <si>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</si>
  <si>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</si>
  <si>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</si>
  <si>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</si>
  <si>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</si>
  <si>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</si>
  <si>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</si>
  <si>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</si>
  <si>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</si>
  <si>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</si>
  <si>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</si>
  <si>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</si>
  <si>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</si>
  <si>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</si>
  <si>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</si>
  <si>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</si>
  <si>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</si>
  <si>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</si>
  <si>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</si>
  <si>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</si>
  <si>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</si>
  <si>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</si>
  <si>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</si>
  <si>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</si>
  <si>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</si>
  <si>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</si>
  <si>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</si>
  <si>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</si>
  <si>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</si>
  <si>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</si>
  <si>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</si>
  <si>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</si>
  <si>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</si>
  <si>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</si>
  <si>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</si>
  <si>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</si>
  <si>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</si>
  <si>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</si>
  <si>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</si>
  <si>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</si>
  <si>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</si>
  <si>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</si>
  <si>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</si>
  <si>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</si>
  <si>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</si>
  <si>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</si>
  <si>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</si>
  <si>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</si>
  <si>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</si>
  <si>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</si>
  <si>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</si>
  <si>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</si>
  <si>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</si>
  <si>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</si>
  <si>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</si>
  <si>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</si>
  <si>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</si>
  <si>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</si>
  <si>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</si>
  <si>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</si>
  <si>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</si>
  <si>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</si>
  <si>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</si>
  <si>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</si>
  <si>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</si>
  <si>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</si>
  <si>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</si>
  <si>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</si>
  <si>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</si>
  <si>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</si>
  <si>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</si>
  <si>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</si>
  <si>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</si>
  <si>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</si>
  <si>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</si>
  <si>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</si>
  <si>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</si>
  <si>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</si>
  <si>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</si>
  <si>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</si>
  <si>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</si>
  <si>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</si>
  <si>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</si>
  <si>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</si>
  <si>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</si>
  <si>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</si>
  <si>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</si>
  <si>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</si>
  <si>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</si>
  <si>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</si>
  <si>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</si>
  <si>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</si>
  <si>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</si>
  <si>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</si>
  <si>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</si>
  <si>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</si>
  <si>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</si>
  <si>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</si>
  <si>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</si>
  <si>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</si>
  <si>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</si>
  <si>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</si>
  <si>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</si>
  <si>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</si>
  <si>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</si>
  <si>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</si>
  <si>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</si>
  <si>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</si>
  <si>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</si>
  <si>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</si>
  <si>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</si>
  <si>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</si>
  <si>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</si>
  <si>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</si>
  <si>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</si>
  <si>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</si>
  <si>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</si>
  <si>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</si>
  <si>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</si>
  <si>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</si>
  <si>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</si>
  <si>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</si>
  <si>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</si>
  <si>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</si>
  <si>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</si>
  <si>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</si>
  <si>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</si>
  <si>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</si>
  <si>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</si>
  <si>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</si>
  <si>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</si>
  <si>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</si>
  <si>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</si>
  <si>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</si>
  <si>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</si>
  <si>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</si>
  <si>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</si>
  <si>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</si>
  <si>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</si>
  <si>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</si>
  <si>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</si>
  <si>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</si>
  <si>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</si>
  <si>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</si>
  <si>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</si>
  <si>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</si>
  <si>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</si>
  <si>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</si>
  <si>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</si>
  <si>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</si>
  <si>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</si>
  <si>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</si>
  <si>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</si>
  <si>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</si>
  <si>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</si>
  <si>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</si>
  <si>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</si>
  <si>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</si>
  <si>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</si>
  <si>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</si>
  <si>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</si>
  <si>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</si>
  <si>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</si>
  <si>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</si>
  <si>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</si>
  <si>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</si>
  <si>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</si>
  <si>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</si>
  <si>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</si>
  <si>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</si>
  <si>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</si>
  <si>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</si>
  <si>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</si>
  <si>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</si>
  <si>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</si>
  <si>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</si>
  <si>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</si>
  <si>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</si>
  <si>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</si>
  <si>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</si>
  <si>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</si>
  <si>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</si>
  <si>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</si>
  <si>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</si>
  <si>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</si>
  <si>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</si>
  <si>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</si>
  <si>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</si>
  <si>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</si>
  <si>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</si>
  <si>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</si>
  <si>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</si>
  <si>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</si>
  <si>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</si>
  <si>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</si>
  <si>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</si>
  <si>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</si>
  <si>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</si>
  <si>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</si>
  <si>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</si>
  <si>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</si>
  <si>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</si>
  <si>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</si>
  <si>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</si>
  <si>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</si>
  <si>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</si>
  <si>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</si>
  <si>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</si>
  <si>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</si>
  <si>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</si>
  <si>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</si>
  <si>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</si>
  <si>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</si>
  <si>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</si>
  <si>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</si>
  <si>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</si>
  <si>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</si>
  <si>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</si>
  <si>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</si>
  <si>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</si>
  <si>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</si>
  <si>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</si>
  <si>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</si>
  <si>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</si>
  <si>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</si>
  <si>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</si>
  <si>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</si>
  <si>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</si>
  <si>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</si>
  <si>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</si>
  <si>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</si>
  <si>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</si>
  <si>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</si>
  <si>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</si>
  <si>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</si>
  <si>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</si>
  <si>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</si>
  <si>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</si>
  <si>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</si>
  <si>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</si>
  <si>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</si>
  <si>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</si>
  <si>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</si>
  <si>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</si>
  <si>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</si>
  <si>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</si>
  <si>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</si>
  <si>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</si>
  <si>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</si>
  <si>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</si>
  <si>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</si>
  <si>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</si>
  <si>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</si>
  <si>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</si>
  <si>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</si>
  <si>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</si>
  <si>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</si>
  <si>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</si>
  <si>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</si>
  <si>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</si>
  <si>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</si>
  <si>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</si>
  <si>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</si>
  <si>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</si>
  <si>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</si>
  <si>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</si>
  <si>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</si>
  <si>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</si>
  <si>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</si>
  <si>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</si>
  <si>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</si>
  <si>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</si>
  <si>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</si>
  <si>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</si>
  <si>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</si>
  <si>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</si>
  <si>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</si>
  <si>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</si>
  <si>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</si>
  <si>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</si>
  <si>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</si>
  <si>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</si>
  <si>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</si>
  <si>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</si>
  <si>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</si>
  <si>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</si>
  <si>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</si>
  <si>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</si>
  <si>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</si>
  <si>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</si>
  <si>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</si>
  <si>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</si>
  <si>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</si>
  <si>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</si>
  <si>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</si>
  <si>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</si>
  <si>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</si>
  <si>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</si>
  <si>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</si>
  <si>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</si>
  <si>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</si>
  <si>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</si>
  <si>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</si>
  <si>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</si>
  <si>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</si>
  <si>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</si>
  <si>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</si>
  <si>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</si>
  <si>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</si>
  <si>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</si>
  <si>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</si>
  <si>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</si>
  <si>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</si>
  <si>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</si>
  <si>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</si>
  <si>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</si>
  <si>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</si>
  <si>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</si>
  <si>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</si>
  <si>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</si>
  <si>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</si>
  <si>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</si>
  <si>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</si>
  <si>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</si>
  <si>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</si>
  <si>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</si>
  <si>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</si>
  <si>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</si>
  <si>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</si>
  <si>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</si>
  <si>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</si>
  <si>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</si>
  <si>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</si>
  <si>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</si>
  <si>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</si>
  <si>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</si>
  <si>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</si>
  <si>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</si>
  <si>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</si>
  <si>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</si>
  <si>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</si>
  <si>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</si>
  <si>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</si>
  <si>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</si>
  <si>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</si>
  <si>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</si>
  <si>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</si>
  <si>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</si>
  <si>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</si>
  <si>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</si>
  <si>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</si>
  <si>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</si>
  <si>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</si>
  <si>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</si>
  <si>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</si>
  <si>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</si>
  <si>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</si>
  <si>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</si>
  <si>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</si>
  <si>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</si>
  <si>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</si>
  <si>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</si>
  <si>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</si>
  <si>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</si>
  <si>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</si>
  <si>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</si>
  <si>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</si>
  <si>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</si>
  <si>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</si>
  <si>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</si>
  <si>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</si>
  <si>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</si>
  <si>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</si>
  <si>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</si>
  <si>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</si>
  <si>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</si>
  <si>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</si>
  <si>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</si>
  <si>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</si>
  <si>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</si>
  <si>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</si>
  <si>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</si>
  <si>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</si>
  <si>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</si>
  <si>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</si>
  <si>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</si>
  <si>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</si>
  <si>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</si>
  <si>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</si>
  <si>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</si>
  <si>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</si>
  <si>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</si>
  <si>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</si>
  <si>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</si>
  <si>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</si>
  <si>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</si>
  <si>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</si>
  <si>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</si>
  <si>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</si>
  <si>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</si>
  <si>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</si>
  <si>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</si>
  <si>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</si>
  <si>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</si>
  <si>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</si>
  <si>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</si>
  <si>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</si>
  <si>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</si>
  <si>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</si>
  <si>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</si>
  <si>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</si>
  <si>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</si>
  <si>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</si>
  <si>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</si>
  <si>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</si>
  <si>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</si>
  <si>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</si>
  <si>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</si>
  <si>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</si>
  <si>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</si>
  <si>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</si>
  <si>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</si>
  <si>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</si>
  <si>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</si>
  <si>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</si>
  <si>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</si>
  <si>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</si>
  <si>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</si>
  <si>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</si>
  <si>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</si>
  <si>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</si>
  <si>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</si>
  <si>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</si>
  <si>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</si>
  <si>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</si>
  <si>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</si>
  <si>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</si>
  <si>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</si>
  <si>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</si>
  <si>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</si>
  <si>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</si>
  <si>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</si>
  <si>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</si>
  <si>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</si>
  <si>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</si>
  <si>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</si>
  <si>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</si>
  <si>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</si>
  <si>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</si>
  <si>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</si>
  <si>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</si>
  <si>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</si>
  <si>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</si>
  <si>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</si>
  <si>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</si>
  <si>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</si>
  <si>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</si>
  <si>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</si>
  <si>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</si>
  <si>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</si>
  <si>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</si>
  <si>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</si>
  <si>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</si>
  <si>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</si>
  <si>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</si>
  <si>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</si>
  <si>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</si>
  <si>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</si>
  <si>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</si>
  <si>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</si>
  <si>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</si>
  <si>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</si>
  <si>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</si>
  <si>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</si>
  <si>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</si>
  <si>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</si>
  <si>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</si>
  <si>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</si>
  <si>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</si>
  <si>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</si>
  <si>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</si>
  <si>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</si>
  <si>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</si>
  <si>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</si>
  <si>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</si>
  <si>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</si>
  <si>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</si>
  <si>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</si>
  <si>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</si>
  <si>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</si>
  <si>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</si>
  <si>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</si>
  <si>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</si>
  <si>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</si>
  <si>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</si>
  <si>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</si>
  <si>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</si>
  <si>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</si>
  <si>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</si>
  <si>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</si>
  <si>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</si>
  <si>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</si>
  <si>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</si>
  <si>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</si>
  <si>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</si>
  <si>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</si>
  <si>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</si>
  <si>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</si>
  <si>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</si>
  <si>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</si>
  <si>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</si>
  <si>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</si>
  <si>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</si>
  <si>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</si>
  <si>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</si>
  <si>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</si>
  <si>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</si>
  <si>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</si>
  <si>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</si>
  <si>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</si>
  <si>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</si>
  <si>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</si>
  <si>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</si>
  <si>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</si>
  <si>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</si>
  <si>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</si>
  <si>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</si>
  <si>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</si>
  <si>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</si>
  <si>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</si>
  <si>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</si>
  <si>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</si>
  <si>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</si>
  <si>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</si>
  <si>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</si>
  <si>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</si>
  <si>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</si>
  <si>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</si>
  <si>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</si>
  <si>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</si>
  <si>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</si>
  <si>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</si>
  <si>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</si>
  <si>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</si>
  <si>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</si>
  <si>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</si>
  <si>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</si>
  <si>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</si>
  <si>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</si>
  <si>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</si>
  <si>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</si>
  <si>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</si>
  <si>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</si>
  <si>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</si>
  <si>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</si>
  <si>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</si>
  <si>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</si>
  <si>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</si>
  <si>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</si>
  <si>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</si>
  <si>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</si>
  <si>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</si>
  <si>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</si>
  <si>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</si>
  <si>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</si>
  <si>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</si>
  <si>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</si>
  <si>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</si>
  <si>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</si>
  <si>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</si>
  <si>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</si>
  <si>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</si>
  <si>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</si>
  <si>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</si>
  <si>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</si>
  <si>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</si>
  <si>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</si>
  <si>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</si>
  <si>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</si>
  <si>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</si>
  <si>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</si>
  <si>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</si>
  <si>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</si>
  <si>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</si>
  <si>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</si>
  <si>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</si>
  <si>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</si>
  <si>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</si>
  <si>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</si>
  <si>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</si>
  <si>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</si>
  <si>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</si>
  <si>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</si>
  <si>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</si>
  <si>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</si>
  <si>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</si>
  <si>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</si>
  <si>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</si>
  <si>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</si>
  <si>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</si>
  <si>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</si>
  <si>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</si>
  <si>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</si>
  <si>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</si>
  <si>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</si>
  <si>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</si>
  <si>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</si>
  <si>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</si>
  <si>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</si>
  <si>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</si>
  <si>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</si>
  <si>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</si>
  <si>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</si>
  <si>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</si>
  <si>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</si>
  <si>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</si>
  <si>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</si>
  <si>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</si>
  <si>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</si>
  <si>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</si>
  <si>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</si>
  <si>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</si>
  <si>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</si>
  <si>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</si>
  <si>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</si>
  <si>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</si>
  <si>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</si>
  <si>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</si>
  <si>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</si>
  <si>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</si>
  <si>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</si>
  <si>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</si>
  <si>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</si>
  <si>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</si>
  <si>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</si>
  <si>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</si>
  <si>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</si>
  <si>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</si>
  <si>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</si>
  <si>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</si>
  <si>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</si>
  <si>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</si>
  <si>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</si>
  <si>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</si>
  <si>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</si>
  <si>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</si>
  <si>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</si>
  <si>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</si>
  <si>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</si>
  <si>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</si>
  <si>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</si>
  <si>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</si>
  <si>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</si>
  <si>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</si>
  <si>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</si>
  <si>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</si>
  <si>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</si>
  <si>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</si>
  <si>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</si>
  <si>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</si>
  <si>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</si>
  <si>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</si>
  <si>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</si>
  <si>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</si>
  <si>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</si>
  <si>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</si>
  <si>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</si>
  <si>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</si>
  <si>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</si>
  <si>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</si>
  <si>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</si>
  <si>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</si>
  <si>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</si>
  <si>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</si>
  <si>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</si>
  <si>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</si>
  <si>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</si>
  <si>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</si>
  <si>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</si>
  <si>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</si>
  <si>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</si>
  <si>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</si>
  <si>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</si>
  <si>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</si>
  <si>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</si>
  <si>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</si>
  <si>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</si>
  <si>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</si>
  <si>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</si>
  <si>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</si>
  <si>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</si>
  <si>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</si>
  <si>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</si>
  <si>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</si>
  <si>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</si>
  <si>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</si>
  <si>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</si>
  <si>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</si>
  <si>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</si>
  <si>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</si>
  <si>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</si>
  <si>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</si>
  <si>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</si>
  <si>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</si>
  <si>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</si>
  <si>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</si>
  <si>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</si>
  <si>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</si>
  <si>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</si>
  <si>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</si>
  <si>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</si>
  <si>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</si>
  <si>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</si>
  <si>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</si>
  <si>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</si>
  <si>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</si>
  <si>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</si>
  <si>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</si>
  <si>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</si>
  <si>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</si>
  <si>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</si>
  <si>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</si>
  <si>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</si>
  <si>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</si>
  <si>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</si>
  <si>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</si>
  <si>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</si>
  <si>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</si>
  <si>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</si>
  <si>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</si>
  <si>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</si>
  <si>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</si>
  <si>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</si>
  <si>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</si>
  <si>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</si>
  <si>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</si>
  <si>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</si>
  <si>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</si>
  <si>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</si>
  <si>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</si>
  <si>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</si>
  <si>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</si>
  <si>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</si>
  <si>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</si>
  <si>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</si>
  <si>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</si>
  <si>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</si>
  <si>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</si>
  <si>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</si>
  <si>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</si>
  <si>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</si>
  <si>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</si>
  <si>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</si>
  <si>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</si>
  <si>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</si>
  <si>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</si>
  <si>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</si>
  <si>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</si>
  <si>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</si>
  <si>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</si>
  <si>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</si>
  <si>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</si>
  <si>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</si>
  <si>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</si>
  <si>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</si>
  <si>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</si>
  <si>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</si>
  <si>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</si>
  <si>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</si>
  <si>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</si>
  <si>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</si>
  <si>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</si>
  <si>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</si>
  <si>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</si>
  <si>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</si>
  <si>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</si>
  <si>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</si>
  <si>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</si>
  <si>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</si>
  <si>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</si>
  <si>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</si>
  <si>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</si>
  <si>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</si>
  <si>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</si>
  <si>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</si>
  <si>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</si>
  <si>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</si>
  <si>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</si>
  <si>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</si>
  <si>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</si>
  <si>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</si>
  <si>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</si>
  <si>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</si>
  <si>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</si>
  <si>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</si>
  <si>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</si>
  <si>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</si>
  <si>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</si>
  <si>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</si>
  <si>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</si>
  <si>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</si>
  <si>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</si>
  <si>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</si>
  <si>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</si>
  <si>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</si>
  <si>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</si>
  <si>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</si>
  <si>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</si>
  <si>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</si>
  <si>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</si>
  <si>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</si>
  <si>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</si>
  <si>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</si>
  <si>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</si>
  <si>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</si>
  <si>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</si>
  <si>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</si>
  <si>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</si>
  <si>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</si>
  <si>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</si>
  <si>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</si>
  <si>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</si>
  <si>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</si>
  <si>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</si>
  <si>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</si>
  <si>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</si>
  <si>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</si>
  <si>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</si>
  <si>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</si>
  <si>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</si>
  <si>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</si>
  <si>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</si>
  <si>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</si>
  <si>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</si>
  <si>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</si>
  <si>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</si>
  <si>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</si>
  <si>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</si>
  <si>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</si>
  <si>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</si>
  <si>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</si>
  <si>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</si>
  <si>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</si>
  <si>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</si>
  <si>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</si>
  <si>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</si>
  <si>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</si>
  <si>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</si>
  <si>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</si>
  <si>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</si>
  <si>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</si>
  <si>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</si>
  <si>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</si>
  <si>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</si>
  <si>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</si>
  <si>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</si>
  <si>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</si>
  <si>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</si>
  <si>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</si>
  <si>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</si>
  <si>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</si>
  <si>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</si>
  <si>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</si>
  <si>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</si>
  <si>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</si>
  <si>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</si>
  <si>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</si>
  <si>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</si>
  <si>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</si>
  <si>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</si>
  <si>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</si>
  <si>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</si>
  <si>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</si>
  <si>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</si>
  <si>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</si>
  <si>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</si>
  <si>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</si>
  <si>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</si>
  <si>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</si>
  <si>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</si>
  <si>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</si>
  <si>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</si>
  <si>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</si>
  <si>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</si>
  <si>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</si>
  <si>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</si>
  <si>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</si>
  <si>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</si>
  <si>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</si>
  <si>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</si>
  <si>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</si>
  <si>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</si>
  <si>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</si>
  <si>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</si>
  <si>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</si>
  <si>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</si>
  <si>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</si>
  <si>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</si>
  <si>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</si>
  <si>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</si>
  <si>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</si>
  <si>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</si>
  <si>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</si>
  <si>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</si>
  <si>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</si>
  <si>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</si>
  <si>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</si>
  <si>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</si>
  <si>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</si>
  <si>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</si>
  <si>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</si>
  <si>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</si>
  <si>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</si>
  <si>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</si>
  <si>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</si>
  <si>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</si>
  <si>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</si>
  <si>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</si>
  <si>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</si>
  <si>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</si>
  <si>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</si>
  <si>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</si>
  <si>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</si>
  <si>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</si>
  <si>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</si>
  <si>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</si>
  <si>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</si>
  <si>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</si>
  <si>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</si>
  <si>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</si>
  <si>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</si>
  <si>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</si>
  <si>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</si>
  <si>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</si>
  <si>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</si>
  <si>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</si>
  <si>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</si>
  <si>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</si>
  <si>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</si>
  <si>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</si>
  <si>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</si>
  <si>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</si>
  <si>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</si>
  <si>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</si>
  <si>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</si>
  <si>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</si>
  <si>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</si>
  <si>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</si>
  <si>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</si>
  <si>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</si>
  <si>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</si>
  <si>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</si>
  <si>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</si>
  <si>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</si>
  <si>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</si>
  <si>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</si>
  <si>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</si>
  <si>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</si>
  <si>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</si>
  <si>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</si>
  <si>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</si>
  <si>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</si>
  <si>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</si>
  <si>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</si>
  <si>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</si>
  <si>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</si>
  <si>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</si>
  <si>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</si>
  <si>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</si>
  <si>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</si>
  <si>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</si>
  <si>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</si>
  <si>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</si>
  <si>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</si>
  <si>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</si>
  <si>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</si>
  <si>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</si>
  <si>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</si>
  <si>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</si>
  <si>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</si>
  <si>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</si>
  <si>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</si>
  <si>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</si>
  <si>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</si>
  <si>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</si>
  <si>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</si>
  <si>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</si>
  <si>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</si>
  <si>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</si>
  <si>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</si>
  <si>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</si>
  <si>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</si>
  <si>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</si>
  <si>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</si>
  <si>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</si>
  <si>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</si>
  <si>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</si>
  <si>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</si>
  <si>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</si>
  <si>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</si>
  <si>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</si>
  <si>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</si>
  <si>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</si>
  <si>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</si>
  <si>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</si>
  <si>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</si>
  <si>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</si>
  <si>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</si>
  <si>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</si>
  <si>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</si>
  <si>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</si>
  <si>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</si>
  <si>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</si>
  <si>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</si>
  <si>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</si>
  <si>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</si>
  <si>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</si>
  <si>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</si>
  <si>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</si>
  <si>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</si>
  <si>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</si>
  <si>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</si>
  <si>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</si>
  <si>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</si>
  <si>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</si>
  <si>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</si>
  <si>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</si>
  <si>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</si>
  <si>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</si>
  <si>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</si>
  <si>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</si>
  <si>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</si>
  <si>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</si>
  <si>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</si>
  <si>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</si>
  <si>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</si>
  <si>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</si>
  <si>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</si>
  <si>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</si>
  <si>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</si>
  <si>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</si>
  <si>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</si>
  <si>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</si>
  <si>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</si>
  <si>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</si>
  <si>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</si>
  <si>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</si>
  <si>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</si>
  <si>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</si>
  <si>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</si>
  <si>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</si>
  <si>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</si>
  <si>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</si>
  <si>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</si>
  <si>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</si>
  <si>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</si>
  <si>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</si>
  <si>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</si>
  <si>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</si>
  <si>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</si>
  <si>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</si>
  <si>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</si>
  <si>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</si>
  <si>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</si>
  <si>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</si>
  <si>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</si>
  <si>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</si>
  <si>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</si>
  <si>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</si>
  <si>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</si>
  <si>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</si>
  <si>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</si>
  <si>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</si>
  <si>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</si>
  <si>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</si>
  <si>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</si>
  <si>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</si>
  <si>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</si>
  <si>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</si>
  <si>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</si>
  <si>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</si>
  <si>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</si>
  <si>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</si>
  <si>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</si>
  <si>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</si>
  <si>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</si>
  <si>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</si>
  <si>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</si>
  <si>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</si>
  <si>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</si>
  <si>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</si>
  <si>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</si>
  <si>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</si>
  <si>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</si>
  <si>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</si>
  <si>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</si>
  <si>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</si>
  <si>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</si>
  <si>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</si>
  <si>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</si>
  <si>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</si>
  <si>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</si>
  <si>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</si>
  <si>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</si>
  <si>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</si>
  <si>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</si>
  <si>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</si>
  <si>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</si>
  <si>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</si>
  <si>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</si>
  <si>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</si>
  <si>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</si>
  <si>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</si>
  <si>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</si>
  <si>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</si>
  <si>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</si>
  <si>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</si>
  <si>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</si>
  <si>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</si>
  <si>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</si>
  <si>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</si>
  <si>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</si>
  <si>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</si>
  <si>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</si>
  <si>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</si>
  <si>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</si>
  <si>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</si>
  <si>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</si>
  <si>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</si>
  <si>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</si>
  <si>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</si>
  <si>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</si>
  <si>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</si>
  <si>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</si>
  <si>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</si>
  <si>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</si>
  <si>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</si>
  <si>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</si>
  <si>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</si>
  <si>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</si>
  <si>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</si>
  <si>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</si>
  <si>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</si>
  <si>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</si>
  <si>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</si>
  <si>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</si>
  <si>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</si>
  <si>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</si>
  <si>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</si>
  <si>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</si>
  <si>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</si>
  <si>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</si>
  <si>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</si>
  <si>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</si>
  <si>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</si>
  <si>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</si>
  <si>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</si>
  <si>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</si>
  <si>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</si>
  <si>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</si>
  <si>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</si>
  <si>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</si>
  <si>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</si>
  <si>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</si>
  <si>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</si>
  <si>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</si>
  <si>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</si>
  <si>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</si>
  <si>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</si>
  <si>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</si>
  <si>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</si>
  <si>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</si>
  <si>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</si>
  <si>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</si>
  <si>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</si>
  <si>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</si>
  <si>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</si>
  <si>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</si>
  <si>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</si>
  <si>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</si>
  <si>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</si>
  <si>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</si>
  <si>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</si>
  <si>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</si>
  <si>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</si>
  <si>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</si>
  <si>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</si>
  <si>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</si>
  <si>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</si>
  <si>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</si>
  <si>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</si>
  <si>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</si>
  <si>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</si>
  <si>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</si>
  <si>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</si>
  <si>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</si>
  <si>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</si>
  <si>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</si>
  <si>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</si>
  <si>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</si>
  <si>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</si>
  <si>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</si>
  <si>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</si>
  <si>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</si>
  <si>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</si>
  <si>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</si>
  <si>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</si>
  <si>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</si>
  <si>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</si>
  <si>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</si>
  <si>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</si>
  <si>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</si>
  <si>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</si>
  <si>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</si>
  <si>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</si>
  <si>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</si>
  <si>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</si>
  <si>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</si>
  <si>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</si>
  <si>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</si>
  <si>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</si>
  <si>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</si>
  <si>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</si>
  <si>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</si>
  <si>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</si>
  <si>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</si>
  <si>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</si>
  <si>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</si>
  <si>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</si>
  <si>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</si>
  <si>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</si>
  <si>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</si>
  <si>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</si>
  <si>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</si>
  <si>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</si>
  <si>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</si>
  <si>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</si>
  <si>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</si>
  <si>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</si>
  <si>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</si>
  <si>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</si>
  <si>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</si>
  <si>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</si>
  <si>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</si>
  <si>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</si>
  <si>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</si>
  <si>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</si>
  <si>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</si>
  <si>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</si>
  <si>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</si>
  <si>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</si>
  <si>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</si>
  <si>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</si>
  <si>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</si>
  <si>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</si>
  <si>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</si>
  <si>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</si>
  <si>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</si>
  <si>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</si>
  <si>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</si>
  <si>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</si>
  <si>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</si>
  <si>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</si>
  <si>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</si>
  <si>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</si>
  <si>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</si>
  <si>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</si>
  <si>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</si>
  <si>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</si>
  <si>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</si>
  <si>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</si>
  <si>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</si>
  <si>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</si>
  <si>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</si>
  <si>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</si>
  <si>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</si>
  <si>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</si>
  <si>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</si>
  <si>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</si>
  <si>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</si>
  <si>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</si>
  <si>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</si>
  <si>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</si>
  <si>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</si>
  <si>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</si>
  <si>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</si>
  <si>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</si>
  <si>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</si>
  <si>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</si>
  <si>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</si>
  <si>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</si>
  <si>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</si>
  <si>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</si>
  <si>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</si>
  <si>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</si>
  <si>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</si>
  <si>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</si>
  <si>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</si>
  <si>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</si>
  <si>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</si>
  <si>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</si>
  <si>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</si>
  <si>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</si>
  <si>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</si>
  <si>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</si>
  <si>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</si>
  <si>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</si>
  <si>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</si>
  <si>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</si>
  <si>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</si>
  <si>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</si>
  <si>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</si>
  <si>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</si>
  <si>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</si>
  <si>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</si>
  <si>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</si>
  <si>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</si>
  <si>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</si>
  <si>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</si>
  <si>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</si>
  <si>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</si>
  <si>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</si>
  <si>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</si>
  <si>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</si>
  <si>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</si>
  <si>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</si>
  <si>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</si>
  <si>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</si>
  <si>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</si>
  <si>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</si>
  <si>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</si>
  <si>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</si>
  <si>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</si>
  <si>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</si>
  <si>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</si>
  <si>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</si>
  <si>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</si>
  <si>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</si>
  <si>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</si>
  <si>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</si>
  <si>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</si>
  <si>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</si>
  <si>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</si>
  <si>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</si>
  <si>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</si>
  <si>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</si>
  <si>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</si>
  <si>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</si>
  <si>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</si>
  <si>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</si>
  <si>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</si>
  <si>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</si>
  <si>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</si>
  <si>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</si>
  <si>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</si>
  <si>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</si>
  <si>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</si>
  <si>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</si>
  <si>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</si>
  <si>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</si>
  <si>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</si>
  <si>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</si>
  <si>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</si>
  <si>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</si>
  <si>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</si>
  <si>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</si>
  <si>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</si>
  <si>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</si>
  <si>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</si>
  <si>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</si>
  <si>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</si>
  <si>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</si>
  <si>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</si>
  <si>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</si>
  <si>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</si>
  <si>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</si>
  <si>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</si>
  <si>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</si>
  <si>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</si>
  <si>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</si>
  <si>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</si>
  <si>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</si>
  <si>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</si>
  <si>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</si>
  <si>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</si>
  <si>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</si>
  <si>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</si>
  <si>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</si>
  <si>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</si>
  <si>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</si>
  <si>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</si>
  <si>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</si>
  <si>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</si>
  <si>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</si>
  <si>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</si>
  <si>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</si>
  <si>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</si>
  <si>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</si>
  <si>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</si>
  <si>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</si>
  <si>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</si>
  <si>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</si>
  <si>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</si>
  <si>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</si>
  <si>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</si>
  <si>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</si>
  <si>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</si>
  <si>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</si>
  <si>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</si>
  <si>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</si>
  <si>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</si>
  <si>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</si>
  <si>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</si>
  <si>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</si>
  <si>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</si>
  <si>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</si>
  <si>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</si>
  <si>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</si>
  <si>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</si>
  <si>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</si>
  <si>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</si>
  <si>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</si>
  <si>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</si>
  <si>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</si>
  <si>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</si>
  <si>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</si>
  <si>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</si>
  <si>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</si>
  <si>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</si>
  <si>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</si>
  <si>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</si>
  <si>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</si>
  <si>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</si>
  <si>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</si>
  <si>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</si>
  <si>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</si>
  <si>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</si>
  <si>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</si>
  <si>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</si>
  <si>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</si>
  <si>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</si>
  <si>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</si>
  <si>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</si>
  <si>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</si>
  <si>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</si>
  <si>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</si>
  <si>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</si>
  <si>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</si>
  <si>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</si>
  <si>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</si>
  <si>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</si>
  <si>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</si>
  <si>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</si>
  <si>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</si>
  <si>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</si>
  <si>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</si>
  <si>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</si>
  <si>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</si>
  <si>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</si>
  <si>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</si>
  <si>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</si>
  <si>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</si>
  <si>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</si>
  <si>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</si>
  <si>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</si>
  <si>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</si>
  <si>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</si>
  <si>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</si>
  <si>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</si>
  <si>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</si>
  <si>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</si>
  <si>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</si>
  <si>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</si>
  <si>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</si>
  <si>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</si>
  <si>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</si>
  <si>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</si>
  <si>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</si>
  <si>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</si>
  <si>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</si>
  <si>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</si>
  <si>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</si>
  <si>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</si>
  <si>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</si>
  <si>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</si>
  <si>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</si>
  <si>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</si>
  <si>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</si>
  <si>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</si>
  <si>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</si>
  <si>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</si>
  <si>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</si>
  <si>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</si>
  <si>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</si>
  <si>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</si>
  <si>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</si>
  <si>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</si>
  <si>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</si>
  <si>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</si>
  <si>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</si>
  <si>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</si>
  <si>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</si>
  <si>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</si>
  <si>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</si>
  <si>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</si>
  <si>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</si>
  <si>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</si>
  <si>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</si>
  <si>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</si>
  <si>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</si>
  <si>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</si>
  <si>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</si>
  <si>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</si>
  <si>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</si>
  <si>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</si>
  <si>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</si>
  <si>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</si>
  <si>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</si>
  <si>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</si>
  <si>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</si>
  <si>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</si>
  <si>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</si>
  <si>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</si>
  <si>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</si>
  <si>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</si>
  <si>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</si>
  <si>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</si>
  <si>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</si>
  <si>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</si>
  <si>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</si>
  <si>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</si>
  <si>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</si>
  <si>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</si>
  <si>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</si>
  <si>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</si>
  <si>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</si>
  <si>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</si>
  <si>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</si>
  <si>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</si>
  <si>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</si>
  <si>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</si>
  <si>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</si>
  <si>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</si>
  <si>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</si>
  <si>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</si>
  <si>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</si>
  <si>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</si>
  <si>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</si>
  <si>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</si>
  <si>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</si>
  <si>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</si>
  <si>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</si>
  <si>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</si>
  <si>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</si>
  <si>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</si>
  <si>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</si>
  <si>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</si>
  <si>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</si>
  <si>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</si>
  <si>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</si>
  <si>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</si>
  <si>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</si>
  <si>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</si>
  <si>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</si>
  <si>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</si>
  <si>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</si>
  <si>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</si>
  <si>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</si>
  <si>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</si>
  <si>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</si>
  <si>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</si>
  <si>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</si>
  <si>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</si>
  <si>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</si>
  <si>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</si>
  <si>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</si>
  <si>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</si>
  <si>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</si>
  <si>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</si>
  <si>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</si>
  <si>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</si>
  <si>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</si>
  <si>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</si>
  <si>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</si>
  <si>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</si>
  <si>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</si>
  <si>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</si>
  <si>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</si>
  <si>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</si>
  <si>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</si>
  <si>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</si>
  <si>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</si>
  <si>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</si>
  <si>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</si>
  <si>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</si>
  <si>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</si>
  <si>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</si>
  <si>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</si>
  <si>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</si>
  <si>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</si>
  <si>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</si>
  <si>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</si>
  <si>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</si>
  <si>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</si>
  <si>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</si>
  <si>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</si>
  <si>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</si>
  <si>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</si>
  <si>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</si>
  <si>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</si>
  <si>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</si>
  <si>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</si>
  <si>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</si>
  <si>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</si>
  <si>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</si>
  <si>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</si>
  <si>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</si>
  <si>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</si>
  <si>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</si>
  <si>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</si>
  <si>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</si>
  <si>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</si>
  <si>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</si>
  <si>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</si>
  <si>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</si>
  <si>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</si>
  <si>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</si>
  <si>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</si>
  <si>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</si>
  <si>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</si>
  <si>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</si>
  <si>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</si>
  <si>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</si>
  <si>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</si>
  <si>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</si>
  <si>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</si>
  <si>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</si>
  <si>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</si>
  <si>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</si>
  <si>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</si>
  <si>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</si>
  <si>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</si>
  <si>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</si>
  <si>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</si>
  <si>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</si>
  <si>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</si>
  <si>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</si>
  <si>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</si>
  <si>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</si>
  <si>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</si>
  <si>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</si>
  <si>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</si>
  <si>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</si>
  <si>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</si>
  <si>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</si>
  <si>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</si>
  <si>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</si>
  <si>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</si>
  <si>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</si>
  <si>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</si>
  <si>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</si>
  <si>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</si>
  <si>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</si>
  <si>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</si>
  <si>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</si>
  <si>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</si>
  <si>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</si>
  <si>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</si>
  <si>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</si>
  <si>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</si>
  <si>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</si>
  <si>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</si>
  <si>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</si>
  <si>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</si>
  <si>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</si>
  <si>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</si>
  <si>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</si>
  <si>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</si>
  <si>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</si>
  <si>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</si>
  <si>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</si>
  <si>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</si>
  <si>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</si>
  <si>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</si>
  <si>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</si>
  <si>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</si>
  <si>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</si>
  <si>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</si>
  <si>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</si>
  <si>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</si>
  <si>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</si>
  <si>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</si>
  <si>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</si>
  <si>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</si>
  <si>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</si>
  <si>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</si>
  <si>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</si>
  <si>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</si>
  <si>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</si>
  <si>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</si>
  <si>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</si>
  <si>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</si>
  <si>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</si>
  <si>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</si>
  <si>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</si>
  <si>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</si>
  <si>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</si>
  <si>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</si>
  <si>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</si>
  <si>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</si>
  <si>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</si>
  <si>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</si>
  <si>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</si>
  <si>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</si>
  <si>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</si>
  <si>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</si>
  <si>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</si>
  <si>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</si>
  <si>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</si>
  <si>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</si>
  <si>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</si>
  <si>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</si>
  <si>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</si>
  <si>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</si>
  <si>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</si>
  <si>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</si>
  <si>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</si>
  <si>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</si>
  <si>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</si>
  <si>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</si>
  <si>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</si>
  <si>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</si>
  <si>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</si>
  <si>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</si>
  <si>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</si>
  <si>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</si>
  <si>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</si>
  <si>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</si>
  <si>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</si>
  <si>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</si>
  <si>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</si>
  <si>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</si>
  <si>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</si>
  <si>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</si>
  <si>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</si>
  <si>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</si>
  <si>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</si>
  <si>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</si>
  <si>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</si>
  <si>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</si>
  <si>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</si>
  <si>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</si>
  <si>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</si>
  <si>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</si>
  <si>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</si>
  <si>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</si>
  <si>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</si>
  <si>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</si>
  <si>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</si>
  <si>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</si>
  <si>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</si>
  <si>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</si>
  <si>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</si>
  <si>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</si>
  <si>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</si>
  <si>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</si>
  <si>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</si>
  <si>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</si>
  <si>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</si>
  <si>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</si>
  <si>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</si>
  <si>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</si>
  <si>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</si>
  <si>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</si>
  <si>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</si>
  <si>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</si>
  <si>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</si>
  <si>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</si>
  <si>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</si>
  <si>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</si>
  <si>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</si>
  <si>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</si>
  <si>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</si>
  <si>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</si>
  <si>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</si>
  <si>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</si>
  <si>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</si>
  <si>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</si>
  <si>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</si>
  <si>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</si>
  <si>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</si>
  <si>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</si>
  <si>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</si>
  <si>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</si>
  <si>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</si>
  <si>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</si>
  <si>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</si>
  <si>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</si>
  <si>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</si>
  <si>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</si>
  <si>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</si>
  <si>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</si>
  <si>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</si>
  <si>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</si>
  <si>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</si>
  <si>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</si>
  <si>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</si>
  <si>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</si>
  <si>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</si>
  <si>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</si>
  <si>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</si>
  <si>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</si>
  <si>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</si>
  <si>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</si>
  <si>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</si>
  <si>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</si>
  <si>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</si>
  <si>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</si>
  <si>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</si>
  <si>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</si>
  <si>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</si>
  <si>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</si>
  <si>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</si>
  <si>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</si>
  <si>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</si>
  <si>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</si>
  <si>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</si>
  <si>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</si>
  <si>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</si>
  <si>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</si>
  <si>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</si>
  <si>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</si>
  <si>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</si>
  <si>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</si>
  <si>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</si>
  <si>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</si>
  <si>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</si>
  <si>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</si>
  <si>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</si>
  <si>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</si>
  <si>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</si>
  <si>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</si>
  <si>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</si>
  <si>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</si>
  <si>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</si>
  <si>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</si>
  <si>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</si>
  <si>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</si>
  <si>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</si>
  <si>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</si>
  <si>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</si>
  <si>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</si>
  <si>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</si>
  <si>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</si>
  <si>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</si>
  <si>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</si>
  <si>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</si>
  <si>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</si>
  <si>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</si>
  <si>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</si>
  <si>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</si>
  <si>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</si>
  <si>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</si>
  <si>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</si>
  <si>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</si>
  <si>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</si>
  <si>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</si>
  <si>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</si>
  <si>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</si>
  <si>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</si>
  <si>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</si>
  <si>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</si>
  <si>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</si>
  <si>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</si>
  <si>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</si>
  <si>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</si>
  <si>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</si>
  <si>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</si>
  <si>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</si>
  <si>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</si>
  <si>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</si>
  <si>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</si>
  <si>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</si>
  <si>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</si>
  <si>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</si>
  <si>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</si>
  <si>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</si>
  <si>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</si>
  <si>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</si>
  <si>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</si>
  <si>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</si>
  <si>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</si>
  <si>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</si>
  <si>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</si>
  <si>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</si>
  <si>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</si>
  <si>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</si>
  <si>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</si>
  <si>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</si>
  <si>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</si>
  <si>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</si>
  <si>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</si>
  <si>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</si>
  <si>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</si>
  <si>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</si>
  <si>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</si>
  <si>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</si>
  <si>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</si>
  <si>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</si>
  <si>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</si>
  <si>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</si>
  <si>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</si>
  <si>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</si>
  <si>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</si>
  <si>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</si>
  <si>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</si>
  <si>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</si>
  <si>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</si>
  <si>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</si>
  <si>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</si>
  <si>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</si>
  <si>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</si>
  <si>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</si>
  <si>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</si>
  <si>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</si>
  <si>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</si>
  <si>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</si>
  <si>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</si>
  <si>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</si>
  <si>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</si>
  <si>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</si>
  <si>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</si>
  <si>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</si>
  <si>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</si>
  <si>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</si>
  <si>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</si>
  <si>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</si>
  <si>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</si>
  <si>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</si>
  <si>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</si>
  <si>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</si>
  <si>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</si>
  <si>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</si>
  <si>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</si>
  <si>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</si>
  <si>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</si>
  <si>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</si>
  <si>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</si>
  <si>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</si>
  <si>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</si>
  <si>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</si>
  <si>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</si>
  <si>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</si>
  <si>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</si>
  <si>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</si>
  <si>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</si>
  <si>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</si>
  <si>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</si>
  <si>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</si>
  <si>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</si>
  <si>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</si>
  <si>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</si>
  <si>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</si>
  <si>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</si>
  <si>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</si>
  <si>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</si>
  <si>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</si>
  <si>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</si>
  <si>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</si>
  <si>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</si>
  <si>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</si>
  <si>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</si>
  <si>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</si>
  <si>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</si>
  <si>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</si>
  <si>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</si>
  <si>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</si>
  <si>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</si>
  <si>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</si>
  <si>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</si>
  <si>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</si>
  <si>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</si>
  <si>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</si>
  <si>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</si>
  <si>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</si>
  <si>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</si>
  <si>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</si>
  <si>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</si>
  <si>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</si>
  <si>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</si>
  <si>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</si>
  <si>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</si>
  <si>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</si>
  <si>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</si>
  <si>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</si>
  <si>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</si>
  <si>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</si>
  <si>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</si>
  <si>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</si>
  <si>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</si>
  <si>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</si>
  <si>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</si>
  <si>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</si>
  <si>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</si>
  <si>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</si>
  <si>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</si>
  <si>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</si>
  <si>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</si>
  <si>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</si>
  <si>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</si>
  <si>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</si>
  <si>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</si>
  <si>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</si>
  <si>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</si>
  <si>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</si>
  <si>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</si>
  <si>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</si>
  <si>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</si>
  <si>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</si>
  <si>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</si>
  <si>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</si>
  <si>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</si>
  <si>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</si>
  <si>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</si>
  <si>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</si>
  <si>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</si>
  <si>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</si>
  <si>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</si>
  <si>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</si>
  <si>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</si>
  <si>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</si>
  <si>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</si>
  <si>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</si>
  <si>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</si>
  <si>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</si>
  <si>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</si>
  <si>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</si>
  <si>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</si>
  <si>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</si>
  <si>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</si>
  <si>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</si>
  <si>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</si>
  <si>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</si>
  <si>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</si>
  <si>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</si>
  <si>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</si>
  <si>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</si>
  <si>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</si>
  <si>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</si>
  <si>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</si>
  <si>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</si>
  <si>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</si>
  <si>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</si>
  <si>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</si>
  <si>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</si>
  <si>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</si>
  <si>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</si>
  <si>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</si>
  <si>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</si>
  <si>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</si>
  <si>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</si>
  <si>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</si>
  <si>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</si>
  <si>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</si>
  <si>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</si>
  <si>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</si>
  <si>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</si>
  <si>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</si>
  <si>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</si>
  <si>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</si>
  <si>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</si>
  <si>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</si>
  <si>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</si>
  <si>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</si>
  <si>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</si>
  <si>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</si>
  <si>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</si>
  <si>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</si>
  <si>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</si>
  <si>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</si>
  <si>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</si>
  <si>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</si>
  <si>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</si>
  <si>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</si>
  <si>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</si>
  <si>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</si>
  <si>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</si>
  <si>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</si>
  <si>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</si>
  <si>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</si>
  <si>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</si>
  <si>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</si>
  <si>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</si>
  <si>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</si>
  <si>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</si>
  <si>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</si>
  <si>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</si>
  <si>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</si>
  <si>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</si>
  <si>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</si>
  <si>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</si>
  <si>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</si>
  <si>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</si>
  <si>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</si>
  <si>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</si>
  <si>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</si>
  <si>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</si>
  <si>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</si>
  <si>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</si>
  <si>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</si>
  <si>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</si>
  <si>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</si>
  <si>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</si>
  <si>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</si>
  <si>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</si>
  <si>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</si>
  <si>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</si>
  <si>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</si>
  <si>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</si>
  <si>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</si>
  <si>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</si>
  <si>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</si>
  <si>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</si>
  <si>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</si>
  <si>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</si>
  <si>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</si>
  <si>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</si>
  <si>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</si>
  <si>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</si>
  <si>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</si>
  <si>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</si>
  <si>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</si>
  <si>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</si>
  <si>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</si>
  <si>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</si>
  <si>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</si>
  <si>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</si>
  <si>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</si>
  <si>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</si>
  <si>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</si>
  <si>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</si>
  <si>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</si>
  <si>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</si>
  <si>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</si>
  <si>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</si>
  <si>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</si>
  <si>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</si>
  <si>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</si>
  <si>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</si>
  <si>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</si>
  <si>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</si>
  <si>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</si>
  <si>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</si>
  <si>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</si>
  <si>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</si>
  <si>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</si>
  <si>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</si>
  <si>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</si>
  <si>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</si>
  <si>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</si>
  <si>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</si>
  <si>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</si>
  <si>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</si>
  <si>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</si>
  <si>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</si>
  <si>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</si>
  <si>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</si>
  <si>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</si>
  <si>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</si>
  <si>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</si>
  <si>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</si>
  <si>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</si>
  <si>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</si>
  <si>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</si>
  <si>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</si>
  <si>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</si>
  <si>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</si>
  <si>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</si>
  <si>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</si>
  <si>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</si>
  <si>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</si>
  <si>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</si>
  <si>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</si>
  <si>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</si>
  <si>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</si>
  <si>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</si>
  <si>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</si>
  <si>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</si>
  <si>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</si>
  <si>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</si>
  <si>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</si>
  <si>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</si>
  <si>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</si>
  <si>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</si>
  <si>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</si>
  <si>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</si>
  <si>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</si>
  <si>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</si>
  <si>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</si>
  <si>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</si>
  <si>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</si>
  <si>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</si>
  <si>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</si>
  <si>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</si>
  <si>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</si>
  <si>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</si>
  <si>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</si>
  <si>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</si>
  <si>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</si>
  <si>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</si>
  <si>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</si>
  <si>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</si>
  <si>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</si>
  <si>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</si>
  <si>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</si>
  <si>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</si>
  <si>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</si>
  <si>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</si>
  <si>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</si>
  <si>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</si>
  <si>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</si>
  <si>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</si>
  <si>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</si>
  <si>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</si>
  <si>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</si>
  <si>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</si>
  <si>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</si>
  <si>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</si>
  <si>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</si>
  <si>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</si>
  <si>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</si>
  <si>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</si>
  <si>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</si>
  <si>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</si>
  <si>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</si>
  <si>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</si>
  <si>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</si>
  <si>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</si>
  <si>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</si>
  <si>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</si>
  <si>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</si>
  <si>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</si>
  <si>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</si>
  <si>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</si>
  <si>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</si>
  <si>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</si>
  <si>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</si>
  <si>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</si>
  <si>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</si>
  <si>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</si>
  <si>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</si>
  <si>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</si>
  <si>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</si>
  <si>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</si>
  <si>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</si>
  <si>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</si>
  <si>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</si>
  <si>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</si>
  <si>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</si>
  <si>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</si>
  <si>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</si>
  <si>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</si>
  <si>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</si>
  <si>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</si>
  <si>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</si>
  <si>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</si>
  <si>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</si>
  <si>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</si>
  <si>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</si>
  <si>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</si>
  <si>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</si>
  <si>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</si>
  <si>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</si>
  <si>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</si>
  <si>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</si>
  <si>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</si>
  <si>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</si>
  <si>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</si>
  <si>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</si>
  <si>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</si>
  <si>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</si>
  <si>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</si>
  <si>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</si>
  <si>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</si>
  <si>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</si>
  <si>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</si>
  <si>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</si>
  <si>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</si>
  <si>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</si>
  <si>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</si>
  <si>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</si>
  <si>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</si>
  <si>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</si>
  <si>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</si>
  <si>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</si>
  <si>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</si>
  <si>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</si>
  <si>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</si>
  <si>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</si>
  <si>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</si>
  <si>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</si>
  <si>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</si>
  <si>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</si>
  <si>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</si>
  <si>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</si>
  <si>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</si>
  <si>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</si>
  <si>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</si>
  <si>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</si>
  <si>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</si>
  <si>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</si>
  <si>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</si>
  <si>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</si>
  <si>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</si>
  <si>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</si>
  <si>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</si>
  <si>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</si>
  <si>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</si>
  <si>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</si>
  <si>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</si>
  <si>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</si>
  <si>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</si>
  <si>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</si>
  <si>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</si>
  <si>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</si>
  <si>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</si>
  <si>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</si>
  <si>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</si>
  <si>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</si>
  <si>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</si>
  <si>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</si>
  <si>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</si>
  <si>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</si>
  <si>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</si>
  <si>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</si>
  <si>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</si>
  <si>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</si>
  <si>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</si>
  <si>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</si>
  <si>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</si>
  <si>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</si>
  <si>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</si>
  <si>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</si>
  <si>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</si>
  <si>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</si>
  <si>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</si>
  <si>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</si>
  <si>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</si>
  <si>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</si>
  <si>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</si>
  <si>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</si>
  <si>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</si>
  <si>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</si>
  <si>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</si>
  <si>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</si>
  <si>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</si>
  <si>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</si>
  <si>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</si>
  <si>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</si>
  <si>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</si>
  <si>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</si>
  <si>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</si>
  <si>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</si>
  <si>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</si>
  <si>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</si>
  <si>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</si>
  <si>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</si>
  <si>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</si>
  <si>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</si>
  <si>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</si>
  <si>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</si>
  <si>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</si>
  <si>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</si>
  <si>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</si>
  <si>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</si>
  <si>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</si>
  <si>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</si>
  <si>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</si>
  <si>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</si>
  <si>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</si>
  <si>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</si>
  <si>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</si>
  <si>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</si>
  <si>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</si>
  <si>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</si>
  <si>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</si>
  <si>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</si>
  <si>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</si>
  <si>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</si>
  <si>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</si>
  <si>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</si>
  <si>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</si>
  <si>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</si>
  <si>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</si>
  <si>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</si>
  <si>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</si>
  <si>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</si>
  <si>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</si>
  <si>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</si>
  <si>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</si>
  <si>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</si>
  <si>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</si>
  <si>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</si>
  <si>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</si>
  <si>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</si>
  <si>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</si>
  <si>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</si>
  <si>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</si>
  <si>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</si>
  <si>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</si>
  <si>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</si>
  <si>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</si>
  <si>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</si>
  <si>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</si>
  <si>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</si>
  <si>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</si>
  <si>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</si>
  <si>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</si>
  <si>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</si>
  <si>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</si>
  <si>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</si>
  <si>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</si>
  <si>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</si>
  <si>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</si>
  <si>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</si>
  <si>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</si>
  <si>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</si>
  <si>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</si>
  <si>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</si>
  <si>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</si>
  <si>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</si>
  <si>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</si>
  <si>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</si>
  <si>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</si>
  <si>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</si>
  <si>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</si>
  <si>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</si>
  <si>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</si>
  <si>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</si>
  <si>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</si>
  <si>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</si>
  <si>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</si>
  <si>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</si>
  <si>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</si>
  <si>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</si>
  <si>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</si>
  <si>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</si>
  <si>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</si>
  <si>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</si>
  <si>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</si>
  <si>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</si>
  <si>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</si>
  <si>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</si>
  <si>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</si>
  <si>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</si>
  <si>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</si>
  <si>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</si>
  <si>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</si>
  <si>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</si>
  <si>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</si>
  <si>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</si>
  <si>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</si>
  <si>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</si>
  <si>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</si>
  <si>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</si>
  <si>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</si>
  <si>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</si>
  <si>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</si>
  <si>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</si>
  <si>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</si>
  <si>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</si>
  <si>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</si>
  <si>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</si>
  <si>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</si>
  <si>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</si>
  <si>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</si>
  <si>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</si>
  <si>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</si>
  <si>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</si>
  <si>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</si>
  <si>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</si>
  <si>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</si>
  <si>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</si>
  <si>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</si>
  <si>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</si>
  <si>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</si>
  <si>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</si>
  <si>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</si>
  <si>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</si>
  <si>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</si>
  <si>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</si>
  <si>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</si>
  <si>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</si>
  <si>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</si>
  <si>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</si>
  <si>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</si>
  <si>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</si>
  <si>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</si>
  <si>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</si>
  <si>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</si>
  <si>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</si>
  <si>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</si>
  <si>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</si>
  <si>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</si>
  <si>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</si>
  <si>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</si>
  <si>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</si>
  <si>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</si>
  <si>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</si>
  <si>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</si>
  <si>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</si>
  <si>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</si>
  <si>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</si>
  <si>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</si>
  <si>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</si>
  <si>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</si>
  <si>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</si>
  <si>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</si>
  <si>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</si>
  <si>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</si>
  <si>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</si>
  <si>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</si>
  <si>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</si>
  <si>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</si>
  <si>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</si>
  <si>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</si>
  <si>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</si>
  <si>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</si>
  <si>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</si>
  <si>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</si>
  <si>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</si>
  <si>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</si>
  <si>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</si>
  <si>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</si>
  <si>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</si>
  <si>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</si>
  <si>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</si>
  <si>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</si>
  <si>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</si>
  <si>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</si>
  <si>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</si>
  <si>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</si>
  <si>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</si>
  <si>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</si>
  <si>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</si>
  <si>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</si>
  <si>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</si>
  <si>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</si>
  <si>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</si>
  <si>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</si>
  <si>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</si>
  <si>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</si>
  <si>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</si>
  <si>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</si>
  <si>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</si>
  <si>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</si>
  <si>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</si>
  <si>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</si>
  <si>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</si>
  <si>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</si>
  <si>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</si>
  <si>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</si>
  <si>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</si>
  <si>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</si>
  <si>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</si>
  <si>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</si>
  <si>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</si>
  <si>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</si>
  <si>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</si>
  <si>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</si>
  <si>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</si>
  <si>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</si>
  <si>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</si>
  <si>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</si>
  <si>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</si>
  <si>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</si>
  <si>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</si>
  <si>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</si>
  <si>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</si>
  <si>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</si>
  <si>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</si>
  <si>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</si>
  <si>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</si>
  <si>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</si>
  <si>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</si>
  <si>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</si>
  <si>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</si>
  <si>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</si>
  <si>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</si>
  <si>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</si>
  <si>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</si>
  <si>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</si>
  <si>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</si>
  <si>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</si>
  <si>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</si>
  <si>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</si>
  <si>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</si>
  <si>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</si>
  <si>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</si>
  <si>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</si>
  <si>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</si>
  <si>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</si>
  <si>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</si>
  <si>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</si>
  <si>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</si>
  <si>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</si>
  <si>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</si>
  <si>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</si>
  <si>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</si>
  <si>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</si>
  <si>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</si>
  <si>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</si>
  <si>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</si>
  <si>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</si>
  <si>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</si>
  <si>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</si>
  <si>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</si>
  <si>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</si>
  <si>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</si>
  <si>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</si>
  <si>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</si>
  <si>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</si>
  <si>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</si>
  <si>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</si>
  <si>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</si>
  <si>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</si>
  <si>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</si>
  <si>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</si>
  <si>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</si>
  <si>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</si>
  <si>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</si>
  <si>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</si>
  <si>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</si>
  <si>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</si>
  <si>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</si>
  <si>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</si>
  <si>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</si>
  <si>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</si>
  <si>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</si>
  <si>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</si>
  <si>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</si>
  <si>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</si>
  <si>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</si>
  <si>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</si>
  <si>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</si>
  <si>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</si>
  <si>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</si>
  <si>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</si>
  <si>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</si>
  <si>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</si>
  <si>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</si>
  <si>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</si>
  <si>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</si>
  <si>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</si>
  <si>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</si>
  <si>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</si>
  <si>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</si>
  <si>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</si>
  <si>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</si>
  <si>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</si>
  <si>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</si>
  <si>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</si>
  <si>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</si>
  <si>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</si>
  <si>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</si>
  <si>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</si>
  <si>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</si>
  <si>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</si>
  <si>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</si>
  <si>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</si>
  <si>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</si>
  <si>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</si>
  <si>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</si>
  <si>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</si>
  <si>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</si>
  <si>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</si>
  <si>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</si>
  <si>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</si>
  <si>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</si>
  <si>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</si>
  <si>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</si>
  <si>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</si>
  <si>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</si>
  <si>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</si>
  <si>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</si>
  <si>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</si>
  <si>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</si>
  <si>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</si>
  <si>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</si>
  <si>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</si>
  <si>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</si>
  <si>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</si>
  <si>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</si>
  <si>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</si>
  <si>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</si>
  <si>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</si>
  <si>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</si>
  <si>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</si>
  <si>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</si>
  <si>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</si>
  <si>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</si>
  <si>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</si>
  <si>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</si>
  <si>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</si>
  <si>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</si>
  <si>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</si>
  <si>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</si>
  <si>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</si>
  <si>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</si>
  <si>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</si>
  <si>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</si>
  <si>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</si>
  <si>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</si>
  <si>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</si>
  <si>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</si>
  <si>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</si>
  <si>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</si>
  <si>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</si>
  <si>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</si>
  <si>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</si>
  <si>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</si>
  <si>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</si>
  <si>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</si>
  <si>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</si>
  <si>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</si>
  <si>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</si>
  <si>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</si>
  <si>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</si>
  <si>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</si>
  <si>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</si>
  <si>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</si>
  <si>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</si>
  <si>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</si>
  <si>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</si>
  <si>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</si>
  <si>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</si>
  <si>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</si>
  <si>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</si>
  <si>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</si>
  <si>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</si>
  <si>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</si>
  <si>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</si>
  <si>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</si>
  <si>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</si>
  <si>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</si>
  <si>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</si>
  <si>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</si>
  <si>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</si>
  <si>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</si>
  <si>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</si>
  <si>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</si>
  <si>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</si>
  <si>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</si>
  <si>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</si>
  <si>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</si>
  <si>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</si>
  <si>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</si>
  <si>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</si>
  <si>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</si>
  <si>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</si>
  <si>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</si>
  <si>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</si>
  <si>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</si>
  <si>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</si>
  <si>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</si>
  <si>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</si>
  <si>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</si>
  <si>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</si>
  <si>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</si>
  <si>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</si>
  <si>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</si>
  <si>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</si>
  <si>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</si>
  <si>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</si>
  <si>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</si>
  <si>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</si>
  <si>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</si>
  <si>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</si>
  <si>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</si>
  <si>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</si>
  <si>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</si>
  <si>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</si>
  <si>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</si>
  <si>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</si>
  <si>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</si>
  <si>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</si>
  <si>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</si>
  <si>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</si>
  <si>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</si>
  <si>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</si>
  <si>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</si>
  <si>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</si>
  <si>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</si>
  <si>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</si>
  <si>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</si>
  <si>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</si>
  <si>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</si>
  <si>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</si>
  <si>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</si>
  <si>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</si>
  <si>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</si>
  <si>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</si>
  <si>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</si>
  <si>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</si>
  <si>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</si>
  <si>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</si>
  <si>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</si>
  <si>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</si>
  <si>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</si>
  <si>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</si>
  <si>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</si>
  <si>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</si>
  <si>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</si>
  <si>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</si>
  <si>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</si>
  <si>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</si>
  <si>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</si>
  <si>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</si>
  <si>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</si>
  <si>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</si>
  <si>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</si>
  <si>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</si>
  <si>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</si>
  <si>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</si>
  <si>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</si>
  <si>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</si>
  <si>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</si>
  <si>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</si>
  <si>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</si>
  <si>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</si>
  <si>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</si>
  <si>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</si>
  <si>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</si>
  <si>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</si>
  <si>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</si>
  <si>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</si>
  <si>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</si>
  <si>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</si>
  <si>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</si>
  <si>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</si>
  <si>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</si>
  <si>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</si>
  <si>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</si>
  <si>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</si>
  <si>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</si>
  <si>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</si>
  <si>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</si>
  <si>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</si>
  <si>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</si>
  <si>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</si>
  <si>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</si>
  <si>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</si>
  <si>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</si>
  <si>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</si>
  <si>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</si>
  <si>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</si>
  <si>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</si>
  <si>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</si>
  <si>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</si>
  <si>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</si>
  <si>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</si>
  <si>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</si>
  <si>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</si>
  <si>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</si>
  <si>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</si>
  <si>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</si>
  <si>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</si>
  <si>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</si>
  <si>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</si>
  <si>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</si>
  <si>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</si>
  <si>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</si>
  <si>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</si>
  <si>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</si>
  <si>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</si>
  <si>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</si>
  <si>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</si>
  <si>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</si>
  <si>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</si>
  <si>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</si>
  <si>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</si>
  <si>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</si>
  <si>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</si>
  <si>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</si>
  <si>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</si>
  <si>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</si>
  <si>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</si>
  <si>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</si>
  <si>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</si>
  <si>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</si>
  <si>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</si>
  <si>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</si>
  <si>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</si>
  <si>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</si>
  <si>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</si>
  <si>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</si>
  <si>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</si>
  <si>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</si>
  <si>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</si>
  <si>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</si>
  <si>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</si>
  <si>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</si>
  <si>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</si>
  <si>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</si>
  <si>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</si>
  <si>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</si>
  <si>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</si>
  <si>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</si>
  <si>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</si>
  <si>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</si>
  <si>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</si>
  <si>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</si>
  <si>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</si>
  <si>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</si>
  <si>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</si>
  <si>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</si>
  <si>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</si>
  <si>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</si>
  <si>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</si>
  <si>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</si>
  <si>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</si>
  <si>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</si>
  <si>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</si>
  <si>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</si>
  <si>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</si>
  <si>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</si>
  <si>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</si>
  <si>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</si>
  <si>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</si>
  <si>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</si>
  <si>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</si>
  <si>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</si>
  <si>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</si>
  <si>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</si>
  <si>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</si>
  <si>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</si>
  <si>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</si>
  <si>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</si>
  <si>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</si>
  <si>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</si>
  <si>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</si>
  <si>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</si>
  <si>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</si>
  <si>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</si>
  <si>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</si>
  <si>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</si>
  <si>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</si>
  <si>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</si>
  <si>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</si>
  <si>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</si>
  <si>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</si>
  <si>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</si>
  <si>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</si>
  <si>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</si>
  <si>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</si>
  <si>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</si>
  <si>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</si>
  <si>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</si>
  <si>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</si>
  <si>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</si>
  <si>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</si>
  <si>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</si>
  <si>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</si>
  <si>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</si>
  <si>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</si>
  <si>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</si>
  <si>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</si>
  <si>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</si>
  <si>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</si>
  <si>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</si>
  <si>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</si>
  <si>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</si>
  <si>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</si>
  <si>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</si>
  <si>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</si>
  <si>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</si>
  <si>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</si>
  <si>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</si>
  <si>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</si>
  <si>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</si>
  <si>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</si>
  <si>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</si>
  <si>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</si>
  <si>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</si>
  <si>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</si>
  <si>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</si>
  <si>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</si>
  <si>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</si>
  <si>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</si>
  <si>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</si>
  <si>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</si>
  <si>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</si>
  <si>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</si>
  <si>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</si>
  <si>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</si>
  <si>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</si>
  <si>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</si>
  <si>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</si>
  <si>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</si>
  <si>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</si>
  <si>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</si>
  <si>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</si>
  <si>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</si>
  <si>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</si>
  <si>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</si>
  <si>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</si>
  <si>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</si>
  <si>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</si>
  <si>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</si>
  <si>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</si>
  <si>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</si>
  <si>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</si>
  <si>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</si>
  <si>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</si>
  <si>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</si>
  <si>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</si>
  <si>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</si>
  <si>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</si>
  <si>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</si>
  <si>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</si>
  <si>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</si>
  <si>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</si>
  <si>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</si>
  <si>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</si>
  <si>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</si>
  <si>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</si>
  <si>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</si>
  <si>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</si>
  <si>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</si>
  <si>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</si>
  <si>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</si>
  <si>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</si>
  <si>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</si>
  <si>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</si>
  <si>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</si>
  <si>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</si>
  <si>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</si>
  <si>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</si>
  <si>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</si>
  <si>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</si>
  <si>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</si>
  <si>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</si>
  <si>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</si>
  <si>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</si>
  <si>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</si>
  <si>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</si>
  <si>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</si>
  <si>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</si>
  <si>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</si>
  <si>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</si>
  <si>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</si>
  <si>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</si>
  <si>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</si>
  <si>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</si>
  <si>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</si>
  <si>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</si>
  <si>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</si>
  <si>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</si>
  <si>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</si>
  <si>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</si>
  <si>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</si>
  <si>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</si>
  <si>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</si>
  <si>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</si>
  <si>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</si>
  <si>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</si>
  <si>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</si>
  <si>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</si>
  <si>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</si>
  <si>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</si>
  <si>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</si>
  <si>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</si>
  <si>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</si>
  <si>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</si>
  <si>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</si>
  <si>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</si>
  <si>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</si>
  <si>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</si>
  <si>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</si>
  <si>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</si>
  <si>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</si>
  <si>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</si>
  <si>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</si>
  <si>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</si>
  <si>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</si>
  <si>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</si>
  <si>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</si>
  <si>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</si>
  <si>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</si>
  <si>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</si>
  <si>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</si>
  <si>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</si>
  <si>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</si>
  <si>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</si>
  <si>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</si>
  <si>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</si>
  <si>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</si>
  <si>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</si>
  <si>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</si>
  <si>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</si>
  <si>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</si>
  <si>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</si>
  <si>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</si>
  <si>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</si>
  <si>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</si>
  <si>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</si>
  <si>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</si>
  <si>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</si>
  <si>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</si>
  <si>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</si>
  <si>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</si>
  <si>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</si>
  <si>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</si>
  <si>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</si>
  <si>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</si>
  <si>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</si>
  <si>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</si>
  <si>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</si>
  <si>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</si>
  <si>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</si>
  <si>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</si>
  <si>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</si>
  <si>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</si>
  <si>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</si>
  <si>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</si>
  <si>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</si>
  <si>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</si>
  <si>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</si>
  <si>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</si>
  <si>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</si>
  <si>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</si>
  <si>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</si>
  <si>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</si>
  <si>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</si>
  <si>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</si>
  <si>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</si>
  <si>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</si>
  <si>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</si>
  <si>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</si>
  <si>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</si>
  <si>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</si>
  <si>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</si>
  <si>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</si>
  <si>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</si>
  <si>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</si>
  <si>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</si>
  <si>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</si>
  <si>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</si>
  <si>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</si>
  <si>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</si>
  <si>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</si>
  <si>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</si>
  <si>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</si>
  <si>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</si>
  <si>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</si>
  <si>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</si>
  <si>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</si>
  <si>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</si>
  <si>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</si>
  <si>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</si>
  <si>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</si>
  <si>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</si>
  <si>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</si>
  <si>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</si>
  <si>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</si>
  <si>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</si>
  <si>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</si>
  <si>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</si>
  <si>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</si>
  <si>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</si>
  <si>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</si>
  <si>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</si>
  <si>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</si>
  <si>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</si>
  <si>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</si>
  <si>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</si>
  <si>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</si>
  <si>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</si>
  <si>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</si>
  <si>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</si>
  <si>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</si>
  <si>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</si>
  <si>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</si>
  <si>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</si>
  <si>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</si>
  <si>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</si>
  <si>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</si>
  <si>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</si>
  <si>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</si>
  <si>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</si>
  <si>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</si>
  <si>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</si>
  <si>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</si>
  <si>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</si>
  <si>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</si>
  <si>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</si>
  <si>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</si>
  <si>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</si>
  <si>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</si>
  <si>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</si>
  <si>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</si>
  <si>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</si>
  <si>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</si>
  <si>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</si>
  <si>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</si>
  <si>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</si>
  <si>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</si>
  <si>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</si>
  <si>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</si>
  <si>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</si>
  <si>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</si>
  <si>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</si>
  <si>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</si>
  <si>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</si>
  <si>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</si>
  <si>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</si>
  <si>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</si>
  <si>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</si>
  <si>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</si>
  <si>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</si>
  <si>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</si>
  <si>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</si>
  <si>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</si>
  <si>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</si>
  <si>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</si>
  <si>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</si>
  <si>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</si>
  <si>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</si>
  <si>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</si>
  <si>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</si>
  <si>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</si>
  <si>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</si>
  <si>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</si>
  <si>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</si>
  <si>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</si>
  <si>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</si>
  <si>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</si>
  <si>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</si>
  <si>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</si>
  <si>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</si>
  <si>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</si>
  <si>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</si>
  <si>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</si>
  <si>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</si>
  <si>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</si>
  <si>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</si>
  <si>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</si>
  <si>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</si>
  <si>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</si>
  <si>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</si>
  <si>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</si>
  <si>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</si>
  <si>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</si>
  <si>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</si>
  <si>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</si>
  <si>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</si>
  <si>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</si>
  <si>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</si>
  <si>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</si>
  <si>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</si>
  <si>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</si>
  <si>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</si>
  <si>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</si>
  <si>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</si>
  <si>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</si>
  <si>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</si>
  <si>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</si>
  <si>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</si>
  <si>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</si>
  <si>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</si>
  <si>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</si>
  <si>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</si>
  <si>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</si>
  <si>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</si>
  <si>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</si>
  <si>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</si>
  <si>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</si>
  <si>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</si>
  <si>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</si>
  <si>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</si>
  <si>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</si>
  <si>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</si>
  <si>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</si>
  <si>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</si>
  <si>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</si>
  <si>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</si>
  <si>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</si>
  <si>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</si>
  <si>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</si>
  <si>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</si>
  <si>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</si>
  <si>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</si>
  <si>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</si>
  <si>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</si>
  <si>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</si>
  <si>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</si>
  <si>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</si>
  <si>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</si>
  <si>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</si>
  <si>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</si>
  <si>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</si>
  <si>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</si>
  <si>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</si>
  <si>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</si>
  <si>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</si>
  <si>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</si>
  <si>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</si>
  <si>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</si>
  <si>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</si>
  <si>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</si>
  <si>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</si>
  <si>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</si>
  <si>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</si>
  <si>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</si>
  <si>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</si>
  <si>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</si>
  <si>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</si>
  <si>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</si>
  <si>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</si>
  <si>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</si>
  <si>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</si>
  <si>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</si>
  <si>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</si>
  <si>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</si>
  <si>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</si>
  <si>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</si>
  <si>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</si>
  <si>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</si>
  <si>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</si>
  <si>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</si>
  <si>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</si>
  <si>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</si>
  <si>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</si>
  <si>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</si>
  <si>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</si>
  <si>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</si>
  <si>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</si>
  <si>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</si>
  <si>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</si>
  <si>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</si>
  <si>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</si>
  <si>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</si>
  <si>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</si>
  <si>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</si>
  <si>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</si>
  <si>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</si>
  <si>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</si>
  <si>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</si>
  <si>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</si>
  <si>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</si>
  <si>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</si>
  <si>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</si>
  <si>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</si>
  <si>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</si>
  <si>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</si>
  <si>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</si>
  <si>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</si>
  <si>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</si>
  <si>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</si>
  <si>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</si>
  <si>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</si>
  <si>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</si>
  <si>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</si>
  <si>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</si>
  <si>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</si>
  <si>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</si>
  <si>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</si>
  <si>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</si>
  <si>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</si>
  <si>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</si>
  <si>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</si>
  <si>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</si>
  <si>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</si>
  <si>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</si>
  <si>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</si>
  <si>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</si>
  <si>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</si>
  <si>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</si>
  <si>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</si>
  <si>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</si>
  <si>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</si>
  <si>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</si>
  <si>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</si>
  <si>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</si>
  <si>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</si>
  <si>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</si>
  <si>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</si>
  <si>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</si>
  <si>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</si>
  <si>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</si>
  <si>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</si>
  <si>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</si>
  <si>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</si>
  <si>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</si>
  <si>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</si>
  <si>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</si>
  <si>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</si>
  <si>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</si>
  <si>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</si>
  <si>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</si>
  <si>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</si>
  <si>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</si>
  <si>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</si>
  <si>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</si>
  <si>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</si>
  <si>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</si>
  <si>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</si>
  <si>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</si>
  <si>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</si>
  <si>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</si>
  <si>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</si>
  <si>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</si>
  <si>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</si>
  <si>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</si>
  <si>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</si>
  <si>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</si>
  <si>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</si>
  <si>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</si>
  <si>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</si>
  <si>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</si>
  <si>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</si>
  <si>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</si>
  <si>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</si>
  <si>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</si>
  <si>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</si>
  <si>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</si>
  <si>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</si>
  <si>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</si>
  <si>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</si>
  <si>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</si>
  <si>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</si>
  <si>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</si>
  <si>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</si>
  <si>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</si>
  <si>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</si>
  <si>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</si>
  <si>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</si>
  <si>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</si>
  <si>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</si>
  <si>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</si>
  <si>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</si>
  <si>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</si>
  <si>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</si>
  <si>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</si>
  <si>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</si>
  <si>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</si>
  <si>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</si>
  <si>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</si>
  <si>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</si>
  <si>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</si>
  <si>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</si>
  <si>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</si>
  <si>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</si>
  <si>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</si>
  <si>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</si>
  <si>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</si>
  <si>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</si>
  <si>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</si>
  <si>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</si>
  <si>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</si>
  <si>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</si>
  <si>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</si>
  <si>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</si>
  <si>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</si>
  <si>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</si>
  <si>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</si>
  <si>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</si>
  <si>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</si>
  <si>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</si>
  <si>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</si>
  <si>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</si>
  <si>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</si>
  <si>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</si>
  <si>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</si>
  <si>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</si>
  <si>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</si>
  <si>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</si>
  <si>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</si>
  <si>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</si>
  <si>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</si>
  <si>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</si>
  <si>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</si>
  <si>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</si>
  <si>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</si>
  <si>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</si>
  <si>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</si>
  <si>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</si>
  <si>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</si>
  <si>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</si>
  <si>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</si>
  <si>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</si>
  <si>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</si>
  <si>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</si>
  <si>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</si>
  <si>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</si>
  <si>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</si>
  <si>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</si>
  <si>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</si>
  <si>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</si>
  <si>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</si>
  <si>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</si>
  <si>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</si>
  <si>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</si>
  <si>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</si>
  <si>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</si>
  <si>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</si>
  <si>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</si>
  <si>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</si>
  <si>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</si>
  <si>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</si>
  <si>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</si>
  <si>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</si>
  <si>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</si>
  <si>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</si>
  <si>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</si>
  <si>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</si>
  <si>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</si>
  <si>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</si>
  <si>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</si>
  <si>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</si>
  <si>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</si>
  <si>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</si>
  <si>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</si>
  <si>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</si>
  <si>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</si>
  <si>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</si>
  <si>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</si>
  <si>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</si>
  <si>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</si>
  <si>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</si>
  <si>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</si>
  <si>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</si>
  <si>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</si>
  <si>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</si>
  <si>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</si>
  <si>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</si>
  <si>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</si>
  <si>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</si>
  <si>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</si>
  <si>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</si>
  <si>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</si>
  <si>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</si>
  <si>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</si>
  <si>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</si>
  <si>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</si>
  <si>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</si>
  <si>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</si>
  <si>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</si>
  <si>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</si>
  <si>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</si>
  <si>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</si>
  <si>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</si>
  <si>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</si>
  <si>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</si>
  <si>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</si>
  <si>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</si>
  <si>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</si>
  <si>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</si>
  <si>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</si>
  <si>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</si>
  <si>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</si>
  <si>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</si>
  <si>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</si>
  <si>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</si>
  <si>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</si>
  <si>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</si>
  <si>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</si>
  <si>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</si>
  <si>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</si>
  <si>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</si>
  <si>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</si>
  <si>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</si>
  <si>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</si>
  <si>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</si>
  <si>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</si>
  <si>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</si>
  <si>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</si>
  <si>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</si>
  <si>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</si>
  <si>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</si>
  <si>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</si>
  <si>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</si>
  <si>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</si>
  <si>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</si>
  <si>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</si>
  <si>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</si>
  <si>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</si>
  <si>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</si>
  <si>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</si>
  <si>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</si>
  <si>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</si>
  <si>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</si>
  <si>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</si>
  <si>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</si>
  <si>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</si>
  <si>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</si>
  <si>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</si>
  <si>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</si>
  <si>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</si>
  <si>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</si>
  <si>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</si>
  <si>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</si>
  <si>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</si>
  <si>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</si>
  <si>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</si>
  <si>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</si>
  <si>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</si>
  <si>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</si>
  <si>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</si>
  <si>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</si>
  <si>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</si>
  <si>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</si>
  <si>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</si>
  <si>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</si>
  <si>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</si>
  <si>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</si>
  <si>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</si>
  <si>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</si>
  <si>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</si>
  <si>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</si>
  <si>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</si>
  <si>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</si>
  <si>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</si>
  <si>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</si>
  <si>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</si>
  <si>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</si>
  <si>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</si>
  <si>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</si>
  <si>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</si>
  <si>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</si>
  <si>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</si>
  <si>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</si>
  <si>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</si>
  <si>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</si>
  <si>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</si>
  <si>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</si>
  <si>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</si>
  <si>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</si>
  <si>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</si>
  <si>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</si>
  <si>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</si>
  <si>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</si>
  <si>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</si>
  <si>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</si>
  <si>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</si>
  <si>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</si>
  <si>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</si>
  <si>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</si>
  <si>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</si>
  <si>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</si>
  <si>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</si>
  <si>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</si>
  <si>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</si>
  <si>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</si>
  <si>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</si>
  <si>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</si>
  <si>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</si>
  <si>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</si>
  <si>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</si>
  <si>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</si>
  <si>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</si>
  <si>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</si>
  <si>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</si>
  <si>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</si>
  <si>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</si>
  <si>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</si>
  <si>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</si>
  <si>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</si>
  <si>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</si>
  <si>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</si>
  <si>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</si>
  <si>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</si>
  <si>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</si>
  <si>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</si>
  <si>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</si>
  <si>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</si>
  <si>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</si>
  <si>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</si>
  <si>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</si>
  <si>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</si>
  <si>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</si>
  <si>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</si>
  <si>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</si>
  <si>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</si>
  <si>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</si>
  <si>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</si>
  <si>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</si>
  <si>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</si>
  <si>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</si>
  <si>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</si>
  <si>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</si>
  <si>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</si>
  <si>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</si>
  <si>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</si>
  <si>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</si>
  <si>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</si>
  <si>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</si>
  <si>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</si>
  <si>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</si>
  <si>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</si>
  <si>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</si>
  <si>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</si>
  <si>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</si>
  <si>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</si>
  <si>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</si>
  <si>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</si>
  <si>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</si>
  <si>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</si>
  <si>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</si>
  <si>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</si>
  <si>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</si>
  <si>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</si>
  <si>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</si>
  <si>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</si>
  <si>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</si>
  <si>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</si>
  <si>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</si>
  <si>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</si>
  <si>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</si>
  <si>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</si>
  <si>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</si>
  <si>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</si>
  <si>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</si>
  <si>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</si>
  <si>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</si>
  <si>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</si>
  <si>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</si>
  <si>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</si>
  <si>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</si>
  <si>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</si>
  <si>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</si>
  <si>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</si>
  <si>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</si>
  <si>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</si>
  <si>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</si>
  <si>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</si>
  <si>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</si>
  <si>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</si>
  <si>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</si>
  <si>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</si>
  <si>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</si>
  <si>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</si>
  <si>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</si>
  <si>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</si>
  <si>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</si>
  <si>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</si>
  <si>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</si>
  <si>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</si>
  <si>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</si>
  <si>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</si>
  <si>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</si>
  <si>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</si>
  <si>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</si>
  <si>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</si>
  <si>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</si>
  <si>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</si>
  <si>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</si>
  <si>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</si>
  <si>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</si>
  <si>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</si>
  <si>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</si>
  <si>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</si>
  <si>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</si>
  <si>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</si>
  <si>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</si>
  <si>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</si>
  <si>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</si>
  <si>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</si>
  <si>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</si>
  <si>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</si>
  <si>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</si>
  <si>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</si>
  <si>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</si>
  <si>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</si>
  <si>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</si>
  <si>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</si>
  <si>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</si>
  <si>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</si>
  <si>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</si>
  <si>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</si>
  <si>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</si>
  <si>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</si>
  <si>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</si>
  <si>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</si>
  <si>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</si>
  <si>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</si>
  <si>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</si>
  <si>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</si>
  <si>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</si>
  <si>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</si>
  <si>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</si>
  <si>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</si>
  <si>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</si>
  <si>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</si>
  <si>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</si>
  <si>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</si>
  <si>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</si>
  <si>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</si>
  <si>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</si>
  <si>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</si>
  <si>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</si>
  <si>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</si>
  <si>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</si>
  <si>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</si>
  <si>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</si>
  <si>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</si>
  <si>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</si>
  <si>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</si>
  <si>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</si>
  <si>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</si>
  <si>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</si>
  <si>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</si>
  <si>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</si>
  <si>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</si>
  <si>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</si>
  <si>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</si>
  <si>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</si>
  <si>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</si>
  <si>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</si>
  <si>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</si>
  <si>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</si>
  <si>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</si>
  <si>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</si>
  <si>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</si>
  <si>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</si>
  <si>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</si>
  <si>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</si>
  <si>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</si>
  <si>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</si>
  <si>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</si>
  <si>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</si>
  <si>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</si>
  <si>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</si>
  <si>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</si>
  <si>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</si>
  <si>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</si>
  <si>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</si>
  <si>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</si>
  <si>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</si>
  <si>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</si>
  <si>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</si>
  <si>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</si>
  <si>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</si>
  <si>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</si>
  <si>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</si>
  <si>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</si>
  <si>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</si>
  <si>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</si>
  <si>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</si>
  <si>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</si>
  <si>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</si>
  <si>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</si>
  <si>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</si>
  <si>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</si>
  <si>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</si>
  <si>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</si>
  <si>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</si>
  <si>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</si>
  <si>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</si>
  <si>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</si>
  <si>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</si>
  <si>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</si>
  <si>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</si>
  <si>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</si>
  <si>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</si>
  <si>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</si>
  <si>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</si>
  <si>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</si>
  <si>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</si>
  <si>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</si>
  <si>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</si>
  <si>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</si>
  <si>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</si>
  <si>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</si>
  <si>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</si>
  <si>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</si>
  <si>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</si>
  <si>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</si>
  <si>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</si>
  <si>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</si>
  <si>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</si>
  <si>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</si>
  <si>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</si>
  <si>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</si>
  <si>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</si>
  <si>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</si>
  <si>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</si>
  <si>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</si>
  <si>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</si>
  <si>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</si>
  <si>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</si>
  <si>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</si>
  <si>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</si>
  <si>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</si>
  <si>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</si>
  <si>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</si>
  <si>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</si>
  <si>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</si>
  <si>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</si>
  <si>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</si>
  <si>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</si>
  <si>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</si>
  <si>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</si>
  <si>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</si>
  <si>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</si>
  <si>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</si>
  <si>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</si>
  <si>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</si>
  <si>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</si>
  <si>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</si>
  <si>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</si>
  <si>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</si>
  <si>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</si>
  <si>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</si>
  <si>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</si>
  <si>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</si>
  <si>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</si>
  <si>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</si>
  <si>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</si>
  <si>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</si>
  <si>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</si>
  <si>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</si>
  <si>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</si>
  <si>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</si>
  <si>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</si>
  <si>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</si>
  <si>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</si>
  <si>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</si>
  <si>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</si>
  <si>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</si>
  <si>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</si>
  <si>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</si>
  <si>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</si>
  <si>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</si>
  <si>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</si>
  <si>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</si>
  <si>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</si>
  <si>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</si>
  <si>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</si>
  <si>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</si>
  <si>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</si>
  <si>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</si>
  <si>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</si>
  <si>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</si>
  <si>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</si>
  <si>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</si>
  <si>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</si>
  <si>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</si>
  <si>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</si>
  <si>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</si>
  <si>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</si>
  <si>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</si>
  <si>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</si>
  <si>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</si>
  <si>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</si>
  <si>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</si>
  <si>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</si>
  <si>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</si>
  <si>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</si>
  <si>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</si>
  <si>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</si>
  <si>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</si>
  <si>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</si>
  <si>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</si>
  <si>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</si>
  <si>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</si>
  <si>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</si>
  <si>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</si>
  <si>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</si>
  <si>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</si>
  <si>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</si>
  <si>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</si>
  <si>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</si>
  <si>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</si>
  <si>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</si>
  <si>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</si>
  <si>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</si>
  <si>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</si>
  <si>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</si>
  <si>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</si>
  <si>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</si>
  <si>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</si>
  <si>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</si>
  <si>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</si>
  <si>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</si>
  <si>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</si>
  <si>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</si>
  <si>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</si>
  <si>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</si>
  <si>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</si>
  <si>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</si>
  <si>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</si>
  <si>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</si>
  <si>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</si>
  <si>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</si>
  <si>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</si>
  <si>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</si>
  <si>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</si>
  <si>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</si>
  <si>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</si>
  <si>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</si>
  <si>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</si>
  <si>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</si>
  <si>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</si>
  <si>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</si>
  <si>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</si>
  <si>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</si>
  <si>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</si>
  <si>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</si>
  <si>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</si>
  <si>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</si>
  <si>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</si>
  <si>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</si>
  <si>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</si>
  <si>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</si>
  <si>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</si>
  <si>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</si>
  <si>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</si>
  <si>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</si>
  <si>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</si>
  <si>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</si>
  <si>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</si>
  <si>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</si>
  <si>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</si>
  <si>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</si>
  <si>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</si>
  <si>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</si>
  <si>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</si>
  <si>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</si>
  <si>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</si>
  <si>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</si>
  <si>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</si>
  <si>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</si>
  <si>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</si>
  <si>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</si>
  <si>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</si>
  <si>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</si>
  <si>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</si>
  <si>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</si>
  <si>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</si>
  <si>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</si>
  <si>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</si>
  <si>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</si>
  <si>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</si>
  <si>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</si>
  <si>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</si>
  <si>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</si>
  <si>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</si>
  <si>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</si>
  <si>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</si>
  <si>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</si>
  <si>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</si>
  <si>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</si>
  <si>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</si>
  <si>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</si>
  <si>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</si>
  <si>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</si>
  <si>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</si>
  <si>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</si>
  <si>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</si>
  <si>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</si>
  <si>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</si>
  <si>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</si>
  <si>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</si>
  <si>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</si>
  <si>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</si>
  <si>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</si>
  <si>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</si>
  <si>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</si>
  <si>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</si>
  <si>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</si>
  <si>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</si>
  <si>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</si>
  <si>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</si>
  <si>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</si>
  <si>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</si>
  <si>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</si>
  <si>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</si>
  <si>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</si>
  <si>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</si>
  <si>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</si>
  <si>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</si>
  <si>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</si>
  <si>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</si>
  <si>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</si>
  <si>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</si>
  <si>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</si>
  <si>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</si>
  <si>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</si>
  <si>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</si>
  <si>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</si>
  <si>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</si>
  <si>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</si>
  <si>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</si>
  <si>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</si>
  <si>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</si>
  <si>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</si>
  <si>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</si>
  <si>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</si>
  <si>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</si>
  <si>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</si>
  <si>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</si>
  <si>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</si>
  <si>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</si>
  <si>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</si>
  <si>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</si>
  <si>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</si>
  <si>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</si>
  <si>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</si>
  <si>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</si>
  <si>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</si>
  <si>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</si>
  <si>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</si>
  <si>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</si>
  <si>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</si>
  <si>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</si>
  <si>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</si>
  <si>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</si>
  <si>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</si>
  <si>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</si>
  <si>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</si>
  <si>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</si>
  <si>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</si>
  <si>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</si>
  <si>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</si>
  <si>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</si>
  <si>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</si>
  <si>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</si>
  <si>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</si>
  <si>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</si>
  <si>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</si>
  <si>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</si>
  <si>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</si>
  <si>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</si>
  <si>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</si>
  <si>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</si>
  <si>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</si>
  <si>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</si>
  <si>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</si>
  <si>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</si>
  <si>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</si>
  <si>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</si>
  <si>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</si>
  <si>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</si>
  <si>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</si>
  <si>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</si>
  <si>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</si>
  <si>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</si>
  <si>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</si>
  <si>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</si>
  <si>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</si>
  <si>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</si>
  <si>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</si>
  <si>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</si>
  <si>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</si>
  <si>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</si>
  <si>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</si>
  <si>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</si>
  <si>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</si>
  <si>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</si>
  <si>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</si>
  <si>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</si>
  <si>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</si>
  <si>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</si>
  <si>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</si>
  <si>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</si>
  <si>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</si>
  <si>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</si>
  <si>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</si>
  <si>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</si>
  <si>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</si>
  <si>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</si>
  <si>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</si>
  <si>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</si>
  <si>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</si>
  <si>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</si>
  <si>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</si>
  <si>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</si>
  <si>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</si>
  <si>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</si>
  <si>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</si>
  <si>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</si>
  <si>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</si>
  <si>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</si>
  <si>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</si>
  <si>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</si>
  <si>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</si>
  <si>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</si>
  <si>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</si>
  <si>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</si>
  <si>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</si>
  <si>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</si>
  <si>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</si>
  <si>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</si>
  <si>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</si>
  <si>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</si>
  <si>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</si>
  <si>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</si>
  <si>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</si>
  <si>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</si>
  <si>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</si>
  <si>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</si>
  <si>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</si>
  <si>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</si>
  <si>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</si>
  <si>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</si>
  <si>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</si>
  <si>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</si>
  <si>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</si>
  <si>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</si>
  <si>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</si>
  <si>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</si>
  <si>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</si>
  <si>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</si>
  <si>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</si>
  <si>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</si>
  <si>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</si>
  <si>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</si>
  <si>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</si>
  <si>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</si>
  <si>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</si>
  <si>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</si>
  <si>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</si>
  <si>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</si>
  <si>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</si>
  <si>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</si>
  <si>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</si>
  <si>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</si>
  <si>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</si>
  <si>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</si>
  <si>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</si>
  <si>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</si>
  <si>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</si>
  <si>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</si>
  <si>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</si>
  <si>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</si>
  <si>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</si>
  <si>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</si>
  <si>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</si>
  <si>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</si>
  <si>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</si>
  <si>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</si>
  <si>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</si>
  <si>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</si>
  <si>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</si>
  <si>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</si>
  <si>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</si>
  <si>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</si>
  <si>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</si>
  <si>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</si>
  <si>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</si>
  <si>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</si>
  <si>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</si>
  <si>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</si>
  <si>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</si>
  <si>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</si>
  <si>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</si>
  <si>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</si>
  <si>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</si>
  <si>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</si>
  <si>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</si>
  <si>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</si>
  <si>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</si>
  <si>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</si>
  <si>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</si>
  <si>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</si>
  <si>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</si>
  <si>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</si>
  <si>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</si>
  <si>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</si>
  <si>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</si>
  <si>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</si>
  <si>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</si>
  <si>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</si>
  <si>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</si>
  <si>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</si>
  <si>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</si>
  <si>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</si>
  <si>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</si>
  <si>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</si>
  <si>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</si>
  <si>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</si>
  <si>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</si>
  <si>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</si>
  <si>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</si>
  <si>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</si>
  <si>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</si>
  <si>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</si>
  <si>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</si>
  <si>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</si>
  <si>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</si>
  <si>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</si>
  <si>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</si>
  <si>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</si>
  <si>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</si>
  <si>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</si>
  <si>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</si>
  <si>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</si>
  <si>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</si>
  <si>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</si>
  <si>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</si>
  <si>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</si>
  <si>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</si>
  <si>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</si>
  <si>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</si>
  <si>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</si>
  <si>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</si>
  <si>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</si>
  <si>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</si>
  <si>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</si>
  <si>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</si>
  <si>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</si>
  <si>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</si>
  <si>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</si>
  <si>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</si>
  <si>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</si>
  <si>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</si>
  <si>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</si>
  <si>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</si>
  <si>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</si>
  <si>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</si>
  <si>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</si>
  <si>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</si>
  <si>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</si>
  <si>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</si>
  <si>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</si>
  <si>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</si>
  <si>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</si>
  <si>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</si>
  <si>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</si>
  <si>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</si>
  <si>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</si>
  <si>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</si>
  <si>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</si>
  <si>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</si>
  <si>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</si>
  <si>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</si>
  <si>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</si>
  <si>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</si>
  <si>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</si>
  <si>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</si>
  <si>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</si>
  <si>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</si>
  <si>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</si>
  <si>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</si>
  <si>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</si>
  <si>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</si>
  <si>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</si>
  <si>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</si>
  <si>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</si>
  <si>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</si>
  <si>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</si>
  <si>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</si>
  <si>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</si>
  <si>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</si>
  <si>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</si>
  <si>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</si>
  <si>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</si>
  <si>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</si>
  <si>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</si>
  <si>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</si>
  <si>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</si>
  <si>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</si>
  <si>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</si>
  <si>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</si>
  <si>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</si>
  <si>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</si>
  <si>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</si>
  <si>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</si>
  <si>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</si>
  <si>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</si>
  <si>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</si>
  <si>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</si>
  <si>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</si>
  <si>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</si>
  <si>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</si>
  <si>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</si>
  <si>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</si>
  <si>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</si>
  <si>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</si>
  <si>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</si>
  <si>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</si>
  <si>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</si>
  <si>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</si>
  <si>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</si>
  <si>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</si>
  <si>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</si>
  <si>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</si>
  <si>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</si>
  <si>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</si>
  <si>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</si>
  <si>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</si>
  <si>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</si>
  <si>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</si>
  <si>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</si>
  <si>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</si>
  <si>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</si>
  <si>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</si>
  <si>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</si>
  <si>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</si>
  <si>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</si>
  <si>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</si>
  <si>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</si>
  <si>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</si>
  <si>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</si>
  <si>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</si>
  <si>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</si>
  <si>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</si>
  <si>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</si>
  <si>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</si>
  <si>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</si>
  <si>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</si>
  <si>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</si>
  <si>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</si>
  <si>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</si>
  <si>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</si>
  <si>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</si>
  <si>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</si>
  <si>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</si>
  <si>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</si>
  <si>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</si>
  <si>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</si>
  <si>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</si>
  <si>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</si>
  <si>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</si>
  <si>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</si>
  <si>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</si>
  <si>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</si>
  <si>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</si>
  <si>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</si>
  <si>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</si>
  <si>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</si>
  <si>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</si>
  <si>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</si>
  <si>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</si>
  <si>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</si>
  <si>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</si>
  <si>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</si>
  <si>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</si>
  <si>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</si>
  <si>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</si>
  <si>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</si>
  <si>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</si>
  <si>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</si>
  <si>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</si>
  <si>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</si>
  <si>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</si>
  <si>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</si>
  <si>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</si>
  <si>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</si>
  <si>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</si>
  <si>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</si>
  <si>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</si>
  <si>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</si>
  <si>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</si>
  <si>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</si>
  <si>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</si>
  <si>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</si>
  <si>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</si>
  <si>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</si>
  <si>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</si>
  <si>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</si>
  <si>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</si>
  <si>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</si>
  <si>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</si>
  <si>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</si>
  <si>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</si>
  <si>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</si>
  <si>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</si>
  <si>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</si>
  <si>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</si>
  <si>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</si>
  <si>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</si>
  <si>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</si>
  <si>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</si>
  <si>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</si>
  <si>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</si>
  <si>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</si>
  <si>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</si>
  <si>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</si>
  <si>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</si>
  <si>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</si>
  <si>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</si>
  <si>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</si>
  <si>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</si>
  <si>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</si>
  <si>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</si>
  <si>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</si>
  <si>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</si>
  <si>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</si>
  <si>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</si>
  <si>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</si>
  <si>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</si>
  <si>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</si>
  <si>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</si>
  <si>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</si>
  <si>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</si>
  <si>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</si>
  <si>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</si>
  <si>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</si>
  <si>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</si>
  <si>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</si>
  <si>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</si>
  <si>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</si>
  <si>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</si>
  <si>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</si>
  <si>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</si>
  <si>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</si>
  <si>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</si>
  <si>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</si>
  <si>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</si>
  <si>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</si>
  <si>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</si>
  <si>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</si>
  <si>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</si>
  <si>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</si>
  <si>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</si>
  <si>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</si>
  <si>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</si>
  <si>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</si>
  <si>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</si>
  <si>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</si>
  <si>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</si>
  <si>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</si>
  <si>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</si>
  <si>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</si>
  <si>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</si>
  <si>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</si>
  <si>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</si>
  <si>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</si>
  <si>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</si>
  <si>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</si>
  <si>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</si>
  <si>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</si>
  <si>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</si>
  <si>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</si>
  <si>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</si>
  <si>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</si>
  <si>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</si>
  <si>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</si>
  <si>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</si>
  <si>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</si>
  <si>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</si>
  <si>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</si>
  <si>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</si>
  <si>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</si>
  <si>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</si>
  <si>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</si>
  <si>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</si>
  <si>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</si>
  <si>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</si>
  <si>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</si>
  <si>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</si>
  <si>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</si>
  <si>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</si>
  <si>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</si>
  <si>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</si>
  <si>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</si>
  <si>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</si>
  <si>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</si>
  <si>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</si>
  <si>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</si>
  <si>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</si>
  <si>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</si>
  <si>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</si>
  <si>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</si>
  <si>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</si>
  <si>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</si>
  <si>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</si>
  <si>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</si>
  <si>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</si>
  <si>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</si>
  <si>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</si>
  <si>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</si>
  <si>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</si>
  <si>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</si>
  <si>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</si>
  <si>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</si>
  <si>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</si>
  <si>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</si>
  <si>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</si>
  <si>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</si>
  <si>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</si>
  <si>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</si>
  <si>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</si>
  <si>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</si>
  <si>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</si>
  <si>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</si>
  <si>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</si>
  <si>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</si>
  <si>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</si>
  <si>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</si>
  <si>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</si>
  <si>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</si>
  <si>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</si>
  <si>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</si>
  <si>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</si>
  <si>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</si>
  <si>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</si>
  <si>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</si>
  <si>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</si>
  <si>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</si>
  <si>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</si>
  <si>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</si>
  <si>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</si>
  <si>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</si>
  <si>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</si>
  <si>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</si>
  <si>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</si>
  <si>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</si>
  <si>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</si>
  <si>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</si>
  <si>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</si>
  <si>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</si>
  <si>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</si>
  <si>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</si>
  <si>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</si>
  <si>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</si>
  <si>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</si>
  <si>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</si>
  <si>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</si>
  <si>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</si>
  <si>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</si>
  <si>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</si>
  <si>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</si>
  <si>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</si>
  <si>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</si>
  <si>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</si>
  <si>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</si>
  <si>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</si>
  <si>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</si>
  <si>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</si>
  <si>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</si>
  <si>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</si>
  <si>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</si>
  <si>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</si>
  <si>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</si>
  <si>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</si>
  <si>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</si>
  <si>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</si>
  <si>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</si>
  <si>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</si>
  <si>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</si>
  <si>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</si>
  <si>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</si>
  <si>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</si>
  <si>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</si>
  <si>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</si>
  <si>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</si>
  <si>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</si>
  <si>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</si>
  <si>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</si>
  <si>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</si>
  <si>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</si>
  <si>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</si>
  <si>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</si>
  <si>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</si>
  <si>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</si>
  <si>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</si>
  <si>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</si>
  <si>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</si>
  <si>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</si>
  <si>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</si>
  <si>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</si>
  <si>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</si>
  <si>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</si>
  <si>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</si>
  <si>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</si>
  <si>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</si>
  <si>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</si>
  <si>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</si>
  <si>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</si>
  <si>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</si>
  <si>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</si>
  <si>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</si>
  <si>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</si>
  <si>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</si>
  <si>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</si>
  <si>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</si>
  <si>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</si>
  <si>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</si>
  <si>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</si>
  <si>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</si>
  <si>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</si>
  <si>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</si>
  <si>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</si>
  <si>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</si>
  <si>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</si>
  <si>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</si>
  <si>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</si>
  <si>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</si>
  <si>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</si>
  <si>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</si>
  <si>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</si>
  <si>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</si>
  <si>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</si>
  <si>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</si>
  <si>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</si>
  <si>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</si>
  <si>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</si>
  <si>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</si>
  <si>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</si>
  <si>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</si>
  <si>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</si>
  <si>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</si>
  <si>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</si>
  <si>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</si>
  <si>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</si>
  <si>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</si>
  <si>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</si>
  <si>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</si>
  <si>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</si>
  <si>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</si>
  <si>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</si>
  <si>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</si>
  <si>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</si>
  <si>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</si>
  <si>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</si>
  <si>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</si>
  <si>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</si>
  <si>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</si>
  <si>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</si>
  <si>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</si>
  <si>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</si>
  <si>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</si>
  <si>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</si>
  <si>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</si>
  <si>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</si>
  <si>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</si>
  <si>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</si>
  <si>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</si>
  <si>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</si>
  <si>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</si>
  <si>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</si>
  <si>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</si>
  <si>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</si>
  <si>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</si>
  <si>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</si>
  <si>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</si>
  <si>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</si>
  <si>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</si>
  <si>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</si>
  <si>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</si>
  <si>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</si>
  <si>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</si>
  <si>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</si>
  <si>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</si>
  <si>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</si>
  <si>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</si>
  <si>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</si>
  <si>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</si>
  <si>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</si>
  <si>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</si>
  <si>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</si>
  <si>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</si>
  <si>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</si>
  <si>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</si>
  <si>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</si>
  <si>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</si>
  <si>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</si>
  <si>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</si>
  <si>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</si>
  <si>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</si>
  <si>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</si>
  <si>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</si>
  <si>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</si>
  <si>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</si>
  <si>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</si>
  <si>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</si>
  <si>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</si>
  <si>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</si>
  <si>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</si>
  <si>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</si>
  <si>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</si>
  <si>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</si>
  <si>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</si>
  <si>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</si>
  <si>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</si>
  <si>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</si>
  <si>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</si>
  <si>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</si>
  <si>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</si>
  <si>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</si>
  <si>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</si>
  <si>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</si>
  <si>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</si>
  <si>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</si>
  <si>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</si>
  <si>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</si>
  <si>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</si>
  <si>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</si>
  <si>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</si>
  <si>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</si>
  <si>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</si>
  <si>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</si>
  <si>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</si>
  <si>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</si>
  <si>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</si>
  <si>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</si>
  <si>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</si>
  <si>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</si>
  <si>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</si>
  <si>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</si>
  <si>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</si>
  <si>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</si>
  <si>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</si>
  <si>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</si>
  <si>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</si>
  <si>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</si>
  <si>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</si>
  <si>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</si>
  <si>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</si>
  <si>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</si>
  <si>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</si>
  <si>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</si>
  <si>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</si>
  <si>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</si>
  <si>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</si>
  <si>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</si>
  <si>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</si>
  <si>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</si>
  <si>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</si>
  <si>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</si>
  <si>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</si>
  <si>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</si>
  <si>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</si>
  <si>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</si>
  <si>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</si>
  <si>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</si>
  <si>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</si>
  <si>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</si>
  <si>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</si>
  <si>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</si>
  <si>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</si>
  <si>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</si>
  <si>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</si>
  <si>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</si>
  <si>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</si>
  <si>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</si>
  <si>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</si>
  <si>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</si>
  <si>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</si>
  <si>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</si>
  <si>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</si>
  <si>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</si>
  <si>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</si>
  <si>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</si>
  <si>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</si>
  <si>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</si>
  <si>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</si>
  <si>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</si>
  <si>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</si>
  <si>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</si>
  <si>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</si>
  <si>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</si>
  <si>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</si>
  <si>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</si>
  <si>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</si>
  <si>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</si>
  <si>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</si>
  <si>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</si>
  <si>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</si>
  <si>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</si>
  <si>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</si>
  <si>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</si>
  <si>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</si>
  <si>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</si>
  <si>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</si>
  <si>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</si>
  <si>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</si>
  <si>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</si>
  <si>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</si>
  <si>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</si>
  <si>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</si>
  <si>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</si>
  <si>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</si>
  <si>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</si>
  <si>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</si>
  <si>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</si>
  <si>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</si>
  <si>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</si>
  <si>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</si>
  <si>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</si>
  <si>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</si>
  <si>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</si>
  <si>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</si>
  <si>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</si>
  <si>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</si>
  <si>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</si>
  <si>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</si>
  <si>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</si>
  <si>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</si>
  <si>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</si>
  <si>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</si>
  <si>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</si>
  <si>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</si>
  <si>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</si>
  <si>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</si>
  <si>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</si>
  <si>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</si>
  <si>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</si>
  <si>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</si>
  <si>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</si>
  <si>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</si>
  <si>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</si>
  <si>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</si>
  <si>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</si>
  <si>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</si>
  <si>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</si>
  <si>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</si>
  <si>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</si>
  <si>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</si>
  <si>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</si>
  <si>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</si>
  <si>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</si>
  <si>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</si>
  <si>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</si>
  <si>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</si>
  <si>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</si>
  <si>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</si>
  <si>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</si>
  <si>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</si>
  <si>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</si>
  <si>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</si>
  <si>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</si>
  <si>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</si>
  <si>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</si>
  <si>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</si>
  <si>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</si>
  <si>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</si>
  <si>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</si>
  <si>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</si>
  <si>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</si>
  <si>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</si>
  <si>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</si>
  <si>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</si>
  <si>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</si>
  <si>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</si>
  <si>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</si>
  <si>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</si>
  <si>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</si>
  <si>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</si>
  <si>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</si>
  <si>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</si>
  <si>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</si>
  <si>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</si>
  <si>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</si>
  <si>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</si>
  <si>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</si>
  <si>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</si>
  <si>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</si>
  <si>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</si>
  <si>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</si>
  <si>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</si>
  <si>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</si>
  <si>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</si>
  <si>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</si>
  <si>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</si>
  <si>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</si>
  <si>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</si>
  <si>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</si>
  <si>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</si>
  <si>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</si>
  <si>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</si>
  <si>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</si>
  <si>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</si>
  <si>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</si>
  <si>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</si>
  <si>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</si>
  <si>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</si>
  <si>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</si>
  <si>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</si>
  <si>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</si>
  <si>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</si>
  <si>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</si>
  <si>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</si>
  <si>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</si>
  <si>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</si>
  <si>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</si>
  <si>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</si>
  <si>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</si>
  <si>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</si>
  <si>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</si>
  <si>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</si>
  <si>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</si>
  <si>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</si>
  <si>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</si>
  <si>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</si>
  <si>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</si>
  <si>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</si>
  <si>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</si>
  <si>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</si>
  <si>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</si>
  <si>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</si>
  <si>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</si>
  <si>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</si>
  <si>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</si>
  <si>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</si>
  <si>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</si>
  <si>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</si>
  <si>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</si>
  <si>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</si>
  <si>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</si>
  <si>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</si>
  <si>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</si>
  <si>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</si>
  <si>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</si>
  <si>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</si>
  <si>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</si>
  <si>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</si>
  <si>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</si>
  <si>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</si>
  <si>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</si>
  <si>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</si>
  <si>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</si>
  <si>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</si>
  <si>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</si>
  <si>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</si>
  <si>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</si>
  <si>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</si>
  <si>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</si>
  <si>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</si>
  <si>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</si>
  <si>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</si>
  <si>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</si>
  <si>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</si>
  <si>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</si>
  <si>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</si>
  <si>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</si>
  <si>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</si>
  <si>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</si>
  <si>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</si>
  <si>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</si>
  <si>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</si>
  <si>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</si>
  <si>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</si>
  <si>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</si>
  <si>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</si>
  <si>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</si>
  <si>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</si>
  <si>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</si>
  <si>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</si>
  <si>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</si>
  <si>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</si>
  <si>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</si>
  <si>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</si>
  <si>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</si>
  <si>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</si>
  <si>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</si>
  <si>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</si>
  <si>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</si>
  <si>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</si>
  <si>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</si>
  <si>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</si>
  <si>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</si>
  <si>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</si>
  <si>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</si>
  <si>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</si>
  <si>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</si>
  <si>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</si>
  <si>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</si>
  <si>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</si>
  <si>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</si>
  <si>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</si>
  <si>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</si>
  <si>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</si>
  <si>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</si>
  <si>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</si>
  <si>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</si>
  <si>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</si>
  <si>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</si>
  <si>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</si>
  <si>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</si>
  <si>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</si>
  <si>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</si>
  <si>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</si>
  <si>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</si>
  <si>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</si>
  <si>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</si>
  <si>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</si>
  <si>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</si>
  <si>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</si>
  <si>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</si>
  <si>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</si>
  <si>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</si>
  <si>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</si>
  <si>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</si>
  <si>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</si>
  <si>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</si>
  <si>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</si>
  <si>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</si>
  <si>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</si>
  <si>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</si>
  <si>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</si>
  <si>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</si>
  <si>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</si>
  <si>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</si>
  <si>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</si>
  <si>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</si>
  <si>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</si>
  <si>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</si>
  <si>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</si>
  <si>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</si>
  <si>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</si>
  <si>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</si>
  <si>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</si>
  <si>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</si>
  <si>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</si>
  <si>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</si>
  <si>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</si>
  <si>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</si>
  <si>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</si>
  <si>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</si>
  <si>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</si>
  <si>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</si>
  <si>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</si>
  <si>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</si>
  <si>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</si>
  <si>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</si>
  <si>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</si>
  <si>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</si>
  <si>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</si>
  <si>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</si>
  <si>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</si>
  <si>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</si>
  <si>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</si>
  <si>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</si>
  <si>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</si>
  <si>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</si>
  <si>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</si>
  <si>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</si>
  <si>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</si>
  <si>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</si>
  <si>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</si>
  <si>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</si>
  <si>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</si>
  <si>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</si>
  <si>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</si>
  <si>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</si>
  <si>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</si>
  <si>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</si>
  <si>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</si>
  <si>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</si>
  <si>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</si>
  <si>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</si>
  <si>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</si>
  <si>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</si>
  <si>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</si>
  <si>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</si>
  <si>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</si>
  <si>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</si>
  <si>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</si>
  <si>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</si>
  <si>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</si>
  <si>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</si>
  <si>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</si>
  <si>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</si>
  <si>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</si>
  <si>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</si>
  <si>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</si>
  <si>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</si>
  <si>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</si>
  <si>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</si>
  <si>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</si>
  <si>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</si>
  <si>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</si>
  <si>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</si>
  <si>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</si>
  <si>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</si>
  <si>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</si>
  <si>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</si>
  <si>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</si>
  <si>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</si>
  <si>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</si>
  <si>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</si>
  <si>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</si>
  <si>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</si>
  <si>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</si>
  <si>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</si>
  <si>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</si>
  <si>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</si>
  <si>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</si>
  <si>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</si>
  <si>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</si>
  <si>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</si>
  <si>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</si>
  <si>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</si>
  <si>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</si>
  <si>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</si>
  <si>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</si>
  <si>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</si>
  <si>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</si>
  <si>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</si>
  <si>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</si>
  <si>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</si>
  <si>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</si>
  <si>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</si>
  <si>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</si>
  <si>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</si>
  <si>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</si>
  <si>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</si>
  <si>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</si>
  <si>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</si>
  <si>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</si>
  <si>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</si>
  <si>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</si>
  <si>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</si>
  <si>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</si>
  <si>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</si>
  <si>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</si>
  <si>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</si>
  <si>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</si>
  <si>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</si>
  <si>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</si>
  <si>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</si>
  <si>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</si>
  <si>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</si>
  <si>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</si>
  <si>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</si>
  <si>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</si>
  <si>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</si>
  <si>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</si>
  <si>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</si>
  <si>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</si>
  <si>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</si>
  <si>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</si>
  <si>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</si>
  <si>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</si>
  <si>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</si>
  <si>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</si>
  <si>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</si>
  <si>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</si>
  <si>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</si>
  <si>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</si>
  <si>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</si>
  <si>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</si>
  <si>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</si>
  <si>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</si>
  <si>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</si>
  <si>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</si>
  <si>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</si>
  <si>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</si>
  <si>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</si>
  <si>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</si>
  <si>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</si>
  <si>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</si>
  <si>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</si>
  <si>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</si>
  <si>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</si>
  <si>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</si>
  <si>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</si>
  <si>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</si>
  <si>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</si>
  <si>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</si>
  <si>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</si>
  <si>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</si>
  <si>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</si>
  <si>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</si>
  <si>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</si>
  <si>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</si>
  <si>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</si>
  <si>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</si>
  <si>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</si>
  <si>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</si>
  <si>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</si>
  <si>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</si>
  <si>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</si>
  <si>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</si>
  <si>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</si>
  <si>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</si>
  <si>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</si>
  <si>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</si>
  <si>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</si>
  <si>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</si>
  <si>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</si>
  <si>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</si>
  <si>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</si>
  <si>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</si>
  <si>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</si>
  <si>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</si>
  <si>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</si>
  <si>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</si>
  <si>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</si>
  <si>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</si>
  <si>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</si>
  <si>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</si>
  <si>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</si>
  <si>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</si>
  <si>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</si>
  <si>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</si>
  <si>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</si>
  <si>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</si>
  <si>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</si>
  <si>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</si>
  <si>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</si>
  <si>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</si>
  <si>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</si>
  <si>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</si>
  <si>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</si>
  <si>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</si>
  <si>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</si>
  <si>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</si>
  <si>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</si>
  <si>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</si>
  <si>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</si>
  <si>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</si>
  <si>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</si>
  <si>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</si>
  <si>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</si>
  <si>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</si>
  <si>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</si>
  <si>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</si>
  <si>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</si>
  <si>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</si>
  <si>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</si>
  <si>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</si>
  <si>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</si>
  <si>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</si>
  <si>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</si>
  <si>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</si>
  <si>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</si>
  <si>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</si>
  <si>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</si>
  <si>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</si>
  <si>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</si>
  <si>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</si>
  <si>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</si>
  <si>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</si>
  <si>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</si>
  <si>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</si>
  <si>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</si>
  <si>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</si>
  <si>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</si>
  <si>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</si>
  <si>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</si>
  <si>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</si>
  <si>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</si>
  <si>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</si>
  <si>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</si>
  <si>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</si>
  <si>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</si>
  <si>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</si>
  <si>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</si>
  <si>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</si>
  <si>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</si>
  <si>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</si>
  <si>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</si>
  <si>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</si>
  <si>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</si>
  <si>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</si>
  <si>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</si>
  <si>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</si>
  <si>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</si>
  <si>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</si>
  <si>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</si>
  <si>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</si>
  <si>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</si>
  <si>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</si>
  <si>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</si>
  <si>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</si>
  <si>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</si>
  <si>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</si>
  <si>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</si>
  <si>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</si>
  <si>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</si>
  <si>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</si>
  <si>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</si>
  <si>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</si>
  <si>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</si>
  <si>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</si>
  <si>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</si>
  <si>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</si>
  <si>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</si>
  <si>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</si>
  <si>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</si>
  <si>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</si>
  <si>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</si>
  <si>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</si>
  <si>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</si>
  <si>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</si>
  <si>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</si>
  <si>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</si>
  <si>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</si>
  <si>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</si>
  <si>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</si>
  <si>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</si>
  <si>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</si>
  <si>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</si>
  <si>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</si>
  <si>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</si>
  <si>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</si>
  <si>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</si>
  <si>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</si>
  <si>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</si>
  <si>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</si>
  <si>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</si>
  <si>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</si>
  <si>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</si>
  <si>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</si>
  <si>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</si>
  <si>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</si>
  <si>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</si>
  <si>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</si>
  <si>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</si>
  <si>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</si>
  <si>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</si>
  <si>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</si>
  <si>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</si>
  <si>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</si>
  <si>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</si>
  <si>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</si>
  <si>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</si>
  <si>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</si>
  <si>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</si>
  <si>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</si>
  <si>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</si>
  <si>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</si>
  <si>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</si>
  <si>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</si>
  <si>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</si>
  <si>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</si>
  <si>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</si>
  <si>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</si>
  <si>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</si>
  <si>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</si>
  <si>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</si>
  <si>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</si>
  <si>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</si>
  <si>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</si>
  <si>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</si>
  <si>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</si>
  <si>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</si>
  <si>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</si>
  <si>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</si>
  <si>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</si>
  <si>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</si>
  <si>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</si>
  <si>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</si>
  <si>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</si>
  <si>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</si>
  <si>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</si>
  <si>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</si>
  <si>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</si>
  <si>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</si>
  <si>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</si>
  <si>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</si>
  <si>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</si>
  <si>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</si>
  <si>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</si>
  <si>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</si>
  <si>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</si>
  <si>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</si>
  <si>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</si>
  <si>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</si>
  <si>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</si>
  <si>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</si>
  <si>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</si>
  <si>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</si>
  <si>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</si>
  <si>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</si>
  <si>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</si>
  <si>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</si>
  <si>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</si>
  <si>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</si>
  <si>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</si>
  <si>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</si>
  <si>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</si>
  <si>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</si>
  <si>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</si>
  <si>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</si>
  <si>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</si>
  <si>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</si>
  <si>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</si>
  <si>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</si>
  <si>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</si>
  <si>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</si>
  <si>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</si>
  <si>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</si>
  <si>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</si>
  <si>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</si>
  <si>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</si>
  <si>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</si>
  <si>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</si>
  <si>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</si>
  <si>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</si>
  <si>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</si>
  <si>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</si>
  <si>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</si>
  <si>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</si>
  <si>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</si>
  <si>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</si>
  <si>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</si>
  <si>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</si>
  <si>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</si>
  <si>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</si>
  <si>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</si>
  <si>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</si>
  <si>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</si>
  <si>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</si>
  <si>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</si>
  <si>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</si>
  <si>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</si>
  <si>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</si>
  <si>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</si>
  <si>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</si>
  <si>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</si>
  <si>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</si>
  <si>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</si>
  <si>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</si>
  <si>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</si>
  <si>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</si>
  <si>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</si>
  <si>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</si>
  <si>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</si>
  <si>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</si>
  <si>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</si>
  <si>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</si>
  <si>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</si>
  <si>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</si>
  <si>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</si>
  <si>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</si>
  <si>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</si>
  <si>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</si>
  <si>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</si>
  <si>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</si>
  <si>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</si>
  <si>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</si>
  <si>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</si>
  <si>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</si>
  <si>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</si>
  <si>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</si>
  <si>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</si>
  <si>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</si>
  <si>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</si>
  <si>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</si>
  <si>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</si>
  <si>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</si>
  <si>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</si>
  <si>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</si>
  <si>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</si>
  <si>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</si>
  <si>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</si>
  <si>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</si>
  <si>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</si>
  <si>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</si>
  <si>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</si>
  <si>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</si>
  <si>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</si>
  <si>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</si>
  <si>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</si>
  <si>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</si>
  <si>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</si>
  <si>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</si>
  <si>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</si>
  <si>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</si>
  <si>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</si>
  <si>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</si>
  <si>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</si>
  <si>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</si>
  <si>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</si>
  <si>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</si>
  <si>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</si>
  <si>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</si>
  <si>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</si>
  <si>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</si>
  <si>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</si>
  <si>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</si>
  <si>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</si>
  <si>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</si>
  <si>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</si>
  <si>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</si>
  <si>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</si>
  <si>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</si>
  <si>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</si>
  <si>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</si>
  <si>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</si>
  <si>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</si>
  <si>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</si>
  <si>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</si>
  <si>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</si>
  <si>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</si>
  <si>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</si>
  <si>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</si>
  <si>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</si>
  <si>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</si>
  <si>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</si>
  <si>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</si>
  <si>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</si>
  <si>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</si>
  <si>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</si>
  <si>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</si>
  <si>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</si>
  <si>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</si>
  <si>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</si>
  <si>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</si>
  <si>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</si>
  <si>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</si>
  <si>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</si>
  <si>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</si>
  <si>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</si>
  <si>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</si>
  <si>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</si>
  <si>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</si>
  <si>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</si>
  <si>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</si>
  <si>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</si>
  <si>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</si>
  <si>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</si>
  <si>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</si>
  <si>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</si>
  <si>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</si>
  <si>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</si>
  <si>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</si>
  <si>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</si>
  <si>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</si>
  <si>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</si>
  <si>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</si>
  <si>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</si>
  <si>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</si>
  <si>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</si>
  <si>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</si>
  <si>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</si>
  <si>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</si>
  <si>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</si>
  <si>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</si>
  <si>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</si>
  <si>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</si>
  <si>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</si>
  <si>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</si>
  <si>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</si>
  <si>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</si>
  <si>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</si>
  <si>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</si>
  <si>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</si>
  <si>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</si>
  <si>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</si>
  <si>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</si>
  <si>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</si>
  <si>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</si>
  <si>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</si>
  <si>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</si>
  <si>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</si>
  <si>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</si>
  <si>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</si>
  <si>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</si>
  <si>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</si>
  <si>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</si>
  <si>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</si>
  <si>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</si>
  <si>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</si>
  <si>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</si>
  <si>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</si>
  <si>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</si>
  <si>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</si>
  <si>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</si>
  <si>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</si>
  <si>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</si>
  <si>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</si>
  <si>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</si>
  <si>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</si>
  <si>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</si>
  <si>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</si>
  <si>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</si>
  <si>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</si>
  <si>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</si>
  <si>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</si>
  <si>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</si>
  <si>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</si>
  <si>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</si>
  <si>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</si>
  <si>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</si>
  <si>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</si>
  <si>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</si>
  <si>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</si>
  <si>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</si>
  <si>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</si>
  <si>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</si>
  <si>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</si>
  <si>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</si>
  <si>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</si>
  <si>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</si>
  <si>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</si>
  <si>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</si>
  <si>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</si>
  <si>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</si>
  <si>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</si>
  <si>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</si>
  <si>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</si>
  <si>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</si>
  <si>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</si>
  <si>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</si>
  <si>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</si>
  <si>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</si>
  <si>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</si>
  <si>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</si>
  <si>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</si>
  <si>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</si>
  <si>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</si>
  <si>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</si>
  <si>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</si>
  <si>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</si>
  <si>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</si>
  <si>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</si>
  <si>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</si>
  <si>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</si>
  <si>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</si>
  <si>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</si>
  <si>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</si>
  <si>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</si>
  <si>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</si>
  <si>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</si>
  <si>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</si>
  <si>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</si>
  <si>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</si>
  <si>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</si>
  <si>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</si>
  <si>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</si>
  <si>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</si>
  <si>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</si>
  <si>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</si>
  <si>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</si>
  <si>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</si>
  <si>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</si>
  <si>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</si>
  <si>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</si>
  <si>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</si>
  <si>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</si>
  <si>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</si>
  <si>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</si>
  <si>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</si>
  <si>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</si>
  <si>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</si>
  <si>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</si>
  <si>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</si>
  <si>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</si>
  <si>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</si>
  <si>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</si>
  <si>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</si>
  <si>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</si>
  <si>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</si>
  <si>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</si>
  <si>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</si>
  <si>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</si>
  <si>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</si>
  <si>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</si>
  <si>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</si>
  <si>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</si>
  <si>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</si>
  <si>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</si>
  <si>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</si>
  <si>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</si>
  <si>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</si>
  <si>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</si>
  <si>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</si>
  <si>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</si>
  <si>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</si>
  <si>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</si>
  <si>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</si>
  <si>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</si>
  <si>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</si>
  <si>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</si>
  <si>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</si>
  <si>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</si>
  <si>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</si>
  <si>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</si>
  <si>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</si>
  <si>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</si>
  <si>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</si>
  <si>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</si>
  <si>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</si>
  <si>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</si>
  <si>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</si>
  <si>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</si>
  <si>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</si>
  <si>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</si>
  <si>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</si>
  <si>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</si>
  <si>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</si>
  <si>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</si>
  <si>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</si>
  <si>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</si>
  <si>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</si>
  <si>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</si>
  <si>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</si>
  <si>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</si>
  <si>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</si>
  <si>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</si>
  <si>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</si>
  <si>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</si>
  <si>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</si>
  <si>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</si>
  <si>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</si>
  <si>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</si>
  <si>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</si>
  <si>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</si>
  <si>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</si>
  <si>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</si>
  <si>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</si>
  <si>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</si>
  <si>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</si>
  <si>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</si>
  <si>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</si>
  <si>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</si>
  <si>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</si>
  <si>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</si>
  <si>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</si>
  <si>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</si>
  <si>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</si>
  <si>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</si>
  <si>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</si>
  <si>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</si>
  <si>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</si>
  <si>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</si>
  <si>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</si>
  <si>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</si>
  <si>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</si>
  <si>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</si>
  <si>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</si>
  <si>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</si>
  <si>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</si>
  <si>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</si>
  <si>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</si>
  <si>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</si>
  <si>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</si>
  <si>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</si>
  <si>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</si>
  <si>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</si>
  <si>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</si>
  <si>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</si>
  <si>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</si>
  <si>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</si>
  <si>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</si>
  <si>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</si>
  <si>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</si>
  <si>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</si>
  <si>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</si>
  <si>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</si>
  <si>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</si>
  <si>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</si>
  <si>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</si>
  <si>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</si>
  <si>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</si>
  <si>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</si>
  <si>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</si>
  <si>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</si>
  <si>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</si>
  <si>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</si>
  <si>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</si>
  <si>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</si>
  <si>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</si>
  <si>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</si>
  <si>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</si>
  <si>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</si>
  <si>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</si>
  <si>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</si>
  <si>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</si>
  <si>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</si>
  <si>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</si>
  <si>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</si>
  <si>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</si>
  <si>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</si>
  <si>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</si>
  <si>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</si>
  <si>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</si>
  <si>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</si>
  <si>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</si>
  <si>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</si>
  <si>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</si>
  <si>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</si>
  <si>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</si>
  <si>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</si>
  <si>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</si>
  <si>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</si>
  <si>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</si>
  <si>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</si>
  <si>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</si>
  <si>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</si>
  <si>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</si>
  <si>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</si>
  <si>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</si>
  <si>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</si>
  <si>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</si>
  <si>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</si>
  <si>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</si>
  <si>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</si>
  <si>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</si>
  <si>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</si>
  <si>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</si>
  <si>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</si>
  <si>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</si>
  <si>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</si>
  <si>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</si>
  <si>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</si>
  <si>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</si>
  <si>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</si>
  <si>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</si>
  <si>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</si>
  <si>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</si>
  <si>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</si>
  <si>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</si>
  <si>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</si>
  <si>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</si>
  <si>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</si>
  <si>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</si>
  <si>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</si>
  <si>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</si>
  <si>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</si>
  <si>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</si>
  <si>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</si>
  <si>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</si>
  <si>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</si>
  <si>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</si>
  <si>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</si>
  <si>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</si>
  <si>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</si>
  <si>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</si>
  <si>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</si>
  <si>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</si>
  <si>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</si>
  <si>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</si>
  <si>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</si>
  <si>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</si>
  <si>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</si>
  <si>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</si>
  <si>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</si>
  <si>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</si>
  <si>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</si>
  <si>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</si>
  <si>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</si>
  <si>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</si>
  <si>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</si>
  <si>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</si>
  <si>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</si>
  <si>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</si>
  <si>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</si>
  <si>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</si>
  <si>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</si>
  <si>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</si>
  <si>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</si>
  <si>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</si>
  <si>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</si>
  <si>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</si>
  <si>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</si>
  <si>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</si>
  <si>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</si>
  <si>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</si>
  <si>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</si>
  <si>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</si>
  <si>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</si>
  <si>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</si>
  <si>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</si>
  <si>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</si>
  <si>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</si>
  <si>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</si>
  <si>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</si>
  <si>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</si>
  <si>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</si>
  <si>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</si>
  <si>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</si>
  <si>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</si>
  <si>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</si>
  <si>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</si>
  <si>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</si>
  <si>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</si>
  <si>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</si>
  <si>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</si>
  <si>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</si>
  <si>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</si>
  <si>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</si>
  <si>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</si>
  <si>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</si>
  <si>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</si>
  <si>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</si>
  <si>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</si>
  <si>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</si>
  <si>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</si>
  <si>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</si>
  <si>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</si>
  <si>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</si>
  <si>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</si>
  <si>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</si>
  <si>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</si>
  <si>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</si>
  <si>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</si>
  <si>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</si>
  <si>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</si>
  <si>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</si>
  <si>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</si>
  <si>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</si>
  <si>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</si>
  <si>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</si>
  <si>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</si>
  <si>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</si>
  <si>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</si>
  <si>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</si>
  <si>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</si>
  <si>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</si>
  <si>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</si>
  <si>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</si>
  <si>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</si>
  <si>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</si>
  <si>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</si>
  <si>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</si>
  <si>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</si>
  <si>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</si>
  <si>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</si>
  <si>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</si>
  <si>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</si>
  <si>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</si>
  <si>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</si>
  <si>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</si>
  <si>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</si>
  <si>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</si>
  <si>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</si>
  <si>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</si>
  <si>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</si>
  <si>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</si>
  <si>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</si>
  <si>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</si>
  <si>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</si>
  <si>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</si>
  <si>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</si>
  <si>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</si>
  <si>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</si>
  <si>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</si>
  <si>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</si>
  <si>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</si>
  <si>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</si>
  <si>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</si>
  <si>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</si>
  <si>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</si>
  <si>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</si>
  <si>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</si>
  <si>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</si>
  <si>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</si>
  <si>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</si>
  <si>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</si>
  <si>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</si>
  <si>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</si>
  <si>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</si>
  <si>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</si>
  <si>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</si>
  <si>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</si>
  <si>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</si>
  <si>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</si>
  <si>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</si>
  <si>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</si>
  <si>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</si>
  <si>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</si>
  <si>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</si>
  <si>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</si>
  <si>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</si>
  <si>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</si>
  <si>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</si>
  <si>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</si>
  <si>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</si>
  <si>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</si>
  <si>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</si>
  <si>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</si>
  <si>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</si>
  <si>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</si>
  <si>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</si>
  <si>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</si>
  <si>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</si>
  <si>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</si>
  <si>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</si>
  <si>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</si>
  <si>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</si>
  <si>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</si>
  <si>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</si>
  <si>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</si>
  <si>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</si>
  <si>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</si>
  <si>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</si>
  <si>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</si>
  <si>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</si>
  <si>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</si>
  <si>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</si>
  <si>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</si>
  <si>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</si>
  <si>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</si>
  <si>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</si>
  <si>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</si>
  <si>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</si>
  <si>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</si>
  <si>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</si>
  <si>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</si>
  <si>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</si>
  <si>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</si>
  <si>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</si>
  <si>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</si>
  <si>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</si>
  <si>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</si>
  <si>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</si>
  <si>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</si>
  <si>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</si>
  <si>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</si>
  <si>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</si>
  <si>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</si>
  <si>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</si>
  <si>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</si>
  <si>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</si>
  <si>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</si>
  <si>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</si>
  <si>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</si>
  <si>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</si>
  <si>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</si>
  <si>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</si>
  <si>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</si>
  <si>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</si>
  <si>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</si>
  <si>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</si>
  <si>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</si>
  <si>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</si>
  <si>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</si>
  <si>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</si>
  <si>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</si>
  <si>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</si>
  <si>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</si>
  <si>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</si>
  <si>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</si>
  <si>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</si>
  <si>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</si>
  <si>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</si>
  <si>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</si>
  <si>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</si>
  <si>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</si>
  <si>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</si>
  <si>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</si>
  <si>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</si>
  <si>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</si>
  <si>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</si>
  <si>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</si>
  <si>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</si>
  <si>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</si>
  <si>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</si>
  <si>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</si>
  <si>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</si>
  <si>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</si>
  <si>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</si>
  <si>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</si>
  <si>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</si>
  <si>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</si>
  <si>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</si>
  <si>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</si>
  <si>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</si>
  <si>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</si>
  <si>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</si>
  <si>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</si>
  <si>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</si>
  <si>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</si>
  <si>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</si>
  <si>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</si>
  <si>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</si>
  <si>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</si>
  <si>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</si>
  <si>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</si>
  <si>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</si>
  <si>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</si>
  <si>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</si>
  <si>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</si>
  <si>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</si>
  <si>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</si>
  <si>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</si>
  <si>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</si>
  <si>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</si>
  <si>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</si>
  <si>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</si>
  <si>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</si>
  <si>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</si>
  <si>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</si>
  <si>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</si>
  <si>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</si>
  <si>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</si>
  <si>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</si>
  <si>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</si>
  <si>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</si>
  <si>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</si>
  <si>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</si>
  <si>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</si>
  <si>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</si>
  <si>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</si>
  <si>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</si>
  <si>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</si>
  <si>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</si>
  <si>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</si>
  <si>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</si>
  <si>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</si>
  <si>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</si>
  <si>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</si>
  <si>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</si>
  <si>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</si>
  <si>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</si>
  <si>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</si>
  <si>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</si>
  <si>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</si>
  <si>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</si>
  <si>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</si>
  <si>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</si>
  <si>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</si>
  <si>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</si>
  <si>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</si>
  <si>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</si>
  <si>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</si>
  <si>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</si>
  <si>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</si>
  <si>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</si>
  <si>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</si>
  <si>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</si>
  <si>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</si>
  <si>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</si>
  <si>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</si>
  <si>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</si>
  <si>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</si>
  <si>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</si>
  <si>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</si>
  <si>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</si>
  <si>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</si>
  <si>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</si>
  <si>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</si>
  <si>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</si>
  <si>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</si>
  <si>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</si>
  <si>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</si>
  <si>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</si>
  <si>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</si>
  <si>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</si>
  <si>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</si>
  <si>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</si>
  <si>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</si>
  <si>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</si>
  <si>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</si>
  <si>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</si>
  <si>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</si>
  <si>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</si>
  <si>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</si>
  <si>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</si>
  <si>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</si>
  <si>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</si>
  <si>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</si>
  <si>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</si>
  <si>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</si>
  <si>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</si>
  <si>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</si>
  <si>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</si>
  <si>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</si>
  <si>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</si>
  <si>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</si>
  <si>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</si>
  <si>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</si>
  <si>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</si>
  <si>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</si>
  <si>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</si>
  <si>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</si>
  <si>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</si>
  <si>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</si>
  <si>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</si>
  <si>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</si>
  <si>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</si>
  <si>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</si>
  <si>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</si>
  <si>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</si>
  <si>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</si>
  <si>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</si>
  <si>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</si>
  <si>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</si>
  <si>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</si>
  <si>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</si>
  <si>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</si>
  <si>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</si>
  <si>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</si>
  <si>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</si>
  <si>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</si>
  <si>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</si>
  <si>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</si>
  <si>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</si>
  <si>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</si>
  <si>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</si>
  <si>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</si>
  <si>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</si>
  <si>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</si>
  <si>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</si>
  <si>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</si>
  <si>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</si>
  <si>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</si>
  <si>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</si>
  <si>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</si>
  <si>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</si>
  <si>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</si>
  <si>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</si>
  <si>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</si>
  <si>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</si>
  <si>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</si>
  <si>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</si>
  <si>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</si>
  <si>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</si>
  <si>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</si>
  <si>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</si>
  <si>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</si>
  <si>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</si>
  <si>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</si>
  <si>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</si>
  <si>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</si>
  <si>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</si>
  <si>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</si>
  <si>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</si>
  <si>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</si>
  <si>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</si>
  <si>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</si>
  <si>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</si>
  <si>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</si>
  <si>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</si>
  <si>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</si>
  <si>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</si>
  <si>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</si>
  <si>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</si>
  <si>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</si>
  <si>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</si>
  <si>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</si>
  <si>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</si>
  <si>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</si>
  <si>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</si>
  <si>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</si>
  <si>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</si>
  <si>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</si>
  <si>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</si>
  <si>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</si>
  <si>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</si>
  <si>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</si>
  <si>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</si>
  <si>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</si>
  <si>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</si>
  <si>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</si>
  <si>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</si>
  <si>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</si>
  <si>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</si>
  <si>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</si>
  <si>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</si>
  <si>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</si>
  <si>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</si>
  <si>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</si>
  <si>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</si>
  <si>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</si>
  <si>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</si>
  <si>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</si>
  <si>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</si>
  <si>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</si>
  <si>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</si>
  <si>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</si>
  <si>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</si>
  <si>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</si>
  <si>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</si>
  <si>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</si>
  <si>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</si>
  <si>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</si>
  <si>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</si>
  <si>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</si>
  <si>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</si>
  <si>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</si>
  <si>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</si>
  <si>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</si>
  <si>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</si>
  <si>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</si>
  <si>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</si>
  <si>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</si>
  <si>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</si>
  <si>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</si>
  <si>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</si>
  <si>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</si>
  <si>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</si>
  <si>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</si>
  <si>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</si>
  <si>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</si>
  <si>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</si>
  <si>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</si>
  <si>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</si>
  <si>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</si>
  <si>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</si>
  <si>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</si>
  <si>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</si>
  <si>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</si>
  <si>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</si>
  <si>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</si>
  <si>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</si>
  <si>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</si>
  <si>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</si>
  <si>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</si>
  <si>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</si>
  <si>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</si>
  <si>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</si>
  <si>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</si>
  <si>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</si>
  <si>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</si>
  <si>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</si>
  <si>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</si>
  <si>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</si>
  <si>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</si>
  <si>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</si>
  <si>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</si>
  <si>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</si>
  <si>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</si>
  <si>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</si>
  <si>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</si>
  <si>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</si>
  <si>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</si>
  <si>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</si>
  <si>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</si>
  <si>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</si>
  <si>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</si>
  <si>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</si>
  <si>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</si>
  <si>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</si>
  <si>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</si>
  <si>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</si>
  <si>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</si>
  <si>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</si>
  <si>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</si>
  <si>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</si>
  <si>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</si>
  <si>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</si>
  <si>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</si>
  <si>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</si>
  <si>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</si>
  <si>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</si>
  <si>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</si>
  <si>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</si>
  <si>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</si>
  <si>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</si>
  <si>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</si>
  <si>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</si>
  <si>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</si>
  <si>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</si>
  <si>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</si>
  <si>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</si>
  <si>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</si>
  <si>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</si>
  <si>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</si>
  <si>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</si>
  <si>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</si>
  <si>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</si>
  <si>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</si>
  <si>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</si>
  <si>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</si>
  <si>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</si>
  <si>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</si>
  <si>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</si>
  <si>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</si>
  <si>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</si>
  <si>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</si>
  <si>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</si>
  <si>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</si>
  <si>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</si>
  <si>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</si>
  <si>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</si>
  <si>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</si>
  <si>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</si>
  <si>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</si>
  <si>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</si>
  <si>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</si>
  <si>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</si>
  <si>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</si>
  <si>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</si>
  <si>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</si>
  <si>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</si>
  <si>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</si>
  <si>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</si>
  <si>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</si>
  <si>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</si>
  <si>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</si>
  <si>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</si>
  <si>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</si>
  <si>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</si>
  <si>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</si>
  <si>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</si>
  <si>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</si>
  <si>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</si>
  <si>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</si>
  <si>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</si>
  <si>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</si>
  <si>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</si>
  <si>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</si>
  <si>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</si>
  <si>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</si>
  <si>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</si>
  <si>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</si>
  <si>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</si>
  <si>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</si>
  <si>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</si>
  <si>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</si>
  <si>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</si>
  <si>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</si>
  <si>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</si>
  <si>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</si>
  <si>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</si>
  <si>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</si>
  <si>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</si>
  <si>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</si>
  <si>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</si>
  <si>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</si>
  <si>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</si>
  <si>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</si>
  <si>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</si>
  <si>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</si>
  <si>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</si>
  <si>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</si>
  <si>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</si>
  <si>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</si>
  <si>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</si>
  <si>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</si>
  <si>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</si>
  <si>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</si>
  <si>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</si>
  <si>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</si>
  <si>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</si>
  <si>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</si>
  <si>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</si>
  <si>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</si>
  <si>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</si>
  <si>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</si>
  <si>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</si>
  <si>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</si>
  <si>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</si>
  <si>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</si>
  <si>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</si>
  <si>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</si>
  <si>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</si>
  <si>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</si>
  <si>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</si>
  <si>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</si>
  <si>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</si>
  <si>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</si>
  <si>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</si>
  <si>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</si>
  <si>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</si>
  <si>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</si>
  <si>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</si>
  <si>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</si>
  <si>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</si>
  <si>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</si>
  <si>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</si>
  <si>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</si>
  <si>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</si>
  <si>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</si>
  <si>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</si>
  <si>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</si>
  <si>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</si>
  <si>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</si>
  <si>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</si>
  <si>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</si>
  <si>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</si>
  <si>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</si>
  <si>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</si>
  <si>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</si>
  <si>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</si>
  <si>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</si>
  <si>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</si>
  <si>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</si>
  <si>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</si>
  <si>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</si>
  <si>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</si>
  <si>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</si>
  <si>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</si>
  <si>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</si>
  <si>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</si>
  <si>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</si>
  <si>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</si>
  <si>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</si>
  <si>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</si>
  <si>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</si>
  <si>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</si>
  <si>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</si>
  <si>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</si>
  <si>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</si>
  <si>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</si>
  <si>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</si>
  <si>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</si>
  <si>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</si>
  <si>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</si>
  <si>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</si>
  <si>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</si>
  <si>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</si>
  <si>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</si>
  <si>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</si>
  <si>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</si>
  <si>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</si>
  <si>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</si>
  <si>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</si>
  <si>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</si>
  <si>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</si>
  <si>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</si>
  <si>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</si>
  <si>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</si>
  <si>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</si>
  <si>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</si>
  <si>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</si>
  <si>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</si>
  <si>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</si>
  <si>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</si>
  <si>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</si>
  <si>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</si>
  <si>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</si>
  <si>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</si>
  <si>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</si>
  <si>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</si>
  <si>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</si>
  <si>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</si>
  <si>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</si>
  <si>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</si>
  <si>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</si>
  <si>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</si>
  <si>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</si>
  <si>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</si>
  <si>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</si>
  <si>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</si>
  <si>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</si>
  <si>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</si>
  <si>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</si>
  <si>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</si>
  <si>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</si>
  <si>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</si>
  <si>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</si>
  <si>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</si>
  <si>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</si>
  <si>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</si>
  <si>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</si>
  <si>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</si>
  <si>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</si>
  <si>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</si>
  <si>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</si>
  <si>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</si>
  <si>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</si>
  <si>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</si>
  <si>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</si>
  <si>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</si>
  <si>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</si>
  <si>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</si>
  <si>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</si>
  <si>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</si>
  <si>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</si>
  <si>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</si>
  <si>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</si>
  <si>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</si>
  <si>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</si>
  <si>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</si>
  <si>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</si>
  <si>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</si>
  <si>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</si>
  <si>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</si>
  <si>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</si>
  <si>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</si>
  <si>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</si>
  <si>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</si>
  <si>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</si>
  <si>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</si>
  <si>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</si>
  <si>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</si>
  <si>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</si>
  <si>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</si>
  <si>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</si>
  <si>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</si>
  <si>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</si>
  <si>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</si>
  <si>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</si>
  <si>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</si>
  <si>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</si>
  <si>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</si>
  <si>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</si>
  <si>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</si>
  <si>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</si>
  <si>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</si>
  <si>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</si>
  <si>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</si>
  <si>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</si>
  <si>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</si>
  <si>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</si>
  <si>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</si>
  <si>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</si>
  <si>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</si>
  <si>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</si>
  <si>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</si>
  <si>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</si>
  <si>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</si>
  <si>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</si>
  <si>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</si>
  <si>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</si>
  <si>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</si>
  <si>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</si>
  <si>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</si>
  <si>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</si>
  <si>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</si>
  <si>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</si>
  <si>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</si>
  <si>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</si>
  <si>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</si>
  <si>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</si>
  <si>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</si>
  <si>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</si>
  <si>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</si>
  <si>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</si>
  <si>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</si>
  <si>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</si>
  <si>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</si>
  <si>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</si>
  <si>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</si>
  <si>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</si>
  <si>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</si>
  <si>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</si>
  <si>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</si>
  <si>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</si>
  <si>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</si>
  <si>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</si>
  <si>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</si>
  <si>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</si>
  <si>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</si>
  <si>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</si>
  <si>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</si>
  <si>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</si>
  <si>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</si>
  <si>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</si>
  <si>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</si>
  <si>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</si>
  <si>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</si>
  <si>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</si>
  <si>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</si>
  <si>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</si>
  <si>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</si>
  <si>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</si>
  <si>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</si>
  <si>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</si>
  <si>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</si>
  <si>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</si>
  <si>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</si>
  <si>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</si>
  <si>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</si>
  <si>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</si>
  <si>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</si>
  <si>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</si>
  <si>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</si>
  <si>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</si>
  <si>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</si>
  <si>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</si>
  <si>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</si>
  <si>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</si>
  <si>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</si>
  <si>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</si>
  <si>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</si>
  <si>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</si>
  <si>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</si>
  <si>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</si>
  <si>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</si>
  <si>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</si>
  <si>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</si>
  <si>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</si>
  <si>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</si>
  <si>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</si>
  <si>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</si>
  <si>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</si>
  <si>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</si>
  <si>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</si>
  <si>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</si>
  <si>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</si>
  <si>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</si>
  <si>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</si>
  <si>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</si>
  <si>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</si>
  <si>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</si>
  <si>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</si>
  <si>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</si>
  <si>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</si>
  <si>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</si>
  <si>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</si>
  <si>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</si>
  <si>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</si>
  <si>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</si>
  <si>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</si>
  <si>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</si>
  <si>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</si>
  <si>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</si>
  <si>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</si>
  <si>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</si>
  <si>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</si>
  <si>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</si>
  <si>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</si>
  <si>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</si>
  <si>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</si>
  <si>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</si>
  <si>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</si>
  <si>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</si>
  <si>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</si>
  <si>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</si>
  <si>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</si>
  <si>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</si>
  <si>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</si>
  <si>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</si>
  <si>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</si>
  <si>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</si>
  <si>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</si>
  <si>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</si>
  <si>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</si>
  <si>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</si>
  <si>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</si>
  <si>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</si>
  <si>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</si>
  <si>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</si>
  <si>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</si>
  <si>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</si>
  <si>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</si>
  <si>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</si>
  <si>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</si>
  <si>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</si>
  <si>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</si>
  <si>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</si>
  <si>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</si>
  <si>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</si>
  <si>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</si>
  <si>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</si>
  <si>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</si>
  <si>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</si>
  <si>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</si>
  <si>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</si>
  <si>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</si>
  <si>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</si>
  <si>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</si>
  <si>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</si>
  <si>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</si>
  <si>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</si>
  <si>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</si>
  <si>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</si>
  <si>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</si>
  <si>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</si>
  <si>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</si>
  <si>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</si>
  <si>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</si>
  <si>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</si>
  <si>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</si>
  <si>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</si>
  <si>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</si>
  <si>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</si>
  <si>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</si>
  <si>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</si>
  <si>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</si>
  <si>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</si>
  <si>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</si>
  <si>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</si>
  <si>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</si>
  <si>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</si>
  <si>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</si>
  <si>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</si>
  <si>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</si>
  <si>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</si>
  <si>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</si>
  <si>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</si>
  <si>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</si>
  <si>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</si>
  <si>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</si>
  <si>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</si>
  <si>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</si>
  <si>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</si>
  <si>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</si>
  <si>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</si>
  <si>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</si>
  <si>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</si>
  <si>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</si>
  <si>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</si>
  <si>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</si>
  <si>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</si>
  <si>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</si>
  <si>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</si>
  <si>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</si>
  <si>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</si>
  <si>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</si>
  <si>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</si>
  <si>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</si>
  <si>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</si>
  <si>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</si>
  <si>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</si>
  <si>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</si>
  <si>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</si>
  <si>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</si>
  <si>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</si>
  <si>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</si>
  <si>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</si>
  <si>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</si>
  <si>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</si>
  <si>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</si>
  <si>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</si>
  <si>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</si>
  <si>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</si>
  <si>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</si>
  <si>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</si>
  <si>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</si>
  <si>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</si>
  <si>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</si>
  <si>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</si>
  <si>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</si>
  <si>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</si>
  <si>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</si>
  <si>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</si>
  <si>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</si>
  <si>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</si>
  <si>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</si>
  <si>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</si>
  <si>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</si>
  <si>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</si>
  <si>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</si>
  <si>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</si>
  <si>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</si>
  <si>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</si>
  <si>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</si>
  <si>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</si>
  <si>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</si>
  <si>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</si>
  <si>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</si>
  <si>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</si>
  <si>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</si>
  <si>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</si>
  <si>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</si>
  <si>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</si>
  <si>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</si>
  <si>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</si>
  <si>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</si>
  <si>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</si>
  <si>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</si>
  <si>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</si>
  <si>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</si>
  <si>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</si>
  <si>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</si>
  <si>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</si>
  <si>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</si>
  <si>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</si>
  <si>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</si>
  <si>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</si>
  <si>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</si>
  <si>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</si>
  <si>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</si>
  <si>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</si>
  <si>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</si>
  <si>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</si>
  <si>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</si>
  <si>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</si>
  <si>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</si>
  <si>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</si>
  <si>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</si>
  <si>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</si>
  <si>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</si>
  <si>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</si>
  <si>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</si>
  <si>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</si>
  <si>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</si>
  <si>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</si>
  <si>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</si>
  <si>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</si>
  <si>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</si>
  <si>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</si>
  <si>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</si>
  <si>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</si>
  <si>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</si>
  <si>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</si>
  <si>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</si>
  <si>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</si>
  <si>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</si>
  <si>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</si>
  <si>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</si>
  <si>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</si>
  <si>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</si>
  <si>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</si>
  <si>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</si>
  <si>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</si>
  <si>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</si>
  <si>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</si>
  <si>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</si>
  <si>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</si>
  <si>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</si>
  <si>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</si>
  <si>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</si>
  <si>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</si>
  <si>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</si>
  <si>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</si>
  <si>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</si>
  <si>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</si>
  <si>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</si>
  <si>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</si>
  <si>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</si>
  <si>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</si>
  <si>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</si>
  <si>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</si>
  <si>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</si>
  <si>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</si>
  <si>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</si>
  <si>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</si>
  <si>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</si>
  <si>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</si>
  <si>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</si>
  <si>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</si>
  <si>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</si>
  <si>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</si>
  <si>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</si>
  <si>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</si>
  <si>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</si>
  <si>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</si>
  <si>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</si>
  <si>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</si>
  <si>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</si>
  <si>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</si>
  <si>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</si>
  <si>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</si>
  <si>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</si>
  <si>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</si>
  <si>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</si>
  <si>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</si>
  <si>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</si>
  <si>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</si>
  <si>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</si>
  <si>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</si>
  <si>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</si>
  <si>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</si>
  <si>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</si>
  <si>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</si>
  <si>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</si>
  <si>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</si>
  <si>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</si>
  <si>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</si>
  <si>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</si>
  <si>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</si>
  <si>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</si>
  <si>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</si>
  <si>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</si>
  <si>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</si>
  <si>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</si>
  <si>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</si>
  <si>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</si>
  <si>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</si>
  <si>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</si>
  <si>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</si>
  <si>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</si>
  <si>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</si>
  <si>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</si>
  <si>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</si>
  <si>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</si>
  <si>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</si>
  <si>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</si>
  <si>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</si>
  <si>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</si>
  <si>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</si>
  <si>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</si>
  <si>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</si>
  <si>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</si>
  <si>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</si>
  <si>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</si>
  <si>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</si>
  <si>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</si>
  <si>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</si>
  <si>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</si>
  <si>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</si>
  <si>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</si>
  <si>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</si>
  <si>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</si>
  <si>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</si>
  <si>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</si>
  <si>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</si>
  <si>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</si>
  <si>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</si>
  <si>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</si>
  <si>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</si>
  <si>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</si>
  <si>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</si>
  <si>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</si>
  <si>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</si>
  <si>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</si>
  <si>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</si>
  <si>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</si>
  <si>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</si>
  <si>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</si>
  <si>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</si>
  <si>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</si>
  <si>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</si>
  <si>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</si>
  <si>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</si>
  <si>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</si>
  <si>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</si>
  <si>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</si>
  <si>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</si>
  <si>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</si>
  <si>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</si>
  <si>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</si>
  <si>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</si>
  <si>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</si>
  <si>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</si>
  <si>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</si>
  <si>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</si>
  <si>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</si>
  <si>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</si>
  <si>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</si>
  <si>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</si>
  <si>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</si>
  <si>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</si>
  <si>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</si>
  <si>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</si>
  <si>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</si>
  <si>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</si>
  <si>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</si>
  <si>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</si>
  <si>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</si>
  <si>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</si>
  <si>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</si>
  <si>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</si>
  <si>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</si>
  <si>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</si>
  <si>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</si>
  <si>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</si>
  <si>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</si>
  <si>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</si>
  <si>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</si>
  <si>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</si>
  <si>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</si>
  <si>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</si>
  <si>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</si>
  <si>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</si>
  <si>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</si>
  <si>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</si>
  <si>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</si>
  <si>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</si>
  <si>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</si>
  <si>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</si>
  <si>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</si>
  <si>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</si>
  <si>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</si>
  <si>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</si>
  <si>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</si>
  <si>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</si>
  <si>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</si>
  <si>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</si>
  <si>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</si>
  <si>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</si>
  <si>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</si>
  <si>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</si>
  <si>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</si>
  <si>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</si>
  <si>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</si>
  <si>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</si>
  <si>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</si>
  <si>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</si>
  <si>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</si>
  <si>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</si>
  <si>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</si>
  <si>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</si>
  <si>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</si>
  <si>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</si>
  <si>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</si>
  <si>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</si>
  <si>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</si>
  <si>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</si>
  <si>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</si>
  <si>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</si>
  <si>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</si>
  <si>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</si>
  <si>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</si>
  <si>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</si>
  <si>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</si>
  <si>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</si>
  <si>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</si>
  <si>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</si>
  <si>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</si>
  <si>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</si>
  <si>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</si>
  <si>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</si>
  <si>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</si>
  <si>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</si>
  <si>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</si>
  <si>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</si>
  <si>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</si>
  <si>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</si>
  <si>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</si>
  <si>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</si>
  <si>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</si>
  <si>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</si>
  <si>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</si>
  <si>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</si>
  <si>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</si>
  <si>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</si>
  <si>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</si>
  <si>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</si>
  <si>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</si>
  <si>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</si>
  <si>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</si>
  <si>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</si>
  <si>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</si>
  <si>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</si>
  <si>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</si>
  <si>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</si>
  <si>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</si>
  <si>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</si>
  <si>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</si>
  <si>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</si>
  <si>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</si>
  <si>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</si>
  <si>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</si>
  <si>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</si>
  <si>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</si>
  <si>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</si>
  <si>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</si>
  <si>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</si>
  <si>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</si>
  <si>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</si>
  <si>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</si>
  <si>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</si>
  <si>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</si>
  <si>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</si>
  <si>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</si>
  <si>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</si>
  <si>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</si>
  <si>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</si>
  <si>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</si>
  <si>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</si>
  <si>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</si>
  <si>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</si>
  <si>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</si>
  <si>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</si>
  <si>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</si>
  <si>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</si>
  <si>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</si>
  <si>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</si>
  <si>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</si>
  <si>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</si>
  <si>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</si>
  <si>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</si>
  <si>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</si>
  <si>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</si>
  <si>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</si>
  <si>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</si>
  <si>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</si>
  <si>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</si>
  <si>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</si>
  <si>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</si>
  <si>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</si>
  <si>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</si>
  <si>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</si>
  <si>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</si>
  <si>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</si>
  <si>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</si>
  <si>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</si>
  <si>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</si>
  <si>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</si>
  <si>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</si>
  <si>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</si>
  <si>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</si>
  <si>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</si>
  <si>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</si>
  <si>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</si>
  <si>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</si>
  <si>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</si>
  <si>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</si>
  <si>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</si>
  <si>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</si>
  <si>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</si>
  <si>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</si>
  <si>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</si>
  <si>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</si>
  <si>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</si>
  <si>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</si>
  <si>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</si>
  <si>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</si>
  <si>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</si>
  <si>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</si>
  <si>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</si>
  <si>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</si>
  <si>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</si>
  <si>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</si>
  <si>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</si>
  <si>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</si>
  <si>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</si>
  <si>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</si>
  <si>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</si>
  <si>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</si>
  <si>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</si>
  <si>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</si>
  <si>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</si>
  <si>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</si>
  <si>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</si>
  <si>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</si>
  <si>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</si>
  <si>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</si>
  <si>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</si>
  <si>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</si>
  <si>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</si>
  <si>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</si>
  <si>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</si>
  <si>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</si>
  <si>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</si>
  <si>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</si>
  <si>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</si>
  <si>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</si>
  <si>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</si>
  <si>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</si>
  <si>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</si>
  <si>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</si>
  <si>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</si>
  <si>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</si>
  <si>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</si>
  <si>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</si>
  <si>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</si>
  <si>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</si>
  <si>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</si>
  <si>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</si>
  <si>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</si>
  <si>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</si>
  <si>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</si>
  <si>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</si>
  <si>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</si>
  <si>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</si>
  <si>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</si>
  <si>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</si>
  <si>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</si>
  <si>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</si>
  <si>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</si>
  <si>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</si>
  <si>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</si>
  <si>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</si>
  <si>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</si>
  <si>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</si>
  <si>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</si>
  <si>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</si>
  <si>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</si>
  <si>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</si>
  <si>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</si>
  <si>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</si>
  <si>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</si>
  <si>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</si>
  <si>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</si>
  <si>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</si>
  <si>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</si>
  <si>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</si>
  <si>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</si>
  <si>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</si>
  <si>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</si>
  <si>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</si>
  <si>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</si>
  <si>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</si>
  <si>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</si>
  <si>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</si>
  <si>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</si>
  <si>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</si>
  <si>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</si>
  <si>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</si>
  <si>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</si>
  <si>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</si>
  <si>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</si>
  <si>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</si>
  <si>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</si>
  <si>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</si>
  <si>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</si>
  <si>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</si>
  <si>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</si>
  <si>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</si>
  <si>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</si>
  <si>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</si>
  <si>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</si>
  <si>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</si>
  <si>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</si>
  <si>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</si>
  <si>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</si>
  <si>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</si>
  <si>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</si>
  <si>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</si>
  <si>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</si>
  <si>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</si>
  <si>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</si>
  <si>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</si>
  <si>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</si>
  <si>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</si>
  <si>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</si>
  <si>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</si>
  <si>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</si>
  <si>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</si>
  <si>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</si>
  <si>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</si>
  <si>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</si>
  <si>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</si>
  <si>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</si>
  <si>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</si>
  <si>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</si>
  <si>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</si>
  <si>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</si>
  <si>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</si>
  <si>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</si>
  <si>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</si>
  <si>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</si>
  <si>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</si>
  <si>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</si>
  <si>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</si>
  <si>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</si>
  <si>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</si>
  <si>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</si>
  <si>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</si>
  <si>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</si>
  <si>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</si>
  <si>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</si>
  <si>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</si>
  <si>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</si>
  <si>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</si>
  <si>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</si>
  <si>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</si>
  <si>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</si>
  <si>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</si>
  <si>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</si>
  <si>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</si>
  <si>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</si>
  <si>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</si>
  <si>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</si>
  <si>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</si>
  <si>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</si>
  <si>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</si>
  <si>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</si>
  <si>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</si>
  <si>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</si>
  <si>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</si>
  <si>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</si>
  <si>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</si>
  <si>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</si>
  <si>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</si>
  <si>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</si>
  <si>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</si>
  <si>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</si>
  <si>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</si>
  <si>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</si>
  <si>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</si>
  <si>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</si>
  <si>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</si>
  <si>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</si>
  <si>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</si>
  <si>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</si>
  <si>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</si>
  <si>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</si>
  <si>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</si>
  <si>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</si>
  <si>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</si>
  <si>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</si>
  <si>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</si>
  <si>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</si>
  <si>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</si>
  <si>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</si>
  <si>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</si>
  <si>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</si>
  <si>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</si>
  <si>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</si>
  <si>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</si>
  <si>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</si>
  <si>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</si>
  <si>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</si>
  <si>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</si>
  <si>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</si>
  <si>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</si>
  <si>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</si>
  <si>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</si>
  <si>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</si>
  <si>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</si>
  <si>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</si>
  <si>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</si>
  <si>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</si>
  <si>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</si>
  <si>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</si>
  <si>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</si>
  <si>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</si>
  <si>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</si>
  <si>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</si>
  <si>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</si>
  <si>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</si>
  <si>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</si>
  <si>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</si>
  <si>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</si>
  <si>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</si>
  <si>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</si>
  <si>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</si>
  <si>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</si>
  <si>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</si>
  <si>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</si>
  <si>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</si>
  <si>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</si>
  <si>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</si>
  <si>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</si>
  <si>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</si>
  <si>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</si>
  <si>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</si>
  <si>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</si>
  <si>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</si>
  <si>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</si>
  <si>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</si>
  <si>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</si>
  <si>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</si>
  <si>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</si>
  <si>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</si>
  <si>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</si>
  <si>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</si>
  <si>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</si>
  <si>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</si>
  <si>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</si>
  <si>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</si>
  <si>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</si>
  <si>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</si>
  <si>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</si>
  <si>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</si>
  <si>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</si>
  <si>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</si>
  <si>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</si>
  <si>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</si>
  <si>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</si>
  <si>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</si>
  <si>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</si>
  <si>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</si>
  <si>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</si>
  <si>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</si>
  <si>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</si>
  <si>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</si>
  <si>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</si>
  <si>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</si>
  <si>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</si>
  <si>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</si>
  <si>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</si>
  <si>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</si>
  <si>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</si>
  <si>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</si>
  <si>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</si>
  <si>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</si>
  <si>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</si>
  <si>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</si>
  <si>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</si>
  <si>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</si>
  <si>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</si>
  <si>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</si>
  <si>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</si>
  <si>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</si>
  <si>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</si>
  <si>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</si>
  <si>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</si>
  <si>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</si>
  <si>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</si>
  <si>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</si>
  <si>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</si>
  <si>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</si>
  <si>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</si>
  <si>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</si>
  <si>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</si>
  <si>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</si>
  <si>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</si>
  <si>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</si>
  <si>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</si>
  <si>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</si>
  <si>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</si>
  <si>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</si>
  <si>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</si>
  <si>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</si>
  <si>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</si>
  <si>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</si>
  <si>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</si>
  <si>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</si>
  <si>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</si>
  <si>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</si>
  <si>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</si>
  <si>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</si>
  <si>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</si>
  <si>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</si>
  <si>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</si>
  <si>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</si>
  <si>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</si>
  <si>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</si>
  <si>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</si>
  <si>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</si>
  <si>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</si>
  <si>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</si>
  <si>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</si>
  <si>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</si>
  <si>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</si>
  <si>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</si>
  <si>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</si>
  <si>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</si>
  <si>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</si>
  <si>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</si>
  <si>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</si>
  <si>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</si>
  <si>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</si>
  <si>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</si>
  <si>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</si>
  <si>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</si>
  <si>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</si>
  <si>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</si>
  <si>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</si>
  <si>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</si>
  <si>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</si>
  <si>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</si>
  <si>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</si>
  <si>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</si>
  <si>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</si>
  <si>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</si>
  <si>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</si>
  <si>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</si>
  <si>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</si>
  <si>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</si>
  <si>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</si>
  <si>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</si>
  <si>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</si>
  <si>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</si>
  <si>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</si>
  <si>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</si>
  <si>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</si>
  <si>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</si>
  <si>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</si>
  <si>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</si>
  <si>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</si>
  <si>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</si>
  <si>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</si>
  <si>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</si>
  <si>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</si>
  <si>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</si>
  <si>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</si>
  <si>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</si>
  <si>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</si>
  <si>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</si>
  <si>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</si>
  <si>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</si>
  <si>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</si>
  <si>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</si>
  <si>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</si>
  <si>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</si>
  <si>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</si>
  <si>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</si>
  <si>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</si>
  <si>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</si>
  <si>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</si>
  <si>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</si>
  <si>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</si>
  <si>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</si>
  <si>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</si>
  <si>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</si>
  <si>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</si>
  <si>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</si>
  <si>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</si>
  <si>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</si>
  <si>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</si>
  <si>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</si>
  <si>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</si>
  <si>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</si>
  <si>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</si>
  <si>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</si>
  <si>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</si>
  <si>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</si>
  <si>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</si>
  <si>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</si>
  <si>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</si>
  <si>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</si>
  <si>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</si>
  <si>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</si>
  <si>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</si>
  <si>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</si>
  <si>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</si>
  <si>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</si>
  <si>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</si>
  <si>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</si>
  <si>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</si>
  <si>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</si>
  <si>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</si>
  <si>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</si>
  <si>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</si>
  <si>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</si>
  <si>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</si>
  <si>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</si>
  <si>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</si>
  <si>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</si>
  <si>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</si>
  <si>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</si>
  <si>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</si>
  <si>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</si>
  <si>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</si>
  <si>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</si>
  <si>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</si>
  <si>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</si>
  <si>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</si>
  <si>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</si>
  <si>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</si>
  <si>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</si>
  <si>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</si>
  <si>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</si>
  <si>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</si>
  <si>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</si>
  <si>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</si>
  <si>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</si>
  <si>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</si>
  <si>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</si>
  <si>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</si>
  <si>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</si>
  <si>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</si>
  <si>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</si>
  <si>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</si>
  <si>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</si>
  <si>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</si>
  <si>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</si>
  <si>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</si>
  <si>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</si>
  <si>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</si>
  <si>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</si>
  <si>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</si>
  <si>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</si>
  <si>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</si>
  <si>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</si>
  <si>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</si>
  <si>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</si>
  <si>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</si>
  <si>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</si>
  <si>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</si>
  <si>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</si>
  <si>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</si>
  <si>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</si>
  <si>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</si>
  <si>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</si>
  <si>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</si>
  <si>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</si>
  <si>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</si>
  <si>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</si>
  <si>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</si>
  <si>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</si>
  <si>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</si>
  <si>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</si>
  <si>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</si>
  <si>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</si>
  <si>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</si>
  <si>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</si>
  <si>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</si>
  <si>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</si>
  <si>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</si>
  <si>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</si>
  <si>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</si>
  <si>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</si>
  <si>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</si>
  <si>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</si>
  <si>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</si>
  <si>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</si>
  <si>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</si>
  <si>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</si>
  <si>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</si>
  <si>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</si>
  <si>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</si>
  <si>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</si>
  <si>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</si>
  <si>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</si>
  <si>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</si>
  <si>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</si>
  <si>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</si>
  <si>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</si>
  <si>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</si>
  <si>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</si>
  <si>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</si>
  <si>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</si>
  <si>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</si>
  <si>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</si>
  <si>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</si>
  <si>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</si>
  <si>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</si>
  <si>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</si>
  <si>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</si>
  <si>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</si>
  <si>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</si>
  <si>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</si>
  <si>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</si>
  <si>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</si>
  <si>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</si>
  <si>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</si>
  <si>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</si>
  <si>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</si>
  <si>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</si>
  <si>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</si>
  <si>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</si>
  <si>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</si>
  <si>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</si>
  <si>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</si>
  <si>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</si>
  <si>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</si>
  <si>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</si>
  <si>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</si>
  <si>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</si>
  <si>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</si>
  <si>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</si>
  <si>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</si>
  <si>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</si>
  <si>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</si>
  <si>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</si>
  <si>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</si>
  <si>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</si>
  <si>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</si>
  <si>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</si>
  <si>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</si>
  <si>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</si>
  <si>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</si>
  <si>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</si>
  <si>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</si>
  <si>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</si>
  <si>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</si>
  <si>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</si>
  <si>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</si>
  <si>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</si>
  <si>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</si>
  <si>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</si>
  <si>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</si>
  <si>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</si>
  <si>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</si>
  <si>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</si>
  <si>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</si>
  <si>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</si>
  <si>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</si>
  <si>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</si>
  <si>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</si>
  <si>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</si>
  <si>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</si>
  <si>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</si>
  <si>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</si>
  <si>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</si>
  <si>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</si>
  <si>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</si>
  <si>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</si>
  <si>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</si>
  <si>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</si>
  <si>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</si>
  <si>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</si>
  <si>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</si>
  <si>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</si>
  <si>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</si>
  <si>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</si>
  <si>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</si>
  <si>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</si>
  <si>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</si>
  <si>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</si>
  <si>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</si>
  <si>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</si>
  <si>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</si>
  <si>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</si>
  <si>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</si>
  <si>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</si>
  <si>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</si>
  <si>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</si>
  <si>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</si>
  <si>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</si>
  <si>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</si>
  <si>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</si>
  <si>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</si>
  <si>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</si>
  <si>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</si>
  <si>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</si>
  <si>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</si>
  <si>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</si>
  <si>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</si>
  <si>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</si>
  <si>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</si>
  <si>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</si>
  <si>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</si>
  <si>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</si>
  <si>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</si>
  <si>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</si>
  <si>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</si>
  <si>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</si>
  <si>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</si>
  <si>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</si>
  <si>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</si>
  <si>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</si>
  <si>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</si>
  <si>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</si>
  <si>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</si>
  <si>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</si>
  <si>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</si>
  <si>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</si>
  <si>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</si>
  <si>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</si>
  <si>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</si>
  <si>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</si>
  <si>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</si>
  <si>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</si>
  <si>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</si>
  <si>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</si>
  <si>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</si>
  <si>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</si>
  <si>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</si>
  <si>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</si>
  <si>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</si>
  <si>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</si>
  <si>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</si>
  <si>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</si>
  <si>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</si>
  <si>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</si>
  <si>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</si>
  <si>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</si>
  <si>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</si>
  <si>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</si>
  <si>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</si>
  <si>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</si>
  <si>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</si>
  <si>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</si>
  <si>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</si>
  <si>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</si>
  <si>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</si>
  <si>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</si>
  <si>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</si>
  <si>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</si>
  <si>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</si>
  <si>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</si>
  <si>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</si>
  <si>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</si>
  <si>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</si>
  <si>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</si>
  <si>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</si>
  <si>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</si>
  <si>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</si>
  <si>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</si>
  <si>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</si>
  <si>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</si>
  <si>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</si>
  <si>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</si>
  <si>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</si>
  <si>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</si>
  <si>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</si>
  <si>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</si>
  <si>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</si>
  <si>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</si>
  <si>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</si>
  <si>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</si>
  <si>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</si>
  <si>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</si>
  <si>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</si>
  <si>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</si>
  <si>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</si>
  <si>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</si>
  <si>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</si>
  <si>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</si>
  <si>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</si>
  <si>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</si>
  <si>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</si>
  <si>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</si>
  <si>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</si>
  <si>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</si>
  <si>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</si>
  <si>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</si>
  <si>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</si>
  <si>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</si>
  <si>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</si>
  <si>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</si>
  <si>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</si>
  <si>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</si>
  <si>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</si>
  <si>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</si>
  <si>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</si>
  <si>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</si>
  <si>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</si>
  <si>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</si>
  <si>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</si>
  <si>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</si>
  <si>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</si>
  <si>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</si>
  <si>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</si>
  <si>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</si>
  <si>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</si>
  <si>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</si>
  <si>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</si>
  <si>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</si>
  <si>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</si>
  <si>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</si>
  <si>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</si>
  <si>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</si>
  <si>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</si>
  <si>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</si>
  <si>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</si>
  <si>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</si>
  <si>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</si>
  <si>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</si>
  <si>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</si>
  <si>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</si>
  <si>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</si>
  <si>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</si>
  <si>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</si>
  <si>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</si>
  <si>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</si>
  <si>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</si>
  <si>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</si>
  <si>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</si>
  <si>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</si>
  <si>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</si>
  <si>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</si>
  <si>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</si>
  <si>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</si>
  <si>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</si>
  <si>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</si>
  <si>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</si>
  <si>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</si>
  <si>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</si>
  <si>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</si>
  <si>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</si>
  <si>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</si>
  <si>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</si>
  <si>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</si>
  <si>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</si>
  <si>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</si>
  <si>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</si>
  <si>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</si>
  <si>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</si>
  <si>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</si>
  <si>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</si>
  <si>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</si>
  <si>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</si>
  <si>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</si>
  <si>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</si>
  <si>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</si>
  <si>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</si>
  <si>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</si>
  <si>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</si>
  <si>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</si>
  <si>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</si>
  <si>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</si>
  <si>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</si>
  <si>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</si>
  <si>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</si>
  <si>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</si>
  <si>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</si>
  <si>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</si>
  <si>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</si>
  <si>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</si>
  <si>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</si>
  <si>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</si>
  <si>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</si>
  <si>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</si>
  <si>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</si>
  <si>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</si>
  <si>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</si>
  <si>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</si>
  <si>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</si>
  <si>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</si>
  <si>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</si>
  <si>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</si>
  <si>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</si>
  <si>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</si>
  <si>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</si>
  <si>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</si>
  <si>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</si>
  <si>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</si>
  <si>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</si>
  <si>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</si>
  <si>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</si>
  <si>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</si>
  <si>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</si>
  <si>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</si>
  <si>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</si>
  <si>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</si>
  <si>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</si>
  <si>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</si>
  <si>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</si>
  <si>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</si>
  <si>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</si>
  <si>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</si>
  <si>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</si>
  <si>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</si>
  <si>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</si>
  <si>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</si>
  <si>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</si>
  <si>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</si>
  <si>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</si>
  <si>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</si>
  <si>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</t>
  </si>
  <si>
    <t>Number of Backer</t>
  </si>
  <si>
    <t>Failed</t>
  </si>
  <si>
    <t>Mean Goal</t>
  </si>
  <si>
    <t>Median Goal</t>
  </si>
  <si>
    <t>Mean Pledged</t>
  </si>
  <si>
    <t>Median Pledged</t>
  </si>
  <si>
    <t>Upper Quartile of Pledged</t>
  </si>
  <si>
    <t>Lower Quartile of Pledged</t>
  </si>
  <si>
    <t>IQR of Pledged</t>
  </si>
  <si>
    <t>Standard Deviation of Pledged</t>
  </si>
  <si>
    <t>Upper Quartile of Goal</t>
  </si>
  <si>
    <t>Lower Quartile of Goal</t>
  </si>
  <si>
    <t>IQR of Goal</t>
  </si>
  <si>
    <t>Standard Deviation of Goal</t>
  </si>
  <si>
    <t>Successful</t>
  </si>
  <si>
    <t>Number Successful</t>
  </si>
  <si>
    <t>Number Failed</t>
  </si>
  <si>
    <t>Total Projects</t>
  </si>
  <si>
    <t>Percentage Sucessful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</si>
  <si>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</si>
  <si>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</si>
  <si>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</si>
  <si>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</si>
  <si>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</si>
  <si>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</si>
  <si>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</si>
  <si>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</si>
  <si>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</si>
  <si>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</si>
  <si>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</si>
  <si>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</si>
  <si>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</si>
  <si>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</si>
  <si>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Canceled</t>
  </si>
  <si>
    <t>COUNTIFS(Kickstarter!$D:$D, "&lt;1000", Kickstarter!$F:$F, "successful",  Kickstarter!$R:$R, "plays")</t>
  </si>
  <si>
    <t xml:space="preserve">  Kickstarter!$R:$R, "plays"</t>
  </si>
  <si>
    <t>COUNTIFS('Kickstarter Data'!$F:$F, "failed", 'Kickstarter Data'!$D:$D, "&lt;="&amp;C2)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</si>
</sst>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Consolas"/>
      <family val="3"/>
    </font>
    <font>
      <sz val="10"/>
      <color rgb="FF202124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vertical="center" wrapText="1"/>
    </xf>
    <xf numFmtId="165" fontId="0" fillId="0" borderId="0" xfId="0" applyNumberFormat="1"/>
    <xf numFmtId="10" fontId="0" fillId="0" borderId="0" xfId="0" applyNumberFormat="1"/>
    <xf numFmtId="0" fontId="3" fillId="0" borderId="0" xfId="0" applyFon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Copy.xlsx]Theater Outcomes By Launch Date!PivotTable1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</a:t>
            </a:r>
            <a:endParaRPr lang="en-US"/>
          </a:p>
        </c:rich>
      </c:tx>
      <c:layout>
        <c:manualLayout>
          <c:xMode val="edge"/>
          <c:yMode val="edge"/>
          <c:x val="0.43193949826039185"/>
          <c:y val="4.860638094978612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9E-4F42-97DF-3D308DF5883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9E-4F42-97DF-3D308DF5883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9E-4F42-97DF-3D308DF58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7841023"/>
        <c:axId val="267844767"/>
      </c:lineChart>
      <c:catAx>
        <c:axId val="267841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844767"/>
        <c:crosses val="autoZero"/>
        <c:auto val="1"/>
        <c:lblAlgn val="ctr"/>
        <c:lblOffset val="100"/>
        <c:noMultiLvlLbl val="0"/>
      </c:catAx>
      <c:valAx>
        <c:axId val="26784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841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C8D-4DE8-8EF8-2A5343C82CEE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C8D-4DE8-8EF8-2A5343C82CEE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C8D-4DE8-8EF8-2A5343C82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8878751"/>
        <c:axId val="201887542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34925" cap="rnd">
                    <a:solidFill>
                      <a:schemeClr val="accent1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C8D-4DE8-8EF8-2A5343C82CE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34925" cap="rnd">
                    <a:solidFill>
                      <a:schemeClr val="accent2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C8D-4DE8-8EF8-2A5343C82CE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34925" cap="rnd">
                    <a:solidFill>
                      <a:schemeClr val="accent3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C8D-4DE8-8EF8-2A5343C82CE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34925" cap="rnd">
                    <a:solidFill>
                      <a:schemeClr val="accent4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C8D-4DE8-8EF8-2A5343C82CEE}"/>
                  </c:ext>
                </c:extLst>
              </c15:ser>
            </c15:filteredLineSeries>
          </c:ext>
        </c:extLst>
      </c:lineChart>
      <c:catAx>
        <c:axId val="2018878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8875423"/>
        <c:crosses val="autoZero"/>
        <c:auto val="1"/>
        <c:lblAlgn val="ctr"/>
        <c:lblOffset val="100"/>
        <c:noMultiLvlLbl val="0"/>
      </c:catAx>
      <c:valAx>
        <c:axId val="201887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887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Copy.xlsx]Category Statitics!PivotTable2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F0-498A-90DB-D8E70DAE4392}"/>
            </c:ext>
          </c:extLst>
        </c:ser>
        <c:ser>
          <c:idx val="1"/>
          <c:order val="1"/>
          <c:tx>
            <c:strRef>
              <c:f>'Category Statitics'!$C$3:$C$4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F0-498A-90DB-D8E70DAE4392}"/>
            </c:ext>
          </c:extLst>
        </c:ser>
        <c:ser>
          <c:idx val="2"/>
          <c:order val="2"/>
          <c:tx>
            <c:strRef>
              <c:f>'Category Statitics'!$D$3:$D$4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F0-498A-90DB-D8E70DAE4392}"/>
            </c:ext>
          </c:extLst>
        </c:ser>
        <c:ser>
          <c:idx val="3"/>
          <c:order val="3"/>
          <c:tx>
            <c:strRef>
              <c:f>'Category Statitics'!$E$3:$E$4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F0-498A-90DB-D8E70DAE4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6250096"/>
        <c:axId val="576252176"/>
      </c:barChart>
      <c:catAx>
        <c:axId val="57625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252176"/>
        <c:crosses val="autoZero"/>
        <c:auto val="1"/>
        <c:lblAlgn val="ctr"/>
        <c:lblOffset val="100"/>
        <c:noMultiLvlLbl val="0"/>
      </c:catAx>
      <c:valAx>
        <c:axId val="57625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25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674-4BB6-9D10-79EE883851A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674-4BB6-9D10-79EE883851A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674-4BB6-9D10-79EE88385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25946656"/>
        <c:axId val="925943328"/>
      </c:barChart>
      <c:catAx>
        <c:axId val="92594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943328"/>
        <c:crosses val="autoZero"/>
        <c:auto val="1"/>
        <c:lblAlgn val="ctr"/>
        <c:lblOffset val="100"/>
        <c:noMultiLvlLbl val="0"/>
      </c:catAx>
      <c:valAx>
        <c:axId val="92594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94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B-4E70-8C72-E42BE3E021B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B-4E70-8C72-E42BE3E021B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B-4E70-8C72-E42BE3E021B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B-4E70-8C72-E42BE3E02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2626512"/>
        <c:axId val="722627344"/>
      </c:lineChart>
      <c:catAx>
        <c:axId val="722626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627344"/>
        <c:crosses val="autoZero"/>
        <c:auto val="1"/>
        <c:lblAlgn val="ctr"/>
        <c:lblOffset val="100"/>
        <c:noMultiLvlLbl val="0"/>
      </c:catAx>
      <c:valAx>
        <c:axId val="72262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626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73024</xdr:colOff>
      <xdr:row>1</xdr:row>
      <xdr:rowOff>9524</xdr:rowOff>
    </xdr:from>
    <xdr:to>
      <xdr:col>19</xdr:col>
      <xdr:colOff>244474</xdr:colOff>
      <xdr:row>25</xdr:row>
      <xdr:rowOff>25399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4B33F0-2C55-4145-9048-6AC03035A2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2711450</xdr:colOff>
      <xdr:row>1</xdr:row>
      <xdr:rowOff>158749</xdr:rowOff>
    </xdr:from>
    <xdr:to>
      <xdr:col>18</xdr:col>
      <xdr:colOff>34924</xdr:colOff>
      <xdr:row>32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38F540-8B2B-4B7F-B629-463C9C023A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400049</xdr:colOff>
      <xdr:row>1</xdr:row>
      <xdr:rowOff>157162</xdr:rowOff>
    </xdr:from>
    <xdr:to>
      <xdr:col>22</xdr:col>
      <xdr:colOff>57150</xdr:colOff>
      <xdr:row>25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FA685C-DCE4-446B-9FEE-09ED0EAB1B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590550</xdr:colOff>
      <xdr:row>1</xdr:row>
      <xdr:rowOff>80961</xdr:rowOff>
    </xdr:from>
    <xdr:to>
      <xdr:col>25</xdr:col>
      <xdr:colOff>533400</xdr:colOff>
      <xdr:row>26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F9AF51-4507-45B9-8C3B-ED9E3CD1A9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485774</xdr:colOff>
      <xdr:row>2</xdr:row>
      <xdr:rowOff>185737</xdr:rowOff>
    </xdr:from>
    <xdr:to>
      <xdr:col>22</xdr:col>
      <xdr:colOff>266699</xdr:colOff>
      <xdr:row>26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8C016C-AC3D-4132-8F43-3C7B90D3E7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derick Spells" refreshedDate="44305.651202777779" createdVersion="7" refreshedVersion="7" minRefreshableVersion="3" recordCount="4115" xr:uid="{62D410F1-07E0-4E73-89A2-BDBC87706AAD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derick Spells" refreshedDate="44305.731470601851" createdVersion="7" refreshedVersion="7" minRefreshableVersion="3" recordCount="4114" xr:uid="{6120D26C-4DDA-496D-89E2-7ED01DFD1BF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derick Spells" refreshedDate="44307.432989699075" createdVersion="7" refreshedVersion="7" minRefreshableVersion="3" recordCount="4114" xr:uid="{AF23A12E-D232-41B8-81F0-2D3F0051D9D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82CCD8-0AF2-4C91-BEBB-DBCFC6170EDB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4:E18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3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F12A34-387D-4EE6-877B-45FEA315E8FE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2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AA4957-DFA8-4947-A295-38AC416DBC76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10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2697C5-7AE8-4A79-B29B-CFCB632ECEE5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11646-91DE-4E07-82AB-B6DD97D910EA}">
  <dimension ref="A2:E18"/>
  <sheetViews>
    <sheetView workbookViewId="0">
      <selection activeCell="A2" sqref="A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10" bestFit="1" customWidth="1"/>
    <col min="8" max="8" width="9.85546875" bestFit="1" customWidth="1"/>
    <col min="9" max="11" width="10" bestFit="1" customWidth="1"/>
    <col min="12" max="12" width="9.85546875" bestFit="1" customWidth="1"/>
    <col min="13" max="15" width="10" bestFit="1" customWidth="1"/>
    <col min="16" max="16" width="9.85546875" bestFit="1" customWidth="1"/>
    <col min="17" max="19" width="10" bestFit="1" customWidth="1"/>
    <col min="20" max="20" width="9.85546875" bestFit="1" customWidth="1"/>
    <col min="21" max="23" width="10" bestFit="1" customWidth="1"/>
    <col min="24" max="24" width="9.85546875" bestFit="1" customWidth="1"/>
    <col min="25" max="27" width="10" bestFit="1" customWidth="1"/>
    <col min="28" max="28" width="9.85546875" bestFit="1" customWidth="1"/>
    <col min="29" max="31" width="10" bestFit="1" customWidth="1"/>
    <col min="32" max="32" width="9.85546875" bestFit="1" customWidth="1"/>
    <col min="33" max="36" width="10" bestFit="1" customWidth="1"/>
    <col min="37" max="37" width="9.85546875" bestFit="1" customWidth="1"/>
    <col min="38" max="38" width="11.28515625" bestFit="1" customWidth="1"/>
  </cols>
  <sheetData>
    <row r="2" spans="1:5" x14ac:dyDescent="0.25">
      <c r="A2" s="11" t="s">
        <v>8358</v>
      </c>
      <c r="B2" t="s">
        <v>8315</v>
      </c>
    </row>
    <row r="4" spans="1:5" x14ac:dyDescent="0.25">
      <c r="A4" s="11" t="s">
        <v>8363</v>
      </c>
      <c r="B4" s="11" t="s">
        <v>8362</v>
      </c>
    </row>
    <row r="5" spans="1:5" x14ac:dyDescent="0.25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26485-CC1C-458C-B325-9562298C3A5F}">
  <dimension ref="A1:S14"/>
  <sheetViews>
    <sheetView workbookViewId="0">
      <selection activeCell="A8" sqref="A8:XFD8"/>
    </sheetView>
  </sheetViews>
  <sheetFormatPr defaultRowHeight="15" x14ac:dyDescent="0.25"/>
  <cols>
    <col min="1" max="1" width="18" style="8" bestFit="1" customWidth="1"/>
    <col min="2" max="2" width="18.140625" bestFit="1" customWidth="1"/>
    <col min="3" max="4" width="17.7109375" bestFit="1" customWidth="1"/>
    <col min="5" max="5" width="13.140625" bestFit="1" customWidth="1"/>
    <col min="6" max="6" width="20" style="18" bestFit="1" customWidth="1"/>
    <col min="7" max="7" width="17" style="18" bestFit="1" customWidth="1"/>
    <col min="8" max="8" width="20.42578125" style="18" bestFit="1" customWidth="1"/>
    <col min="9" max="9" width="90" bestFit="1" customWidth="1"/>
  </cols>
  <sheetData>
    <row r="1" spans="1:19" x14ac:dyDescent="0.25">
      <c r="A1" s="8" t="s">
        <v>8381</v>
      </c>
      <c r="B1" t="s">
        <v>8399</v>
      </c>
      <c r="C1" t="s">
        <v>8400</v>
      </c>
      <c r="D1" t="s">
        <v>8417</v>
      </c>
      <c r="E1" t="s">
        <v>8401</v>
      </c>
      <c r="F1" s="18" t="s">
        <v>8402</v>
      </c>
      <c r="G1" s="18" t="s">
        <v>8403</v>
      </c>
      <c r="H1" s="18" t="s">
        <v>8404</v>
      </c>
    </row>
    <row r="2" spans="1:19" x14ac:dyDescent="0.25">
      <c r="A2" s="8" t="s">
        <v>8405</v>
      </c>
      <c r="B2">
        <f>COUNTIFS(Kickstarter!$D:$D, "&lt;1000", Kickstarter!$F:$F, "successful",  Kickstarter!$R:$R, "plays")</f>
        <v>141</v>
      </c>
      <c r="C2">
        <f>COUNTIFS(Kickstarter!$D:$D, "&lt;1000", Kickstarter!$F:$F, "failed",   Kickstarter!$R:$R, "plays")</f>
        <v>45</v>
      </c>
      <c r="D2">
        <f>COUNTIFS(Kickstarter!$D:$D,"&lt;1000",Kickstarter!$F:$F,"cancelled",   Kickstarter!$R:$R, 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19" x14ac:dyDescent="0.25">
      <c r="A3" s="8" t="s">
        <v>8406</v>
      </c>
      <c r="B3">
        <f>COUNTIFS(Kickstarter!$D:$D, "&gt;=1000", Kickstarter!$D:$D,"&lt;=4999", Kickstarter!$F:$F, "successful",   Kickstarter!$R:$R, "plays")</f>
        <v>388</v>
      </c>
      <c r="C3">
        <f>COUNTIFS(Kickstarter!$D:$D,"&gt;=1000",Kickstarter!$D:$D,"&lt;=4999",Kickstarter!$F:$F,"failed", Kickstarter!$R:$R, "plays")</f>
        <v>146</v>
      </c>
      <c r="D3">
        <f>COUNTIFS(Kickstarter!$D:$D, "&gt;=1000", Kickstarter!$D:$D,"&lt;=4999", Kickstarter!$F:$F, "cancelled",   Kickstarter!$R:$R, "plays")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19" x14ac:dyDescent="0.25">
      <c r="A4" s="8" t="s">
        <v>8407</v>
      </c>
      <c r="B4">
        <f>COUNTIFS(Kickstarter!$D:$D, "&gt;=5000", Kickstarter!$D:$D,"&lt;=9999", Kickstarter!$F:$F, "successful",   Kickstarter!$R:$R, "plays")</f>
        <v>93</v>
      </c>
      <c r="C4">
        <f>COUNTIFS(Kickstarter!$D:$D, "&gt;=5000", Kickstarter!$D:$D,"&lt;=9999", Kickstarter!$F:$F, "failed",   Kickstarter!$R:$R, "plays")</f>
        <v>76</v>
      </c>
      <c r="D4">
        <f>COUNTIFS(Kickstarter!$D:$D, "&gt;=5000", Kickstarter!$D:$D,"&lt;=9999", Kickstarter!$F:$F, "cancelled",   Kickstarter!$R:$R, 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19" x14ac:dyDescent="0.25">
      <c r="A5" s="8" t="s">
        <v>8408</v>
      </c>
      <c r="B5">
        <f>COUNTIFS(Kickstarter!$D:$D, "&gt;=10000", Kickstarter!$D:$D,"&lt;=14999", Kickstarter!$F:$F, "successful",   Kickstarter!$R:$R, "plays")</f>
        <v>39</v>
      </c>
      <c r="C5">
        <f>COUNTIFS(Kickstarter!$D:$D, "&gt;=10000", Kickstarter!$D:$D,"&lt;=14999", Kickstarter!$F:$F, "failed",   Kickstarter!$R:$R, "plays")</f>
        <v>33</v>
      </c>
      <c r="D5">
        <f>COUNTIFS(Kickstarter!$D:$D, "&gt;=10000", Kickstarter!$D:$D,"&lt;=14999", Kickstarter!$F:$F, "cancelled",   Kickstarter!$R:$R, 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19" x14ac:dyDescent="0.25">
      <c r="A6" s="8" t="s">
        <v>8409</v>
      </c>
      <c r="B6">
        <f>COUNTIFS(Kickstarter!$D:$D, "&gt;=15000", Kickstarter!$D:$D,"&lt;=19999", Kickstarter!$F:$F, "successful",   Kickstarter!$R:$R, "plays")</f>
        <v>12</v>
      </c>
      <c r="C6">
        <f>COUNTIFS(Kickstarter!$D:$D, "&gt;=15000", Kickstarter!$D:$D,"&lt;=19999", Kickstarter!$F:$F, "failed",   Kickstarter!$R:$R, "plays")</f>
        <v>12</v>
      </c>
      <c r="D6">
        <f>COUNTIFS(Kickstarter!$D:$D, "&gt;=15000", Kickstarter!$D:$D,"&lt;=19999", Kickstarter!$F:$F, "cancelled",   Kickstarter!$R:$R, 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19" x14ac:dyDescent="0.25">
      <c r="A7" s="8" t="s">
        <v>8410</v>
      </c>
      <c r="B7">
        <f>COUNTIFS(Kickstarter!$D:$D, "&gt;=20000", Kickstarter!$D:$D,"&lt;=24999", Kickstarter!$F:$F, "successful",   Kickstarter!$R:$R, "plays")</f>
        <v>9</v>
      </c>
      <c r="C7">
        <f>COUNTIFS(Kickstarter!$D:$D, "&gt;=20000", Kickstarter!$D:$D,"&lt;=24999", Kickstarter!$F:$F, "failed",   Kickstarter!$R:$R, "plays")</f>
        <v>11</v>
      </c>
      <c r="D7">
        <f>COUNTIFS(Kickstarter!$D:$D, "&gt;=20000", Kickstarter!$D:$D,"&lt;=24999", Kickstarter!$F:$F, "cancelled",   Kickstarter!$R:$R, 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19" x14ac:dyDescent="0.25">
      <c r="A8" s="8" t="s">
        <v>8411</v>
      </c>
      <c r="B8">
        <f>COUNTIFS(Kickstarter!$D:$D, "&gt;=25000", Kickstarter!$D:$D,"&lt;=29999", Kickstarter!$F:$F, "successful",   Kickstarter!$R:$R, "plays")</f>
        <v>1</v>
      </c>
      <c r="C8">
        <f>COUNTIFS(Kickstarter!$D:$D, "&gt;=25000", Kickstarter!$D:$D,"&lt;=29999", Kickstarter!$F:$F, "failed",   Kickstarter!$R:$R, "plays")</f>
        <v>4</v>
      </c>
      <c r="D8">
        <f>COUNTIFS(Kickstarter!$D:$D, "&gt;=25000", Kickstarter!$D:$D,"&lt;=29999", Kickstarter!$F:$F, "cancelled",   Kickstarter!$R:$R, 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  <c r="S8" t="s">
        <v>8418</v>
      </c>
    </row>
    <row r="9" spans="1:19" x14ac:dyDescent="0.25">
      <c r="A9" s="8" t="s">
        <v>8412</v>
      </c>
      <c r="B9">
        <f>COUNTIFS(Kickstarter!$D:$D, "&gt;=30000", Kickstarter!$D:$D,"&lt;=34999", Kickstarter!$F:$F, "successful",   Kickstarter!$R:$R, "plays")</f>
        <v>3</v>
      </c>
      <c r="C9">
        <f>COUNTIFS(Kickstarter!$D:$D, "&gt;=30000", Kickstarter!$D:$D,"&lt;=34999", Kickstarter!$F:$F, "failed",   Kickstarter!$R:$R, "plays")</f>
        <v>8</v>
      </c>
      <c r="D9">
        <f>COUNTIFS(Kickstarter!$D:$D, "&gt;=30000", Kickstarter!$D:$D,"&lt;=34999", Kickstarter!$F:$F, "cancelled",   Kickstarter!$R:$R, 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  <c r="S9" s="19" t="s">
        <v>8420</v>
      </c>
    </row>
    <row r="10" spans="1:19" x14ac:dyDescent="0.25">
      <c r="A10" s="8" t="s">
        <v>8413</v>
      </c>
      <c r="B10">
        <f>COUNTIFS(Kickstarter!$D:$D, "&gt;=35000", Kickstarter!$D:$D,"&lt;=39999", Kickstarter!$F:$F, "successful",   Kickstarter!$R:$R, "plays")</f>
        <v>4</v>
      </c>
      <c r="C10">
        <f>COUNTIFS(Kickstarter!$D:$D, "&gt;=35000", Kickstarter!$D:$D,"&lt;=39999", Kickstarter!$F:$F, "failed",   Kickstarter!$R:$R, "plays")</f>
        <v>2</v>
      </c>
      <c r="D10">
        <f>COUNTIFS(Kickstarter!$D:$D, "&gt;=35000", Kickstarter!$D:$D,"&lt;=39999", Kickstarter!$F:$F, "cancelled",   Kickstarter!$R:$R, 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19" x14ac:dyDescent="0.25">
      <c r="A11" s="8" t="s">
        <v>8414</v>
      </c>
      <c r="B11">
        <f>COUNTIFS(Kickstarter!$D:$D, "&gt;=40000", Kickstarter!$D:$D,"&lt;=44999", Kickstarter!$F:$F, "successful",   Kickstarter!$R:$R, "plays")</f>
        <v>2</v>
      </c>
      <c r="C11">
        <f>COUNTIFS(Kickstarter!$D:$D, "&gt;=40000", Kickstarter!$D:$D,"&lt;=44999", Kickstarter!$F:$F, "failed",   Kickstarter!$R:$R, "plays")</f>
        <v>1</v>
      </c>
      <c r="D11">
        <f>COUNTIFS(Kickstarter!$D:$D, "&gt;=40000", Kickstarter!$D:$D,"&lt;=44999", Kickstarter!$F:$F, "cancelled",   Kickstarter!$R:$R, 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19" x14ac:dyDescent="0.25">
      <c r="A12" s="8" t="s">
        <v>8415</v>
      </c>
      <c r="B12">
        <f>COUNTIFS(Kickstarter!$D:$D, "&gt;=45000", Kickstarter!$D:$D,"&lt;=49999", Kickstarter!$F:$F, "successful",   Kickstarter!$R:$R, "plays")</f>
        <v>0</v>
      </c>
      <c r="C12">
        <f>COUNTIFS(Kickstarter!$D:$D, "&gt;=45000", Kickstarter!$D:$D,"&lt;=49999", Kickstarter!$F:$F, "failed",   Kickstarter!$R:$R, "plays")</f>
        <v>1</v>
      </c>
      <c r="D12">
        <f>COUNTIFS(Kickstarter!$D:$D, "&gt;=45000", Kickstarter!$D:$D,"&lt;=49999", Kickstarter!$F:$F, "cancelled",   Kickstarter!$R:$R, 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19" x14ac:dyDescent="0.25">
      <c r="A13" s="8" t="s">
        <v>8416</v>
      </c>
      <c r="B13">
        <f>COUNTIFS(Kickstarter!$D:$D, "&gt;50000", Kickstarter!$F:$F, "successful",   Kickstarter!$R:$R, "plays")</f>
        <v>2</v>
      </c>
      <c r="C13">
        <f>COUNTIFS(Kickstarter!$D:$D, "&gt;50000", Kickstarter!$F:$F, "failed",   Kickstarter!$R:$R, "plays")</f>
        <v>10</v>
      </c>
      <c r="D13">
        <f>COUNTIFS(Kickstarter!$D:$D, "&gt;50000", Kickstarter!$F:$F, "cancelled",   Kickstarter!$R:$R, "plays")</f>
        <v>0</v>
      </c>
      <c r="E13">
        <f t="shared" si="0"/>
        <v>12</v>
      </c>
      <c r="F13" s="18">
        <f t="shared" si="1"/>
        <v>0.16666666666666666</v>
      </c>
      <c r="G13" s="18">
        <f t="shared" si="2"/>
        <v>0.83333333333333337</v>
      </c>
      <c r="H13" s="18">
        <f t="shared" si="3"/>
        <v>0</v>
      </c>
    </row>
    <row r="14" spans="1:19" x14ac:dyDescent="0.25">
      <c r="S14" t="s">
        <v>8419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D1" zoomScale="80" zoomScaleNormal="80" workbookViewId="0">
      <pane ySplit="1" topLeftCell="A3583" activePane="bottomLeft" state="frozen"/>
      <selection activeCell="G1" sqref="G1"/>
      <selection pane="bottomLeft" activeCell="R1298" sqref="R1298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7.285156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34.28515625" bestFit="1" customWidth="1"/>
    <col min="16" max="16" width="18" bestFit="1" customWidth="1"/>
    <col min="17" max="17" width="41.140625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U4115" xr:uid="{BD0C3372-FFF7-4EC8-B5BA-16CECAED51C4}">
    <filterColumn colId="17">
      <filters>
        <filter val="plays"/>
      </filters>
    </filterColumn>
  </autoFilter>
  <conditionalFormatting sqref="F1:F1048576">
    <cfRule type="cellIs" dxfId="3" priority="2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2:O4115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5C971-E250-4B3D-A00D-CE5CB033F57A}">
  <dimension ref="A1:F6"/>
  <sheetViews>
    <sheetView topLeftCell="A4" workbookViewId="0">
      <selection activeCell="E8" sqref="E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0.85546875" bestFit="1" customWidth="1"/>
    <col min="8" max="8" width="7.5703125" bestFit="1" customWidth="1"/>
    <col min="9" max="9" width="13.85546875" bestFit="1" customWidth="1"/>
    <col min="10" max="10" width="12" bestFit="1" customWidth="1"/>
    <col min="11" max="11" width="5.140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8362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2DD16-0DEE-4D3F-BC19-0BE41D181E86}">
  <dimension ref="A1:E7"/>
  <sheetViews>
    <sheetView workbookViewId="0">
      <selection activeCell="B13" sqref="B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11" t="s">
        <v>8222</v>
      </c>
      <c r="B1" t="s">
        <v>8364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8362</v>
      </c>
    </row>
    <row r="5" spans="1:5" x14ac:dyDescent="0.2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7724C-8599-4793-B497-195AD616F2EE}">
  <dimension ref="A1:F18"/>
  <sheetViews>
    <sheetView workbookViewId="0">
      <selection activeCell="E4" sqref="E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8362</v>
      </c>
    </row>
    <row r="5" spans="1:6" x14ac:dyDescent="0.2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6866A-B173-4B9F-8B1D-DD705CFE39F4}">
  <dimension ref="A1:F6"/>
  <sheetViews>
    <sheetView workbookViewId="0">
      <selection activeCell="B2" sqref="B2"/>
    </sheetView>
  </sheetViews>
  <sheetFormatPr defaultRowHeight="15" x14ac:dyDescent="0.25"/>
  <cols>
    <col min="1" max="1" width="34.5703125" bestFit="1" customWidth="1"/>
    <col min="2" max="2" width="137.42578125" bestFit="1" customWidth="1"/>
    <col min="3" max="3" width="19.85546875" customWidth="1"/>
    <col min="5" max="5" width="23.140625" style="8" customWidth="1"/>
    <col min="6" max="6" width="17" bestFit="1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s="8" t="s">
        <v>8383</v>
      </c>
      <c r="F1" t="s">
        <v>8384</v>
      </c>
    </row>
    <row r="2" spans="1:6" x14ac:dyDescent="0.25">
      <c r="A2" t="s">
        <v>3473</v>
      </c>
      <c r="B2" s="16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 3, FALSE)</f>
        <v>2000</v>
      </c>
      <c r="D2">
        <f>VLOOKUP(A2, Kickstarter!B:E, 4, FALSE)</f>
        <v>2020</v>
      </c>
      <c r="E2" s="8">
        <f>VLOOKUP(A2, Kickstarter!B:P, 15, FALSE)</f>
        <v>51.79</v>
      </c>
      <c r="F2">
        <f>VLOOKUP(A2,Kickstarter!B:L, 11, FALSE)</f>
        <v>39</v>
      </c>
    </row>
    <row r="3" spans="1:6" ht="25.5" x14ac:dyDescent="0.25">
      <c r="A3" t="s">
        <v>3616</v>
      </c>
      <c r="B3" s="16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 3, FALSE)</f>
        <v>2000</v>
      </c>
      <c r="D3">
        <f>VLOOKUP(A3, Kickstarter!B:E, 4, FALSE)</f>
        <v>2020</v>
      </c>
      <c r="E3" s="8">
        <f>VLOOKUP(A3, Kickstarter!B:P, 15, FALSE)</f>
        <v>36.07</v>
      </c>
      <c r="F3">
        <f>VLOOKUP(A3,Kickstarter!B:L, 11, FALSE)</f>
        <v>56</v>
      </c>
    </row>
    <row r="4" spans="1:6" x14ac:dyDescent="0.25">
      <c r="A4" t="s">
        <v>3178</v>
      </c>
      <c r="B4" s="16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Kickstarter!B:D, 3, FALSE)</f>
        <v>1500</v>
      </c>
      <c r="D4">
        <f>VLOOKUP(A4, Kickstarter!B:E, 4, FALSE)</f>
        <v>2576</v>
      </c>
      <c r="E4" s="8">
        <f>VLOOKUP(A4, Kickstarter!B:P, 15, FALSE)</f>
        <v>33.03</v>
      </c>
      <c r="F4">
        <f>VLOOKUP(A4,Kickstarter!B:L, 11, FALSE)</f>
        <v>78</v>
      </c>
    </row>
    <row r="5" spans="1:6" x14ac:dyDescent="0.25">
      <c r="A5" t="s">
        <v>3329</v>
      </c>
      <c r="B5" s="16" t="str">
        <f>VLOOKUP(A5, Kickstarter!B:C, 2, FALSE)</f>
        <v>Jestia and Raedon is a brand new romantic comedy play going to the Edinburgh Fringe Festival this summer.</v>
      </c>
      <c r="C5">
        <f>VLOOKUP(A5, Kickstarter!B:D, 3, FALSE)</f>
        <v>1000</v>
      </c>
      <c r="D5">
        <f>VLOOKUP(A5, Kickstarter!B:E, 4, FALSE)</f>
        <v>1168</v>
      </c>
      <c r="E5" s="8">
        <f>VLOOKUP(A5, Kickstarter!B:P, 15, FALSE)</f>
        <v>44.92</v>
      </c>
      <c r="F5">
        <f>VLOOKUP(A5,Kickstarter!B:L, 11, FALSE)</f>
        <v>26</v>
      </c>
    </row>
    <row r="6" spans="1:6" ht="25.5" x14ac:dyDescent="0.25">
      <c r="A6" t="s">
        <v>3221</v>
      </c>
      <c r="B6" s="1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 3, FALSE)</f>
        <v>4000</v>
      </c>
      <c r="D6">
        <f>VLOOKUP(A6, Kickstarter!B:E, 4, FALSE)</f>
        <v>4137</v>
      </c>
      <c r="E6" s="8">
        <f>VLOOKUP(A6, Kickstarter!B:P, 15, FALSE)</f>
        <v>36.61</v>
      </c>
      <c r="F6">
        <f>VLOOKUP(A6,Kickstarter!B:L,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A1DB2-2844-400E-B80D-ED53D3A9C647}">
  <dimension ref="A1:C15"/>
  <sheetViews>
    <sheetView tabSelected="1" zoomScale="120" zoomScaleNormal="120" workbookViewId="0">
      <selection activeCell="B1" sqref="B1"/>
    </sheetView>
  </sheetViews>
  <sheetFormatPr defaultRowHeight="15" x14ac:dyDescent="0.25"/>
  <cols>
    <col min="1" max="1" width="28.42578125" bestFit="1" customWidth="1"/>
    <col min="2" max="2" width="11.85546875" style="17" bestFit="1" customWidth="1"/>
    <col min="3" max="3" width="12" style="17" bestFit="1" customWidth="1"/>
  </cols>
  <sheetData>
    <row r="1" spans="1:3" x14ac:dyDescent="0.25">
      <c r="A1" s="17"/>
      <c r="B1" s="17" t="s">
        <v>8398</v>
      </c>
      <c r="C1" s="17" t="s">
        <v>8385</v>
      </c>
    </row>
    <row r="2" spans="1:3" x14ac:dyDescent="0.25">
      <c r="A2" s="17" t="s">
        <v>8386</v>
      </c>
      <c r="B2" s="17" t="e">
        <f>AVERAGE(#REF!)</f>
        <v>#REF!</v>
      </c>
      <c r="C2" s="17" t="e">
        <f>AVERAGE(#REF!)</f>
        <v>#REF!</v>
      </c>
    </row>
    <row r="3" spans="1:3" x14ac:dyDescent="0.25">
      <c r="A3" s="17" t="s">
        <v>8387</v>
      </c>
      <c r="B3" s="17" t="e">
        <f>MEDIAN(#REF!)</f>
        <v>#REF!</v>
      </c>
      <c r="C3" s="17" t="e">
        <f>MEDIAN(#REF!)</f>
        <v>#REF!</v>
      </c>
    </row>
    <row r="4" spans="1:3" x14ac:dyDescent="0.25">
      <c r="A4" s="17" t="s">
        <v>8397</v>
      </c>
      <c r="B4" s="17" t="e">
        <f>_xlfn.STDEV.P(#REF!)</f>
        <v>#REF!</v>
      </c>
      <c r="C4" s="17" t="e">
        <f>_xlfn.STDEV.P(#REF!)</f>
        <v>#REF!</v>
      </c>
    </row>
    <row r="5" spans="1:3" x14ac:dyDescent="0.25">
      <c r="A5" s="17" t="s">
        <v>8394</v>
      </c>
      <c r="B5" s="17" t="e">
        <f>_xlfn.QUARTILE.EXC(#REF!, 3)</f>
        <v>#REF!</v>
      </c>
      <c r="C5" s="17" t="e">
        <f>_xlfn.QUARTILE.EXC(#REF!, 3)</f>
        <v>#REF!</v>
      </c>
    </row>
    <row r="6" spans="1:3" x14ac:dyDescent="0.25">
      <c r="A6" s="17" t="s">
        <v>8395</v>
      </c>
      <c r="B6" s="17" t="e">
        <f>_xlfn.QUARTILE.EXC(#REF!, 1)</f>
        <v>#REF!</v>
      </c>
      <c r="C6" s="17" t="e">
        <f>_xlfn.QUARTILE.EXC(#REF!, 1)</f>
        <v>#REF!</v>
      </c>
    </row>
    <row r="7" spans="1:3" x14ac:dyDescent="0.25">
      <c r="A7" s="17" t="s">
        <v>8396</v>
      </c>
      <c r="B7" s="17" t="e">
        <f>B5-B6</f>
        <v>#REF!</v>
      </c>
      <c r="C7" s="17" t="e">
        <f>C5-C6</f>
        <v>#REF!</v>
      </c>
    </row>
    <row r="8" spans="1:3" x14ac:dyDescent="0.25">
      <c r="A8" s="17"/>
    </row>
    <row r="9" spans="1:3" x14ac:dyDescent="0.25">
      <c r="A9" s="17" t="s">
        <v>8388</v>
      </c>
      <c r="B9" s="17" t="e">
        <f>AVERAGE(#REF!)</f>
        <v>#REF!</v>
      </c>
      <c r="C9" s="17" t="e">
        <f>AVERAGE(#REF!)</f>
        <v>#REF!</v>
      </c>
    </row>
    <row r="10" spans="1:3" x14ac:dyDescent="0.25">
      <c r="A10" s="17" t="s">
        <v>8389</v>
      </c>
      <c r="B10" s="17" t="e">
        <f>MEDIAN(#REF!)</f>
        <v>#REF!</v>
      </c>
      <c r="C10" s="17" t="e">
        <f>MEDIAN(#REF!)</f>
        <v>#REF!</v>
      </c>
    </row>
    <row r="11" spans="1:3" x14ac:dyDescent="0.25">
      <c r="A11" s="17" t="s">
        <v>8393</v>
      </c>
      <c r="B11" s="17" t="e">
        <f>_xlfn.STDEV.P(#REF!)</f>
        <v>#REF!</v>
      </c>
      <c r="C11" s="17" t="e">
        <f>_xlfn.STDEV.P(#REF!)</f>
        <v>#REF!</v>
      </c>
    </row>
    <row r="12" spans="1:3" x14ac:dyDescent="0.25">
      <c r="A12" s="17" t="s">
        <v>8390</v>
      </c>
      <c r="B12" s="17" t="e">
        <f>_xlfn.QUARTILE.EXC(#REF!, 3)</f>
        <v>#REF!</v>
      </c>
      <c r="C12" s="17" t="e">
        <f>_xlfn.QUARTILE.EXC(#REF!, 3)</f>
        <v>#REF!</v>
      </c>
    </row>
    <row r="13" spans="1:3" x14ac:dyDescent="0.25">
      <c r="A13" s="17" t="s">
        <v>8391</v>
      </c>
      <c r="B13" s="17" t="e">
        <f>_xlfn.QUARTILE.EXC(#REF!, 1)</f>
        <v>#REF!</v>
      </c>
      <c r="C13" s="17" t="e">
        <f>_xlfn.QUARTILE.EXC(#REF!, 1)</f>
        <v>#REF!</v>
      </c>
    </row>
    <row r="14" spans="1:3" x14ac:dyDescent="0.25">
      <c r="A14" s="17" t="s">
        <v>8392</v>
      </c>
      <c r="B14" s="17" t="e">
        <f>B12-B13</f>
        <v>#REF!</v>
      </c>
      <c r="C14" s="17" t="e">
        <f>C12-C13</f>
        <v>#REF!</v>
      </c>
    </row>
    <row r="15" spans="1:3" x14ac:dyDescent="0.25">
      <c r="A15" s="1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Category Statitics</vt:lpstr>
      <vt:lpstr>Subcategory Statistics</vt:lpstr>
      <vt:lpstr>Outcomes Based on Launch Date</vt:lpstr>
      <vt:lpstr>Edinburg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Roderick Spells</cp:lastModifiedBy>
  <dcterms:created xsi:type="dcterms:W3CDTF">2017-04-20T15:17:24Z</dcterms:created>
  <dcterms:modified xsi:type="dcterms:W3CDTF">2021-05-03T01:48:07Z</dcterms:modified>
</cp:coreProperties>
</file>