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firstSheet="1" activeTab="2"/>
  </bookViews>
  <sheets>
    <sheet name="КУ для ХК.01 50 кГц" sheetId="13" r:id="rId1"/>
    <sheet name="КУ для 240 кГц " sheetId="15" r:id="rId2"/>
    <sheet name="Потенциометры" sheetId="18" r:id="rId3"/>
    <sheet name="50 кГЦ новый для ХК.01" sheetId="12" r:id="rId4"/>
    <sheet name="240 кГЦ " sheetId="14" r:id="rId5"/>
    <sheet name="200 новый" sheetId="11" r:id="rId6"/>
    <sheet name="Определение длительности" sheetId="4" r:id="rId7"/>
    <sheet name="200" sheetId="9" r:id="rId8"/>
    <sheet name="50" sheetId="10" r:id="rId9"/>
    <sheet name="КУ МГ" sheetId="16" r:id="rId10"/>
    <sheet name="КУ СГ" sheetId="17" r:id="rId11"/>
  </sheets>
  <calcPr calcId="125725"/>
</workbook>
</file>

<file path=xl/calcChain.xml><?xml version="1.0" encoding="utf-8"?>
<calcChain xmlns="http://schemas.openxmlformats.org/spreadsheetml/2006/main">
  <c r="B221" i="18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20"/>
  <c r="B166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14"/>
  <c r="B113"/>
  <c r="B112"/>
  <c r="B6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60"/>
  <c r="B59"/>
  <c r="B58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H11" i="15" l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10"/>
  <c r="AC5" i="14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4"/>
  <c r="W4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5"/>
  <c r="AB6"/>
  <c r="AB7"/>
  <c r="AB8"/>
  <c r="AB9"/>
  <c r="AB10"/>
  <c r="AB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R5"/>
  <c r="R6"/>
  <c r="R7"/>
  <c r="R8"/>
  <c r="R4"/>
  <c r="S4"/>
  <c r="U5" i="17"/>
  <c r="V5"/>
  <c r="W5" s="1"/>
  <c r="U6"/>
  <c r="V6"/>
  <c r="W6"/>
  <c r="U7"/>
  <c r="V7"/>
  <c r="W7" s="1"/>
  <c r="U8"/>
  <c r="V8"/>
  <c r="W8" s="1"/>
  <c r="U9"/>
  <c r="V9"/>
  <c r="W9" s="1"/>
  <c r="U10"/>
  <c r="V10"/>
  <c r="W10"/>
  <c r="U11"/>
  <c r="V11"/>
  <c r="W11" s="1"/>
  <c r="U12"/>
  <c r="V12"/>
  <c r="W12" s="1"/>
  <c r="U13"/>
  <c r="V13"/>
  <c r="W13" s="1"/>
  <c r="U14"/>
  <c r="V14"/>
  <c r="W14" s="1"/>
  <c r="U15"/>
  <c r="V15"/>
  <c r="W15" s="1"/>
  <c r="U16"/>
  <c r="V16"/>
  <c r="W16" s="1"/>
  <c r="U17"/>
  <c r="V17"/>
  <c r="W17" s="1"/>
  <c r="U18"/>
  <c r="V18"/>
  <c r="W18"/>
  <c r="U19"/>
  <c r="V19"/>
  <c r="W19" s="1"/>
  <c r="U20"/>
  <c r="V20"/>
  <c r="W20" s="1"/>
  <c r="U21"/>
  <c r="V21"/>
  <c r="W21" s="1"/>
  <c r="U22"/>
  <c r="V22"/>
  <c r="W22" s="1"/>
  <c r="U23"/>
  <c r="V23"/>
  <c r="W23" s="1"/>
  <c r="U24"/>
  <c r="V24"/>
  <c r="W24" s="1"/>
  <c r="U25"/>
  <c r="V25"/>
  <c r="W25" s="1"/>
  <c r="U26"/>
  <c r="V26"/>
  <c r="W26"/>
  <c r="U27"/>
  <c r="V27"/>
  <c r="W27" s="1"/>
  <c r="U28"/>
  <c r="V28"/>
  <c r="W28" s="1"/>
  <c r="U29"/>
  <c r="V29"/>
  <c r="W29" s="1"/>
  <c r="U30"/>
  <c r="V30"/>
  <c r="W30" s="1"/>
  <c r="U31"/>
  <c r="V31"/>
  <c r="W31" s="1"/>
  <c r="U32"/>
  <c r="V32"/>
  <c r="W32" s="1"/>
  <c r="U33"/>
  <c r="V33"/>
  <c r="W33" s="1"/>
  <c r="U34"/>
  <c r="V34"/>
  <c r="W34"/>
  <c r="U35"/>
  <c r="V35"/>
  <c r="W35" s="1"/>
  <c r="U36"/>
  <c r="V36"/>
  <c r="W36" s="1"/>
  <c r="U37"/>
  <c r="V37"/>
  <c r="W37" s="1"/>
  <c r="U38"/>
  <c r="V38"/>
  <c r="W38" s="1"/>
  <c r="U39"/>
  <c r="V39"/>
  <c r="W39" s="1"/>
  <c r="U40"/>
  <c r="V40"/>
  <c r="W40" s="1"/>
  <c r="U41"/>
  <c r="V41"/>
  <c r="W41" s="1"/>
  <c r="U42"/>
  <c r="V42"/>
  <c r="W42"/>
  <c r="U43"/>
  <c r="V43"/>
  <c r="W43" s="1"/>
  <c r="U44"/>
  <c r="V44"/>
  <c r="W44" s="1"/>
  <c r="U45"/>
  <c r="V45"/>
  <c r="W45" s="1"/>
  <c r="U46"/>
  <c r="V46"/>
  <c r="W46" s="1"/>
  <c r="U47"/>
  <c r="V47"/>
  <c r="W47" s="1"/>
  <c r="U48"/>
  <c r="V48"/>
  <c r="W48" s="1"/>
  <c r="U49"/>
  <c r="V49"/>
  <c r="W49" s="1"/>
  <c r="U50"/>
  <c r="V50"/>
  <c r="W50"/>
  <c r="U51"/>
  <c r="V51"/>
  <c r="W51" s="1"/>
  <c r="U52"/>
  <c r="V52"/>
  <c r="W52" s="1"/>
  <c r="U53"/>
  <c r="V53"/>
  <c r="W53" s="1"/>
  <c r="U54"/>
  <c r="V54"/>
  <c r="W54" s="1"/>
  <c r="U55"/>
  <c r="V55"/>
  <c r="W55" s="1"/>
  <c r="U56"/>
  <c r="V56"/>
  <c r="W56" s="1"/>
  <c r="U57"/>
  <c r="V57"/>
  <c r="W57" s="1"/>
  <c r="U58"/>
  <c r="V58"/>
  <c r="W58"/>
  <c r="U59"/>
  <c r="V59"/>
  <c r="W59" s="1"/>
  <c r="U60"/>
  <c r="V60"/>
  <c r="W60" s="1"/>
  <c r="U61"/>
  <c r="V61"/>
  <c r="W61" s="1"/>
  <c r="U62"/>
  <c r="V62"/>
  <c r="W62" s="1"/>
  <c r="U63"/>
  <c r="V63"/>
  <c r="W63" s="1"/>
  <c r="U64"/>
  <c r="V64"/>
  <c r="W64" s="1"/>
  <c r="U65"/>
  <c r="V65"/>
  <c r="W65" s="1"/>
  <c r="U66"/>
  <c r="V66"/>
  <c r="W66"/>
  <c r="U67"/>
  <c r="V67"/>
  <c r="W67" s="1"/>
  <c r="U68"/>
  <c r="V68"/>
  <c r="W68" s="1"/>
  <c r="U69"/>
  <c r="V69"/>
  <c r="W69" s="1"/>
  <c r="U70"/>
  <c r="V70"/>
  <c r="W70" s="1"/>
  <c r="U71"/>
  <c r="V71"/>
  <c r="W71" s="1"/>
  <c r="U72"/>
  <c r="V72"/>
  <c r="W72" s="1"/>
  <c r="U73"/>
  <c r="V73"/>
  <c r="W73" s="1"/>
  <c r="U74"/>
  <c r="V74"/>
  <c r="W74"/>
  <c r="U75"/>
  <c r="V75"/>
  <c r="W75" s="1"/>
  <c r="Q5"/>
  <c r="R5"/>
  <c r="S5" s="1"/>
  <c r="Q6"/>
  <c r="R6"/>
  <c r="S6" s="1"/>
  <c r="Q7"/>
  <c r="R7"/>
  <c r="Y7" s="1"/>
  <c r="Q8"/>
  <c r="R8"/>
  <c r="S8" s="1"/>
  <c r="Q9"/>
  <c r="R9"/>
  <c r="S9" s="1"/>
  <c r="Q10"/>
  <c r="R10"/>
  <c r="S10" s="1"/>
  <c r="Q11"/>
  <c r="R11"/>
  <c r="Y11" s="1"/>
  <c r="S11"/>
  <c r="Q12"/>
  <c r="R12"/>
  <c r="S12" s="1"/>
  <c r="Q13"/>
  <c r="R13"/>
  <c r="S13" s="1"/>
  <c r="Q14"/>
  <c r="R14"/>
  <c r="S14" s="1"/>
  <c r="Q15"/>
  <c r="R15"/>
  <c r="Y15" s="1"/>
  <c r="Q16"/>
  <c r="R16"/>
  <c r="S16" s="1"/>
  <c r="Q17"/>
  <c r="R17"/>
  <c r="S17" s="1"/>
  <c r="Q18"/>
  <c r="R18"/>
  <c r="S18" s="1"/>
  <c r="Q19"/>
  <c r="R19"/>
  <c r="Y19" s="1"/>
  <c r="S19"/>
  <c r="Q20"/>
  <c r="R20"/>
  <c r="S20" s="1"/>
  <c r="Q21"/>
  <c r="R21"/>
  <c r="S21" s="1"/>
  <c r="Q22"/>
  <c r="R22"/>
  <c r="S22" s="1"/>
  <c r="Q23"/>
  <c r="R23"/>
  <c r="Y23" s="1"/>
  <c r="Q24"/>
  <c r="R24"/>
  <c r="S24" s="1"/>
  <c r="Q25"/>
  <c r="R25"/>
  <c r="S25" s="1"/>
  <c r="Q26"/>
  <c r="R26"/>
  <c r="S26" s="1"/>
  <c r="Q27"/>
  <c r="R27"/>
  <c r="Y27" s="1"/>
  <c r="S27"/>
  <c r="Q28"/>
  <c r="R28"/>
  <c r="S28" s="1"/>
  <c r="Q29"/>
  <c r="R29"/>
  <c r="S29" s="1"/>
  <c r="Q30"/>
  <c r="R30"/>
  <c r="S30" s="1"/>
  <c r="Q31"/>
  <c r="R31"/>
  <c r="Y31" s="1"/>
  <c r="Q32"/>
  <c r="R32"/>
  <c r="S32" s="1"/>
  <c r="Q33"/>
  <c r="R33"/>
  <c r="S33" s="1"/>
  <c r="Q34"/>
  <c r="R34"/>
  <c r="S34" s="1"/>
  <c r="Q35"/>
  <c r="R35"/>
  <c r="Y35" s="1"/>
  <c r="S35"/>
  <c r="Q36"/>
  <c r="R36"/>
  <c r="S36" s="1"/>
  <c r="Q37"/>
  <c r="R37"/>
  <c r="S37" s="1"/>
  <c r="Q38"/>
  <c r="R38"/>
  <c r="S38" s="1"/>
  <c r="Q39"/>
  <c r="R39"/>
  <c r="Y39" s="1"/>
  <c r="Q40"/>
  <c r="R40"/>
  <c r="S40" s="1"/>
  <c r="Q41"/>
  <c r="R41"/>
  <c r="S41" s="1"/>
  <c r="Q42"/>
  <c r="R42"/>
  <c r="S42" s="1"/>
  <c r="Q43"/>
  <c r="R43"/>
  <c r="Y43" s="1"/>
  <c r="S43"/>
  <c r="Q44"/>
  <c r="R44"/>
  <c r="S44" s="1"/>
  <c r="Q45"/>
  <c r="R45"/>
  <c r="S45" s="1"/>
  <c r="Q46"/>
  <c r="R46"/>
  <c r="S46" s="1"/>
  <c r="Q47"/>
  <c r="R47"/>
  <c r="Y47" s="1"/>
  <c r="Q48"/>
  <c r="R48"/>
  <c r="S48" s="1"/>
  <c r="Q49"/>
  <c r="R49"/>
  <c r="S49" s="1"/>
  <c r="Q50"/>
  <c r="R50"/>
  <c r="S50" s="1"/>
  <c r="Q51"/>
  <c r="R51"/>
  <c r="Y51" s="1"/>
  <c r="S51"/>
  <c r="Q52"/>
  <c r="R52"/>
  <c r="S52" s="1"/>
  <c r="Q53"/>
  <c r="R53"/>
  <c r="S53" s="1"/>
  <c r="Q54"/>
  <c r="R54"/>
  <c r="S54" s="1"/>
  <c r="Q55"/>
  <c r="R55"/>
  <c r="Y55" s="1"/>
  <c r="Q56"/>
  <c r="R56"/>
  <c r="S56" s="1"/>
  <c r="Q57"/>
  <c r="R57"/>
  <c r="S57" s="1"/>
  <c r="Q58"/>
  <c r="R58"/>
  <c r="S58" s="1"/>
  <c r="Q59"/>
  <c r="R59"/>
  <c r="Y59" s="1"/>
  <c r="S59"/>
  <c r="Q60"/>
  <c r="R60"/>
  <c r="S60" s="1"/>
  <c r="Q61"/>
  <c r="R61"/>
  <c r="S61" s="1"/>
  <c r="Q62"/>
  <c r="R62"/>
  <c r="S62" s="1"/>
  <c r="Q63"/>
  <c r="R63"/>
  <c r="Y63" s="1"/>
  <c r="Q64"/>
  <c r="R64"/>
  <c r="S64" s="1"/>
  <c r="Q65"/>
  <c r="R65"/>
  <c r="S65" s="1"/>
  <c r="Q66"/>
  <c r="R66"/>
  <c r="S66" s="1"/>
  <c r="Q67"/>
  <c r="R67"/>
  <c r="Y67" s="1"/>
  <c r="S67"/>
  <c r="Q68"/>
  <c r="R68"/>
  <c r="S68" s="1"/>
  <c r="Q69"/>
  <c r="R69"/>
  <c r="S69" s="1"/>
  <c r="Q70"/>
  <c r="R70"/>
  <c r="S70" s="1"/>
  <c r="Q71"/>
  <c r="R71"/>
  <c r="Y71" s="1"/>
  <c r="Q72"/>
  <c r="R72"/>
  <c r="S72" s="1"/>
  <c r="Q73"/>
  <c r="R73"/>
  <c r="S73" s="1"/>
  <c r="Q74"/>
  <c r="R74"/>
  <c r="S74" s="1"/>
  <c r="Q75"/>
  <c r="R75"/>
  <c r="Y75" s="1"/>
  <c r="S75"/>
  <c r="W4"/>
  <c r="S4"/>
  <c r="V4"/>
  <c r="R4"/>
  <c r="Y4" s="1"/>
  <c r="U4"/>
  <c r="Q4"/>
  <c r="U3"/>
  <c r="Z11" i="15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4"/>
  <c r="Z74"/>
  <c r="Z82"/>
  <c r="Z84"/>
  <c r="Z88"/>
  <c r="Z10"/>
  <c r="M8" i="17"/>
  <c r="M9"/>
  <c r="M12"/>
  <c r="M13"/>
  <c r="M16"/>
  <c r="M17"/>
  <c r="M20"/>
  <c r="M21"/>
  <c r="M24"/>
  <c r="M25"/>
  <c r="M28"/>
  <c r="M29"/>
  <c r="M32"/>
  <c r="M33"/>
  <c r="M36"/>
  <c r="M37"/>
  <c r="M40"/>
  <c r="M41"/>
  <c r="M44"/>
  <c r="M45"/>
  <c r="M48"/>
  <c r="M49"/>
  <c r="M52"/>
  <c r="M53"/>
  <c r="M56"/>
  <c r="M57"/>
  <c r="M60"/>
  <c r="M61"/>
  <c r="M64"/>
  <c r="M65"/>
  <c r="M68"/>
  <c r="M69"/>
  <c r="M72"/>
  <c r="M73"/>
  <c r="L75"/>
  <c r="M75" s="1"/>
  <c r="L74"/>
  <c r="M74" s="1"/>
  <c r="L73"/>
  <c r="L72"/>
  <c r="L71"/>
  <c r="M71" s="1"/>
  <c r="L70"/>
  <c r="M70" s="1"/>
  <c r="L69"/>
  <c r="L68"/>
  <c r="L67"/>
  <c r="M67" s="1"/>
  <c r="L66"/>
  <c r="M66" s="1"/>
  <c r="L65"/>
  <c r="L64"/>
  <c r="L63"/>
  <c r="M63" s="1"/>
  <c r="L62"/>
  <c r="M62" s="1"/>
  <c r="L61"/>
  <c r="L60"/>
  <c r="L59"/>
  <c r="M59" s="1"/>
  <c r="L58"/>
  <c r="M58" s="1"/>
  <c r="L57"/>
  <c r="L56"/>
  <c r="L55"/>
  <c r="M55" s="1"/>
  <c r="L54"/>
  <c r="M54" s="1"/>
  <c r="L53"/>
  <c r="L52"/>
  <c r="L51"/>
  <c r="M51" s="1"/>
  <c r="L50"/>
  <c r="M50" s="1"/>
  <c r="L49"/>
  <c r="L48"/>
  <c r="L47"/>
  <c r="M47" s="1"/>
  <c r="L46"/>
  <c r="M46" s="1"/>
  <c r="L45"/>
  <c r="L44"/>
  <c r="L43"/>
  <c r="M43" s="1"/>
  <c r="L42"/>
  <c r="M42" s="1"/>
  <c r="L41"/>
  <c r="L40"/>
  <c r="L39"/>
  <c r="M39" s="1"/>
  <c r="L38"/>
  <c r="M38" s="1"/>
  <c r="L37"/>
  <c r="L36"/>
  <c r="L35"/>
  <c r="M35" s="1"/>
  <c r="L34"/>
  <c r="M34" s="1"/>
  <c r="L33"/>
  <c r="L32"/>
  <c r="L31"/>
  <c r="M31" s="1"/>
  <c r="L30"/>
  <c r="M30" s="1"/>
  <c r="L29"/>
  <c r="L28"/>
  <c r="L27"/>
  <c r="M27" s="1"/>
  <c r="L26"/>
  <c r="M26" s="1"/>
  <c r="L25"/>
  <c r="L24"/>
  <c r="L23"/>
  <c r="M23" s="1"/>
  <c r="L22"/>
  <c r="M22" s="1"/>
  <c r="L21"/>
  <c r="L20"/>
  <c r="L19"/>
  <c r="M19" s="1"/>
  <c r="L18"/>
  <c r="M18" s="1"/>
  <c r="L17"/>
  <c r="L16"/>
  <c r="L15"/>
  <c r="M15" s="1"/>
  <c r="L14"/>
  <c r="M14" s="1"/>
  <c r="L13"/>
  <c r="L12"/>
  <c r="L11"/>
  <c r="M11" s="1"/>
  <c r="L10"/>
  <c r="M10" s="1"/>
  <c r="L9"/>
  <c r="L8"/>
  <c r="L7"/>
  <c r="M7" s="1"/>
  <c r="L6"/>
  <c r="M6" s="1"/>
  <c r="M5"/>
  <c r="L5"/>
  <c r="M4"/>
  <c r="L4"/>
  <c r="AE95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M94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K94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I94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G94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E94"/>
  <c r="D35" i="16"/>
  <c r="H35"/>
  <c r="L35"/>
  <c r="M35"/>
  <c r="L34"/>
  <c r="M34" s="1"/>
  <c r="L36"/>
  <c r="L37"/>
  <c r="M37" s="1"/>
  <c r="L38"/>
  <c r="M38" s="1"/>
  <c r="M36"/>
  <c r="D36"/>
  <c r="H3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4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S40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Y39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W39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U39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S39"/>
  <c r="Q39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BO7" i="1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6"/>
  <c r="BK66"/>
  <c r="BL66" s="1"/>
  <c r="BK67"/>
  <c r="BL67" s="1"/>
  <c r="BK68"/>
  <c r="BL68" s="1"/>
  <c r="BK69"/>
  <c r="BL69" s="1"/>
  <c r="BK70"/>
  <c r="BL70" s="1"/>
  <c r="BK71"/>
  <c r="BL71" s="1"/>
  <c r="BK72"/>
  <c r="BL72" s="1"/>
  <c r="BK73"/>
  <c r="BK74"/>
  <c r="BL74" s="1"/>
  <c r="BK75"/>
  <c r="BL75" s="1"/>
  <c r="BK76"/>
  <c r="BL76" s="1"/>
  <c r="BK77"/>
  <c r="BL77" s="1"/>
  <c r="BK43"/>
  <c r="BL43" s="1"/>
  <c r="BK44"/>
  <c r="BL44" s="1"/>
  <c r="BK45"/>
  <c r="BR45" s="1"/>
  <c r="BK46"/>
  <c r="BL46" s="1"/>
  <c r="BK47"/>
  <c r="BL47" s="1"/>
  <c r="BK48"/>
  <c r="BL48" s="1"/>
  <c r="BK49"/>
  <c r="BR49" s="1"/>
  <c r="BK50"/>
  <c r="BR50" s="1"/>
  <c r="BK51"/>
  <c r="BL51" s="1"/>
  <c r="BK52"/>
  <c r="BL52" s="1"/>
  <c r="BK53"/>
  <c r="BR53" s="1"/>
  <c r="BK54"/>
  <c r="BR54" s="1"/>
  <c r="BK55"/>
  <c r="BL55" s="1"/>
  <c r="BK56"/>
  <c r="BL56" s="1"/>
  <c r="BK57"/>
  <c r="BR57" s="1"/>
  <c r="BK58"/>
  <c r="BK59"/>
  <c r="BL59" s="1"/>
  <c r="BK60"/>
  <c r="BL60" s="1"/>
  <c r="BK61"/>
  <c r="BR61" s="1"/>
  <c r="BK62"/>
  <c r="BK63"/>
  <c r="BL63" s="1"/>
  <c r="BK64"/>
  <c r="BL64" s="1"/>
  <c r="BK65"/>
  <c r="BR65" s="1"/>
  <c r="BK7"/>
  <c r="BL7" s="1"/>
  <c r="BK8"/>
  <c r="BL8" s="1"/>
  <c r="BK9"/>
  <c r="BL9" s="1"/>
  <c r="BK10"/>
  <c r="BR10" s="1"/>
  <c r="BK11"/>
  <c r="BL11" s="1"/>
  <c r="BK12"/>
  <c r="BL12" s="1"/>
  <c r="BK13"/>
  <c r="BL13" s="1"/>
  <c r="BK14"/>
  <c r="BL14" s="1"/>
  <c r="BK15"/>
  <c r="BL15" s="1"/>
  <c r="BK16"/>
  <c r="BL16" s="1"/>
  <c r="BK17"/>
  <c r="BL17" s="1"/>
  <c r="BK18"/>
  <c r="BR18" s="1"/>
  <c r="BK19"/>
  <c r="BL19" s="1"/>
  <c r="BK20"/>
  <c r="BL20" s="1"/>
  <c r="BK21"/>
  <c r="BL21" s="1"/>
  <c r="BK22"/>
  <c r="BL22" s="1"/>
  <c r="BK23"/>
  <c r="BL23" s="1"/>
  <c r="BK24"/>
  <c r="BL24" s="1"/>
  <c r="BK25"/>
  <c r="BL25" s="1"/>
  <c r="BK26"/>
  <c r="BR26" s="1"/>
  <c r="BK27"/>
  <c r="BL27" s="1"/>
  <c r="BK28"/>
  <c r="BL28" s="1"/>
  <c r="BK29"/>
  <c r="BL29" s="1"/>
  <c r="BK30"/>
  <c r="BL30" s="1"/>
  <c r="BK31"/>
  <c r="BL31" s="1"/>
  <c r="BK32"/>
  <c r="BL32" s="1"/>
  <c r="BK33"/>
  <c r="BL33" s="1"/>
  <c r="BK34"/>
  <c r="BR34" s="1"/>
  <c r="BK35"/>
  <c r="BL35" s="1"/>
  <c r="BK36"/>
  <c r="BL36" s="1"/>
  <c r="BK37"/>
  <c r="BL37" s="1"/>
  <c r="BK38"/>
  <c r="BL38" s="1"/>
  <c r="BK39"/>
  <c r="BL39" s="1"/>
  <c r="BK40"/>
  <c r="BL40" s="1"/>
  <c r="BK41"/>
  <c r="BL41" s="1"/>
  <c r="BK42"/>
  <c r="BR42" s="1"/>
  <c r="BK6"/>
  <c r="BR6" s="1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6"/>
  <c r="BL26"/>
  <c r="BL62"/>
  <c r="BL73"/>
  <c r="X13" i="15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Z53" s="1"/>
  <c r="X54"/>
  <c r="X55"/>
  <c r="Z55" s="1"/>
  <c r="X56"/>
  <c r="Z56" s="1"/>
  <c r="X57"/>
  <c r="Z57" s="1"/>
  <c r="X58"/>
  <c r="Z58" s="1"/>
  <c r="X59"/>
  <c r="Z59" s="1"/>
  <c r="X60"/>
  <c r="Z60" s="1"/>
  <c r="X61"/>
  <c r="Z61" s="1"/>
  <c r="X62"/>
  <c r="Z62" s="1"/>
  <c r="X63"/>
  <c r="Z63" s="1"/>
  <c r="X64"/>
  <c r="Z64" s="1"/>
  <c r="X65"/>
  <c r="Z65" s="1"/>
  <c r="X66"/>
  <c r="Z66" s="1"/>
  <c r="X67"/>
  <c r="Z67" s="1"/>
  <c r="X68"/>
  <c r="Z68" s="1"/>
  <c r="X69"/>
  <c r="Z69" s="1"/>
  <c r="X70"/>
  <c r="Z70" s="1"/>
  <c r="X71"/>
  <c r="Z71" s="1"/>
  <c r="X72"/>
  <c r="Z72" s="1"/>
  <c r="X73"/>
  <c r="Z73" s="1"/>
  <c r="X74"/>
  <c r="X75"/>
  <c r="Z75" s="1"/>
  <c r="X76"/>
  <c r="Z76" s="1"/>
  <c r="X77"/>
  <c r="Z77" s="1"/>
  <c r="X78"/>
  <c r="Z78" s="1"/>
  <c r="X79"/>
  <c r="Z79" s="1"/>
  <c r="X80"/>
  <c r="Z80" s="1"/>
  <c r="X81"/>
  <c r="Z81" s="1"/>
  <c r="X82"/>
  <c r="X83"/>
  <c r="Z83" s="1"/>
  <c r="X84"/>
  <c r="X85"/>
  <c r="Z85" s="1"/>
  <c r="X86"/>
  <c r="Z86" s="1"/>
  <c r="X87"/>
  <c r="Z87" s="1"/>
  <c r="X88"/>
  <c r="X89"/>
  <c r="Z89" s="1"/>
  <c r="X90"/>
  <c r="Z90" s="1"/>
  <c r="X91"/>
  <c r="Z91" s="1"/>
  <c r="X92"/>
  <c r="Z92" s="1"/>
  <c r="X93"/>
  <c r="Z93" s="1"/>
  <c r="X94"/>
  <c r="Z94" s="1"/>
  <c r="X95"/>
  <c r="Z95" s="1"/>
  <c r="X12"/>
  <c r="X11"/>
  <c r="X10"/>
  <c r="AW44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U44"/>
  <c r="AU45" s="1"/>
  <c r="AU46" s="1"/>
  <c r="AU47" s="1"/>
  <c r="AU48" s="1"/>
  <c r="AU49" s="1"/>
  <c r="AU50" s="1"/>
  <c r="AU51" s="1"/>
  <c r="AU52" s="1"/>
  <c r="AU53" s="1"/>
  <c r="AU54" s="1"/>
  <c r="AU55" s="1"/>
  <c r="AU56" s="1"/>
  <c r="AU57" s="1"/>
  <c r="AU58" s="1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AU90" s="1"/>
  <c r="AU91" s="1"/>
  <c r="AU92" s="1"/>
  <c r="AU93" s="1"/>
  <c r="AU94" s="1"/>
  <c r="AU95" s="1"/>
  <c r="AU96" s="1"/>
  <c r="AS44"/>
  <c r="AS45" s="1"/>
  <c r="AS46" s="1"/>
  <c r="AS47" s="1"/>
  <c r="AS48" s="1"/>
  <c r="AS49" s="1"/>
  <c r="AS50" s="1"/>
  <c r="AS51" s="1"/>
  <c r="AS52" s="1"/>
  <c r="AS53" s="1"/>
  <c r="AS54" s="1"/>
  <c r="AS55" s="1"/>
  <c r="AS56" s="1"/>
  <c r="AS57" s="1"/>
  <c r="AS58" s="1"/>
  <c r="AS59" s="1"/>
  <c r="AS60" s="1"/>
  <c r="AS61" s="1"/>
  <c r="AS62" s="1"/>
  <c r="AS63" s="1"/>
  <c r="AS64" s="1"/>
  <c r="AS65" s="1"/>
  <c r="AS66" s="1"/>
  <c r="AS67" s="1"/>
  <c r="AS68" s="1"/>
  <c r="AS69" s="1"/>
  <c r="AS70" s="1"/>
  <c r="AS71" s="1"/>
  <c r="AS72" s="1"/>
  <c r="AS73" s="1"/>
  <c r="AS74" s="1"/>
  <c r="AS75" s="1"/>
  <c r="AS76" s="1"/>
  <c r="AS77" s="1"/>
  <c r="AS78" s="1"/>
  <c r="AS79" s="1"/>
  <c r="AS80" s="1"/>
  <c r="AS81" s="1"/>
  <c r="AS82" s="1"/>
  <c r="AS83" s="1"/>
  <c r="AS84" s="1"/>
  <c r="AS85" s="1"/>
  <c r="AS86" s="1"/>
  <c r="AS87" s="1"/>
  <c r="AS88" s="1"/>
  <c r="AS89" s="1"/>
  <c r="AS90" s="1"/>
  <c r="AS91" s="1"/>
  <c r="AS92" s="1"/>
  <c r="AS93" s="1"/>
  <c r="AS94" s="1"/>
  <c r="AS95" s="1"/>
  <c r="AS96" s="1"/>
  <c r="AQ44"/>
  <c r="AQ45" s="1"/>
  <c r="AQ46" s="1"/>
  <c r="AQ47" s="1"/>
  <c r="AQ48" s="1"/>
  <c r="AQ49" s="1"/>
  <c r="AQ50" s="1"/>
  <c r="AQ51" s="1"/>
  <c r="AQ52" s="1"/>
  <c r="AQ53" s="1"/>
  <c r="AQ54" s="1"/>
  <c r="AQ55" s="1"/>
  <c r="AQ56" s="1"/>
  <c r="AQ57" s="1"/>
  <c r="AQ58" s="1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O44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R7"/>
  <c r="BJ7" i="17"/>
  <c r="BJ8" s="1"/>
  <c r="BJ9" s="1"/>
  <c r="BJ10" s="1"/>
  <c r="BN5"/>
  <c r="H75"/>
  <c r="D75"/>
  <c r="H74"/>
  <c r="D74"/>
  <c r="H73"/>
  <c r="D73"/>
  <c r="H72"/>
  <c r="D72"/>
  <c r="H71"/>
  <c r="D71"/>
  <c r="H70"/>
  <c r="D70"/>
  <c r="H69"/>
  <c r="D69"/>
  <c r="H68"/>
  <c r="D68"/>
  <c r="H67"/>
  <c r="D67"/>
  <c r="H66"/>
  <c r="D66"/>
  <c r="H65"/>
  <c r="D65"/>
  <c r="J64"/>
  <c r="H64"/>
  <c r="D64"/>
  <c r="H63"/>
  <c r="D63"/>
  <c r="H62"/>
  <c r="D62"/>
  <c r="H61"/>
  <c r="D61"/>
  <c r="H60"/>
  <c r="D60"/>
  <c r="J60" s="1"/>
  <c r="H59"/>
  <c r="D59"/>
  <c r="H58"/>
  <c r="D58"/>
  <c r="H57"/>
  <c r="D57"/>
  <c r="H56"/>
  <c r="D56"/>
  <c r="H55"/>
  <c r="D55"/>
  <c r="H54"/>
  <c r="D54"/>
  <c r="H53"/>
  <c r="D53"/>
  <c r="H52"/>
  <c r="D52"/>
  <c r="H51"/>
  <c r="D51"/>
  <c r="H50"/>
  <c r="D50"/>
  <c r="H49"/>
  <c r="D49"/>
  <c r="H48"/>
  <c r="J48" s="1"/>
  <c r="D48"/>
  <c r="H47"/>
  <c r="D47"/>
  <c r="H46"/>
  <c r="D46"/>
  <c r="H45"/>
  <c r="D45"/>
  <c r="H44"/>
  <c r="J44" s="1"/>
  <c r="D44"/>
  <c r="H43"/>
  <c r="D43"/>
  <c r="H42"/>
  <c r="D42"/>
  <c r="H41"/>
  <c r="D41"/>
  <c r="H40"/>
  <c r="D40"/>
  <c r="H39"/>
  <c r="D39"/>
  <c r="H38"/>
  <c r="D38"/>
  <c r="H37"/>
  <c r="D37"/>
  <c r="H36"/>
  <c r="D36"/>
  <c r="H35"/>
  <c r="D35"/>
  <c r="H34"/>
  <c r="D34"/>
  <c r="H33"/>
  <c r="D33"/>
  <c r="J33" s="1"/>
  <c r="H32"/>
  <c r="D32"/>
  <c r="H31"/>
  <c r="D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H15"/>
  <c r="D15"/>
  <c r="J15" s="1"/>
  <c r="H14"/>
  <c r="D14"/>
  <c r="H13"/>
  <c r="D13"/>
  <c r="J13" s="1"/>
  <c r="J12"/>
  <c r="H12"/>
  <c r="D12"/>
  <c r="H11"/>
  <c r="D11"/>
  <c r="H10"/>
  <c r="D10"/>
  <c r="J10" s="1"/>
  <c r="H9"/>
  <c r="D9"/>
  <c r="H8"/>
  <c r="D8"/>
  <c r="J8" s="1"/>
  <c r="H7"/>
  <c r="D7"/>
  <c r="H6"/>
  <c r="D6"/>
  <c r="H5"/>
  <c r="D5"/>
  <c r="B5"/>
  <c r="F5" s="1"/>
  <c r="H4"/>
  <c r="F4"/>
  <c r="D4"/>
  <c r="J4" s="1"/>
  <c r="F3"/>
  <c r="J5" i="16"/>
  <c r="J6"/>
  <c r="J7"/>
  <c r="J8"/>
  <c r="J9"/>
  <c r="J10"/>
  <c r="J11"/>
  <c r="J12"/>
  <c r="J13"/>
  <c r="J14"/>
  <c r="J16"/>
  <c r="J17"/>
  <c r="J18"/>
  <c r="J19"/>
  <c r="J21"/>
  <c r="J22"/>
  <c r="J23"/>
  <c r="J24"/>
  <c r="J25"/>
  <c r="J26"/>
  <c r="J27"/>
  <c r="J42"/>
  <c r="J43"/>
  <c r="J47"/>
  <c r="J48"/>
  <c r="J49"/>
  <c r="J51"/>
  <c r="J52"/>
  <c r="J53"/>
  <c r="J54"/>
  <c r="J55"/>
  <c r="J56"/>
  <c r="J57"/>
  <c r="J58"/>
  <c r="J59"/>
  <c r="J60"/>
  <c r="J61"/>
  <c r="J62"/>
  <c r="J66"/>
  <c r="J69"/>
  <c r="J76"/>
  <c r="J77"/>
  <c r="J78"/>
  <c r="J79"/>
  <c r="J80"/>
  <c r="J81"/>
  <c r="J82"/>
  <c r="J83"/>
  <c r="J84"/>
  <c r="J85"/>
  <c r="J86"/>
  <c r="J87"/>
  <c r="J88"/>
  <c r="J4"/>
  <c r="H5"/>
  <c r="H6"/>
  <c r="H7"/>
  <c r="H8"/>
  <c r="H9"/>
  <c r="H10"/>
  <c r="H11"/>
  <c r="H12"/>
  <c r="H13"/>
  <c r="H14"/>
  <c r="H15"/>
  <c r="H16"/>
  <c r="H17"/>
  <c r="H18"/>
  <c r="H19"/>
  <c r="H20"/>
  <c r="J20" s="1"/>
  <c r="H21"/>
  <c r="H22"/>
  <c r="H23"/>
  <c r="H24"/>
  <c r="H25"/>
  <c r="H26"/>
  <c r="H27"/>
  <c r="H28"/>
  <c r="J28" s="1"/>
  <c r="H29"/>
  <c r="J29" s="1"/>
  <c r="H30"/>
  <c r="J30" s="1"/>
  <c r="H31"/>
  <c r="J31" s="1"/>
  <c r="H32"/>
  <c r="H33"/>
  <c r="J33" s="1"/>
  <c r="H34"/>
  <c r="H37"/>
  <c r="H38"/>
  <c r="H39"/>
  <c r="H40"/>
  <c r="H41"/>
  <c r="H42"/>
  <c r="H43"/>
  <c r="H44"/>
  <c r="H45"/>
  <c r="H46"/>
  <c r="J46" s="1"/>
  <c r="H47"/>
  <c r="H48"/>
  <c r="H49"/>
  <c r="H50"/>
  <c r="H51"/>
  <c r="H52"/>
  <c r="H53"/>
  <c r="H54"/>
  <c r="H55"/>
  <c r="H56"/>
  <c r="H57"/>
  <c r="H58"/>
  <c r="H59"/>
  <c r="H60"/>
  <c r="H61"/>
  <c r="H62"/>
  <c r="H63"/>
  <c r="J63" s="1"/>
  <c r="H64"/>
  <c r="J64" s="1"/>
  <c r="H65"/>
  <c r="J65" s="1"/>
  <c r="H66"/>
  <c r="H67"/>
  <c r="J67" s="1"/>
  <c r="H68"/>
  <c r="J68" s="1"/>
  <c r="H69"/>
  <c r="H70"/>
  <c r="H71"/>
  <c r="H72"/>
  <c r="H73"/>
  <c r="H74"/>
  <c r="H75"/>
  <c r="J75" s="1"/>
  <c r="H76"/>
  <c r="H77"/>
  <c r="H78"/>
  <c r="H79"/>
  <c r="H80"/>
  <c r="H81"/>
  <c r="H82"/>
  <c r="H83"/>
  <c r="H84"/>
  <c r="H85"/>
  <c r="H86"/>
  <c r="H87"/>
  <c r="H88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4"/>
  <c r="F3"/>
  <c r="D5"/>
  <c r="D6"/>
  <c r="D7"/>
  <c r="D8"/>
  <c r="D9"/>
  <c r="D10"/>
  <c r="D11"/>
  <c r="D12"/>
  <c r="D13"/>
  <c r="D14"/>
  <c r="D15"/>
  <c r="J15" s="1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7"/>
  <c r="D38"/>
  <c r="D39"/>
  <c r="D40"/>
  <c r="D41"/>
  <c r="D42"/>
  <c r="D43"/>
  <c r="D44"/>
  <c r="J44" s="1"/>
  <c r="D45"/>
  <c r="J45" s="1"/>
  <c r="D46"/>
  <c r="D47"/>
  <c r="D48"/>
  <c r="D49"/>
  <c r="D50"/>
  <c r="J50" s="1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70" s="1"/>
  <c r="D71"/>
  <c r="J71" s="1"/>
  <c r="D72"/>
  <c r="D73"/>
  <c r="D74"/>
  <c r="D75"/>
  <c r="D76"/>
  <c r="D77"/>
  <c r="D78"/>
  <c r="D79"/>
  <c r="D80"/>
  <c r="D81"/>
  <c r="D82"/>
  <c r="D83"/>
  <c r="D84"/>
  <c r="D85"/>
  <c r="D86"/>
  <c r="D87"/>
  <c r="D88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5"/>
  <c r="D4"/>
  <c r="F4" i="15"/>
  <c r="K4"/>
  <c r="O158" i="14"/>
  <c r="O157"/>
  <c r="AE95"/>
  <c r="AE96"/>
  <c r="AE97"/>
  <c r="AE98"/>
  <c r="AE90"/>
  <c r="AE91"/>
  <c r="AE92"/>
  <c r="AE93"/>
  <c r="AE94" s="1"/>
  <c r="O156"/>
  <c r="O155"/>
  <c r="O154"/>
  <c r="O153"/>
  <c r="O152"/>
  <c r="O151"/>
  <c r="O150"/>
  <c r="O149"/>
  <c r="O145"/>
  <c r="O146" s="1"/>
  <c r="O147" s="1"/>
  <c r="O148" s="1"/>
  <c r="O137"/>
  <c r="O138"/>
  <c r="O139" s="1"/>
  <c r="O140" s="1"/>
  <c r="O141" s="1"/>
  <c r="O142" s="1"/>
  <c r="O143" s="1"/>
  <c r="O144" s="1"/>
  <c r="O136"/>
  <c r="O135"/>
  <c r="O133"/>
  <c r="O134" s="1"/>
  <c r="O132"/>
  <c r="O126"/>
  <c r="O127"/>
  <c r="O128" s="1"/>
  <c r="O129" s="1"/>
  <c r="O130" s="1"/>
  <c r="O131" s="1"/>
  <c r="O121"/>
  <c r="O122"/>
  <c r="O123" s="1"/>
  <c r="O124" s="1"/>
  <c r="O125" s="1"/>
  <c r="O116"/>
  <c r="O117"/>
  <c r="O118" s="1"/>
  <c r="O119" s="1"/>
  <c r="O120" s="1"/>
  <c r="O104"/>
  <c r="O105"/>
  <c r="O106" s="1"/>
  <c r="O107" s="1"/>
  <c r="O108" s="1"/>
  <c r="O109" s="1"/>
  <c r="O110" s="1"/>
  <c r="O111" s="1"/>
  <c r="O112" s="1"/>
  <c r="O113" s="1"/>
  <c r="O114" s="1"/>
  <c r="O115" s="1"/>
  <c r="O98"/>
  <c r="O99"/>
  <c r="O100" s="1"/>
  <c r="O101" s="1"/>
  <c r="O102" s="1"/>
  <c r="O103" s="1"/>
  <c r="O94"/>
  <c r="O95"/>
  <c r="O96" s="1"/>
  <c r="O97" s="1"/>
  <c r="O89"/>
  <c r="O90" s="1"/>
  <c r="O91" s="1"/>
  <c r="O92" s="1"/>
  <c r="O93" s="1"/>
  <c r="K10" i="15"/>
  <c r="D10"/>
  <c r="J95"/>
  <c r="J94"/>
  <c r="C94"/>
  <c r="J93"/>
  <c r="C93"/>
  <c r="J92"/>
  <c r="C92"/>
  <c r="J91"/>
  <c r="C91"/>
  <c r="J90"/>
  <c r="C90"/>
  <c r="J89"/>
  <c r="C89"/>
  <c r="J88"/>
  <c r="C88"/>
  <c r="J87"/>
  <c r="C87"/>
  <c r="J86"/>
  <c r="C86"/>
  <c r="J85"/>
  <c r="C85"/>
  <c r="J84"/>
  <c r="C84"/>
  <c r="J83"/>
  <c r="C83"/>
  <c r="J82"/>
  <c r="C82"/>
  <c r="J81"/>
  <c r="C81"/>
  <c r="J80"/>
  <c r="C80"/>
  <c r="J79"/>
  <c r="C79"/>
  <c r="J78"/>
  <c r="C78"/>
  <c r="J77"/>
  <c r="C77"/>
  <c r="J76"/>
  <c r="C76"/>
  <c r="J75"/>
  <c r="C75"/>
  <c r="J74"/>
  <c r="C74"/>
  <c r="J73"/>
  <c r="C73"/>
  <c r="J72"/>
  <c r="C72"/>
  <c r="J71"/>
  <c r="C71"/>
  <c r="J70"/>
  <c r="C70"/>
  <c r="J69"/>
  <c r="C69"/>
  <c r="J68"/>
  <c r="C68"/>
  <c r="J67"/>
  <c r="C67"/>
  <c r="J66"/>
  <c r="C66"/>
  <c r="J65"/>
  <c r="C65"/>
  <c r="J64"/>
  <c r="C64"/>
  <c r="J63"/>
  <c r="C63"/>
  <c r="J62"/>
  <c r="C62"/>
  <c r="J61"/>
  <c r="C61"/>
  <c r="J60"/>
  <c r="C60"/>
  <c r="J59"/>
  <c r="C59"/>
  <c r="J58"/>
  <c r="C58"/>
  <c r="J57"/>
  <c r="C57"/>
  <c r="J56"/>
  <c r="C56"/>
  <c r="J55"/>
  <c r="C55"/>
  <c r="J54"/>
  <c r="C54"/>
  <c r="J53"/>
  <c r="C53"/>
  <c r="J52"/>
  <c r="C52"/>
  <c r="J51"/>
  <c r="C51"/>
  <c r="J50"/>
  <c r="C50"/>
  <c r="J49"/>
  <c r="C49"/>
  <c r="J48"/>
  <c r="C48"/>
  <c r="J47"/>
  <c r="C47"/>
  <c r="J46"/>
  <c r="C46"/>
  <c r="J45"/>
  <c r="C45"/>
  <c r="J44"/>
  <c r="C44"/>
  <c r="J43"/>
  <c r="C43"/>
  <c r="J42"/>
  <c r="C42"/>
  <c r="J41"/>
  <c r="C41"/>
  <c r="J40"/>
  <c r="C40"/>
  <c r="J39"/>
  <c r="C39"/>
  <c r="J38"/>
  <c r="C38"/>
  <c r="J37"/>
  <c r="C37"/>
  <c r="J36"/>
  <c r="C36"/>
  <c r="J35"/>
  <c r="C35"/>
  <c r="J34"/>
  <c r="C34"/>
  <c r="J33"/>
  <c r="C33"/>
  <c r="J32"/>
  <c r="C32"/>
  <c r="J31"/>
  <c r="C31"/>
  <c r="J30"/>
  <c r="C30"/>
  <c r="J29"/>
  <c r="C29"/>
  <c r="J28"/>
  <c r="C28"/>
  <c r="J27"/>
  <c r="C27"/>
  <c r="J26"/>
  <c r="C26"/>
  <c r="J25"/>
  <c r="C25"/>
  <c r="J24"/>
  <c r="C24"/>
  <c r="J23"/>
  <c r="C23"/>
  <c r="J22"/>
  <c r="C22"/>
  <c r="J21"/>
  <c r="C21"/>
  <c r="J20"/>
  <c r="C20"/>
  <c r="J19"/>
  <c r="C19"/>
  <c r="J18"/>
  <c r="C18"/>
  <c r="J17"/>
  <c r="C17"/>
  <c r="J16"/>
  <c r="C16"/>
  <c r="J15"/>
  <c r="C15"/>
  <c r="J14"/>
  <c r="C14"/>
  <c r="J13"/>
  <c r="C13"/>
  <c r="J12"/>
  <c r="C12"/>
  <c r="J11"/>
  <c r="C11"/>
  <c r="J10"/>
  <c r="C10"/>
  <c r="C9"/>
  <c r="J9" s="1"/>
  <c r="K7"/>
  <c r="J7"/>
  <c r="K6"/>
  <c r="J6"/>
  <c r="K5"/>
  <c r="J5"/>
  <c r="N4"/>
  <c r="L4"/>
  <c r="J4"/>
  <c r="D4"/>
  <c r="M3"/>
  <c r="F3"/>
  <c r="J47" i="14"/>
  <c r="J46"/>
  <c r="M4" i="15" s="1"/>
  <c r="J45" i="14"/>
  <c r="P5" s="1"/>
  <c r="D11" i="15" s="1"/>
  <c r="AE42" i="14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L41"/>
  <c r="J41"/>
  <c r="J39"/>
  <c r="J38"/>
  <c r="J40" s="1"/>
  <c r="D35"/>
  <c r="J32"/>
  <c r="J36" s="1"/>
  <c r="J28"/>
  <c r="J27"/>
  <c r="J31" s="1"/>
  <c r="J35" s="1"/>
  <c r="J26"/>
  <c r="J30" s="1"/>
  <c r="J34" s="1"/>
  <c r="J24"/>
  <c r="J23"/>
  <c r="AE22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J22"/>
  <c r="J20"/>
  <c r="AE19"/>
  <c r="AE20" s="1"/>
  <c r="AE21" s="1"/>
  <c r="J19"/>
  <c r="J18"/>
  <c r="D16"/>
  <c r="D14"/>
  <c r="J13"/>
  <c r="J14" s="1"/>
  <c r="D9"/>
  <c r="Q8"/>
  <c r="J7"/>
  <c r="J6"/>
  <c r="D6"/>
  <c r="J5" s="1"/>
  <c r="AY5"/>
  <c r="BA5" s="1"/>
  <c r="BD5" s="1"/>
  <c r="AW5"/>
  <c r="AZ5" s="1"/>
  <c r="AV5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AZ4"/>
  <c r="BA4" s="1"/>
  <c r="AY4"/>
  <c r="AI4"/>
  <c r="AH4"/>
  <c r="T4"/>
  <c r="AE3"/>
  <c r="AE5" i="12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V5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L41"/>
  <c r="T11" i="1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AU58" i="12"/>
  <c r="AU59" s="1"/>
  <c r="AU60" s="1"/>
  <c r="AU61" s="1"/>
  <c r="AU62" s="1"/>
  <c r="AU63" s="1"/>
  <c r="AU64" s="1"/>
  <c r="AU65" s="1"/>
  <c r="AU66" s="1"/>
  <c r="AU67" s="1"/>
  <c r="AU68" s="1"/>
  <c r="AU69" s="1"/>
  <c r="AU70" s="1"/>
  <c r="AU71" s="1"/>
  <c r="AU72" s="1"/>
  <c r="AU73" s="1"/>
  <c r="AU74" s="1"/>
  <c r="AU75" s="1"/>
  <c r="AU76" s="1"/>
  <c r="AU77" s="1"/>
  <c r="AU78" s="1"/>
  <c r="AU79" s="1"/>
  <c r="AU80" s="1"/>
  <c r="AU81" s="1"/>
  <c r="AU82" s="1"/>
  <c r="AU83" s="1"/>
  <c r="AU84" s="1"/>
  <c r="AU85" s="1"/>
  <c r="AU86" s="1"/>
  <c r="AU87" s="1"/>
  <c r="AU88" s="1"/>
  <c r="AU89" s="1"/>
  <c r="F10" i="13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AD62" i="12"/>
  <c r="AD63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J48" i="13"/>
  <c r="AD43" i="12"/>
  <c r="AD44" s="1"/>
  <c r="AD42"/>
  <c r="T10" i="13"/>
  <c r="S10"/>
  <c r="W9"/>
  <c r="V9"/>
  <c r="U9"/>
  <c r="T9"/>
  <c r="V3"/>
  <c r="T4"/>
  <c r="T7"/>
  <c r="S4"/>
  <c r="W3"/>
  <c r="U3"/>
  <c r="T3"/>
  <c r="S3"/>
  <c r="K10"/>
  <c r="J11"/>
  <c r="J12"/>
  <c r="J13"/>
  <c r="J14"/>
  <c r="J15"/>
  <c r="J16"/>
  <c r="J17"/>
  <c r="J18"/>
  <c r="J19"/>
  <c r="J20"/>
  <c r="J21"/>
  <c r="J22"/>
  <c r="J23"/>
  <c r="J24"/>
  <c r="J47"/>
  <c r="J10"/>
  <c r="K4"/>
  <c r="M3"/>
  <c r="J7"/>
  <c r="S7" s="1"/>
  <c r="J6"/>
  <c r="S6" s="1"/>
  <c r="J5"/>
  <c r="S5" s="1"/>
  <c r="K7"/>
  <c r="K6"/>
  <c r="T6" s="1"/>
  <c r="K5"/>
  <c r="T5" s="1"/>
  <c r="N4"/>
  <c r="W4" s="1"/>
  <c r="L4"/>
  <c r="U4" s="1"/>
  <c r="J4"/>
  <c r="D4"/>
  <c r="F3"/>
  <c r="D11"/>
  <c r="D10"/>
  <c r="C10"/>
  <c r="C9"/>
  <c r="J9" s="1"/>
  <c r="S9" s="1"/>
  <c r="J47" i="12"/>
  <c r="V4" i="13" s="1"/>
  <c r="J46" i="12"/>
  <c r="M4" i="13" s="1"/>
  <c r="J45" i="12"/>
  <c r="P5" s="1"/>
  <c r="R5" s="1"/>
  <c r="J41"/>
  <c r="J39"/>
  <c r="J38"/>
  <c r="J40" s="1"/>
  <c r="J42" s="1"/>
  <c r="D35"/>
  <c r="J28"/>
  <c r="J32" s="1"/>
  <c r="J36" s="1"/>
  <c r="J27"/>
  <c r="J31" s="1"/>
  <c r="J35" s="1"/>
  <c r="J26"/>
  <c r="J30" s="1"/>
  <c r="J34" s="1"/>
  <c r="J24"/>
  <c r="J23"/>
  <c r="J22"/>
  <c r="J20"/>
  <c r="AD19"/>
  <c r="J19"/>
  <c r="J18"/>
  <c r="D16"/>
  <c r="D14"/>
  <c r="AW4" s="1"/>
  <c r="J13"/>
  <c r="J14" s="1"/>
  <c r="D9"/>
  <c r="Q8"/>
  <c r="J7"/>
  <c r="J6"/>
  <c r="D6"/>
  <c r="J5" s="1"/>
  <c r="J12" s="1"/>
  <c r="AU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C94" i="13" s="1"/>
  <c r="AX4" i="12"/>
  <c r="AG4"/>
  <c r="R4"/>
  <c r="AD3"/>
  <c r="AK6" i="1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"/>
  <c r="J47"/>
  <c r="J46"/>
  <c r="BM5" s="1"/>
  <c r="AN4"/>
  <c r="AL5"/>
  <c r="AN5" s="1"/>
  <c r="AC4"/>
  <c r="Z19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C40" s="1"/>
  <c r="Z3"/>
  <c r="J28"/>
  <c r="J32" s="1"/>
  <c r="J36" s="1"/>
  <c r="J24"/>
  <c r="J20"/>
  <c r="BT3"/>
  <c r="BS3"/>
  <c r="BR3"/>
  <c r="BY3"/>
  <c r="BX3"/>
  <c r="BW4"/>
  <c r="BP3"/>
  <c r="BO4"/>
  <c r="BN9"/>
  <c r="BN7"/>
  <c r="BN6"/>
  <c r="BN5"/>
  <c r="BN3"/>
  <c r="BL5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6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8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3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79" s="1"/>
  <c r="BL180" s="1"/>
  <c r="BL181" s="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1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L270" s="1"/>
  <c r="BL271" s="1"/>
  <c r="BL272" s="1"/>
  <c r="BL273" s="1"/>
  <c r="BL274" s="1"/>
  <c r="BL275" s="1"/>
  <c r="BL276" s="1"/>
  <c r="BL277" s="1"/>
  <c r="BL278" s="1"/>
  <c r="BL279" s="1"/>
  <c r="BL280" s="1"/>
  <c r="BL281" s="1"/>
  <c r="BL282" s="1"/>
  <c r="BL283" s="1"/>
  <c r="BL284" s="1"/>
  <c r="BL285" s="1"/>
  <c r="BL286" s="1"/>
  <c r="BL287" s="1"/>
  <c r="BL288" s="1"/>
  <c r="BL289" s="1"/>
  <c r="BL290" s="1"/>
  <c r="BL291" s="1"/>
  <c r="BL292" s="1"/>
  <c r="BL293" s="1"/>
  <c r="BL294" s="1"/>
  <c r="BL295" s="1"/>
  <c r="BL296" s="1"/>
  <c r="BL297" s="1"/>
  <c r="BL298" s="1"/>
  <c r="BL299" s="1"/>
  <c r="BL300" s="1"/>
  <c r="BL301" s="1"/>
  <c r="BL302" s="1"/>
  <c r="BL303" s="1"/>
  <c r="BL304" s="1"/>
  <c r="BL305" s="1"/>
  <c r="BL306" s="1"/>
  <c r="BL307" s="1"/>
  <c r="BL308" s="1"/>
  <c r="BL309" s="1"/>
  <c r="BL310" s="1"/>
  <c r="BL311" s="1"/>
  <c r="BL312" s="1"/>
  <c r="BL313" s="1"/>
  <c r="BL314" s="1"/>
  <c r="BL315" s="1"/>
  <c r="BL316" s="1"/>
  <c r="BL317" s="1"/>
  <c r="BL318" s="1"/>
  <c r="BL319" s="1"/>
  <c r="BL320" s="1"/>
  <c r="BL321" s="1"/>
  <c r="BL322" s="1"/>
  <c r="BL323" s="1"/>
  <c r="BL324" s="1"/>
  <c r="BL325" s="1"/>
  <c r="BL326" s="1"/>
  <c r="BL327" s="1"/>
  <c r="BL328" s="1"/>
  <c r="BL329" s="1"/>
  <c r="BL330" s="1"/>
  <c r="BL331" s="1"/>
  <c r="BL332" s="1"/>
  <c r="BL333" s="1"/>
  <c r="BL334" s="1"/>
  <c r="BL335" s="1"/>
  <c r="BL336" s="1"/>
  <c r="BL337" s="1"/>
  <c r="BL338" s="1"/>
  <c r="BL339" s="1"/>
  <c r="BL340" s="1"/>
  <c r="BL341" s="1"/>
  <c r="BL342" s="1"/>
  <c r="BL343" s="1"/>
  <c r="BL344" s="1"/>
  <c r="BL345" s="1"/>
  <c r="BL346" s="1"/>
  <c r="BL347" s="1"/>
  <c r="BL348" s="1"/>
  <c r="BL349" s="1"/>
  <c r="BL350" s="1"/>
  <c r="BL351" s="1"/>
  <c r="BL352" s="1"/>
  <c r="BL353" s="1"/>
  <c r="BL354" s="1"/>
  <c r="BL355" s="1"/>
  <c r="BL356" s="1"/>
  <c r="BL357" s="1"/>
  <c r="BL358" s="1"/>
  <c r="BL359" s="1"/>
  <c r="BL360" s="1"/>
  <c r="BL361" s="1"/>
  <c r="BL362" s="1"/>
  <c r="BL363" s="1"/>
  <c r="BL364" s="1"/>
  <c r="BL365" s="1"/>
  <c r="BL366" s="1"/>
  <c r="BL367" s="1"/>
  <c r="BL368" s="1"/>
  <c r="BL369" s="1"/>
  <c r="BL370" s="1"/>
  <c r="BL371" s="1"/>
  <c r="BL372" s="1"/>
  <c r="BL373" s="1"/>
  <c r="BL374" s="1"/>
  <c r="BL375" s="1"/>
  <c r="BL376" s="1"/>
  <c r="BL377" s="1"/>
  <c r="BL378" s="1"/>
  <c r="BL379" s="1"/>
  <c r="BL380" s="1"/>
  <c r="BL381" s="1"/>
  <c r="BL382" s="1"/>
  <c r="BL383" s="1"/>
  <c r="BL384" s="1"/>
  <c r="BL385" s="1"/>
  <c r="BL386" s="1"/>
  <c r="BL387" s="1"/>
  <c r="BL388" s="1"/>
  <c r="BL389" s="1"/>
  <c r="BL390" s="1"/>
  <c r="BL391" s="1"/>
  <c r="BL392" s="1"/>
  <c r="BL393" s="1"/>
  <c r="BL394" s="1"/>
  <c r="DF6"/>
  <c r="DD6"/>
  <c r="DG6"/>
  <c r="DA6"/>
  <c r="DE6" s="1"/>
  <c r="CZ6"/>
  <c r="BC4"/>
  <c r="Q8"/>
  <c r="BE4" s="1"/>
  <c r="BX4" s="1"/>
  <c r="R4"/>
  <c r="D16"/>
  <c r="D14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J45"/>
  <c r="P5" s="1"/>
  <c r="J38"/>
  <c r="J40" s="1"/>
  <c r="L41"/>
  <c r="J41"/>
  <c r="J39"/>
  <c r="J13"/>
  <c r="J14" s="1"/>
  <c r="J19"/>
  <c r="J18"/>
  <c r="J23"/>
  <c r="J22"/>
  <c r="J27"/>
  <c r="J31" s="1"/>
  <c r="J35" s="1"/>
  <c r="J26"/>
  <c r="J30" s="1"/>
  <c r="J34" s="1"/>
  <c r="CX6" s="1"/>
  <c r="J7"/>
  <c r="J6"/>
  <c r="AD4" s="1"/>
  <c r="D35"/>
  <c r="D9"/>
  <c r="D6"/>
  <c r="J5" s="1"/>
  <c r="AP6" i="9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"/>
  <c r="AK5"/>
  <c r="AN9" s="1"/>
  <c r="AJ5"/>
  <c r="AZ17"/>
  <c r="BA17" s="1"/>
  <c r="AY5"/>
  <c r="AZ5" s="1"/>
  <c r="BA5" s="1"/>
  <c r="AY6"/>
  <c r="AZ6" s="1"/>
  <c r="BA6" s="1"/>
  <c r="AY7"/>
  <c r="AZ7" s="1"/>
  <c r="BA7" s="1"/>
  <c r="AY8"/>
  <c r="AZ8" s="1"/>
  <c r="BA8" s="1"/>
  <c r="AY9"/>
  <c r="AZ9" s="1"/>
  <c r="BA9" s="1"/>
  <c r="AY10"/>
  <c r="AZ10" s="1"/>
  <c r="BA10" s="1"/>
  <c r="AY11"/>
  <c r="AZ11" s="1"/>
  <c r="BA11" s="1"/>
  <c r="AY12"/>
  <c r="AZ12" s="1"/>
  <c r="BA12" s="1"/>
  <c r="AY13"/>
  <c r="AZ13" s="1"/>
  <c r="BA13" s="1"/>
  <c r="AY14"/>
  <c r="AZ14" s="1"/>
  <c r="BA14" s="1"/>
  <c r="AY15"/>
  <c r="AZ15" s="1"/>
  <c r="BA15" s="1"/>
  <c r="AY16"/>
  <c r="AZ16" s="1"/>
  <c r="BA16" s="1"/>
  <c r="AY17"/>
  <c r="AY18"/>
  <c r="AZ18" s="1"/>
  <c r="BA18" s="1"/>
  <c r="AY19"/>
  <c r="AZ19" s="1"/>
  <c r="BA19" s="1"/>
  <c r="AY20"/>
  <c r="AZ20" s="1"/>
  <c r="BA20" s="1"/>
  <c r="AY21"/>
  <c r="AZ21" s="1"/>
  <c r="BA21" s="1"/>
  <c r="AY22"/>
  <c r="AZ22" s="1"/>
  <c r="BA22" s="1"/>
  <c r="AY23"/>
  <c r="AZ23" s="1"/>
  <c r="BA23" s="1"/>
  <c r="AY24"/>
  <c r="AZ24" s="1"/>
  <c r="BA24" s="1"/>
  <c r="AY25"/>
  <c r="AZ25" s="1"/>
  <c r="BA25" s="1"/>
  <c r="AY26"/>
  <c r="AZ26" s="1"/>
  <c r="BA26" s="1"/>
  <c r="AY27"/>
  <c r="AZ27" s="1"/>
  <c r="BA27" s="1"/>
  <c r="AY28"/>
  <c r="AZ28" s="1"/>
  <c r="BA28" s="1"/>
  <c r="AY29"/>
  <c r="AZ29" s="1"/>
  <c r="BA29" s="1"/>
  <c r="AY30"/>
  <c r="AZ30" s="1"/>
  <c r="BA30" s="1"/>
  <c r="AY31"/>
  <c r="AZ31" s="1"/>
  <c r="BA31" s="1"/>
  <c r="AY32"/>
  <c r="AZ32" s="1"/>
  <c r="BA32" s="1"/>
  <c r="AY33"/>
  <c r="AZ33" s="1"/>
  <c r="BA33" s="1"/>
  <c r="AY34"/>
  <c r="AZ34" s="1"/>
  <c r="BA34" s="1"/>
  <c r="AY35"/>
  <c r="AZ35" s="1"/>
  <c r="BA35" s="1"/>
  <c r="AY36"/>
  <c r="AZ36" s="1"/>
  <c r="BA36" s="1"/>
  <c r="AY37"/>
  <c r="AZ37" s="1"/>
  <c r="BA37" s="1"/>
  <c r="AY38"/>
  <c r="AZ38" s="1"/>
  <c r="BA38" s="1"/>
  <c r="AY39"/>
  <c r="AZ39" s="1"/>
  <c r="BA39" s="1"/>
  <c r="AY40"/>
  <c r="AZ40" s="1"/>
  <c r="BA40" s="1"/>
  <c r="AY41"/>
  <c r="AZ41" s="1"/>
  <c r="BA41" s="1"/>
  <c r="AY42"/>
  <c r="AZ42" s="1"/>
  <c r="BA42" s="1"/>
  <c r="AY43"/>
  <c r="AZ43" s="1"/>
  <c r="BA43" s="1"/>
  <c r="AY44"/>
  <c r="AZ44" s="1"/>
  <c r="BA44" s="1"/>
  <c r="AY45"/>
  <c r="AZ45" s="1"/>
  <c r="BA45" s="1"/>
  <c r="AY46"/>
  <c r="AZ46" s="1"/>
  <c r="BA46" s="1"/>
  <c r="AY47"/>
  <c r="AZ47" s="1"/>
  <c r="BA47" s="1"/>
  <c r="AY48"/>
  <c r="AZ48" s="1"/>
  <c r="BA48" s="1"/>
  <c r="AY49"/>
  <c r="AZ49" s="1"/>
  <c r="BA49" s="1"/>
  <c r="AY50"/>
  <c r="AZ50" s="1"/>
  <c r="BA50" s="1"/>
  <c r="AY51"/>
  <c r="AZ51" s="1"/>
  <c r="BA51" s="1"/>
  <c r="AY52"/>
  <c r="AZ52" s="1"/>
  <c r="BA52" s="1"/>
  <c r="AY53"/>
  <c r="AZ53" s="1"/>
  <c r="BA53" s="1"/>
  <c r="AY54"/>
  <c r="AZ54" s="1"/>
  <c r="BA54" s="1"/>
  <c r="AY55"/>
  <c r="AZ55" s="1"/>
  <c r="BA55" s="1"/>
  <c r="AY56"/>
  <c r="AZ56" s="1"/>
  <c r="BA56" s="1"/>
  <c r="AY57"/>
  <c r="AZ57" s="1"/>
  <c r="BA57" s="1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"/>
  <c r="S36"/>
  <c r="O40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"/>
  <c r="W66"/>
  <c r="W67"/>
  <c r="V67"/>
  <c r="G6"/>
  <c r="G15" s="1"/>
  <c r="S6" s="1"/>
  <c r="S21"/>
  <c r="S23" s="1"/>
  <c r="S25" s="1"/>
  <c r="DA28"/>
  <c r="DA29" s="1"/>
  <c r="DA30" s="1"/>
  <c r="DA31" s="1"/>
  <c r="DA32" s="1"/>
  <c r="DA33" s="1"/>
  <c r="DA34" s="1"/>
  <c r="DA21"/>
  <c r="DA22" s="1"/>
  <c r="DA23" s="1"/>
  <c r="DA24" s="1"/>
  <c r="DA25" s="1"/>
  <c r="DA26" s="1"/>
  <c r="DA27" s="1"/>
  <c r="DA7"/>
  <c r="DA8" s="1"/>
  <c r="DA9" s="1"/>
  <c r="DA10" s="1"/>
  <c r="DA11" s="1"/>
  <c r="DA12" s="1"/>
  <c r="DA13" s="1"/>
  <c r="DA14" s="1"/>
  <c r="DA15" s="1"/>
  <c r="DA16" s="1"/>
  <c r="DA17" s="1"/>
  <c r="DA18" s="1"/>
  <c r="DA19" s="1"/>
  <c r="DA20" s="1"/>
  <c r="DA6"/>
  <c r="BM6"/>
  <c r="BM7"/>
  <c r="BM8"/>
  <c r="BM9"/>
  <c r="BM10"/>
  <c r="BM11"/>
  <c r="BM12"/>
  <c r="BM13"/>
  <c r="BM14"/>
  <c r="BM15"/>
  <c r="BM16"/>
  <c r="BM17"/>
  <c r="BN17"/>
  <c r="BQ17" s="1"/>
  <c r="BR17" s="1"/>
  <c r="BM18"/>
  <c r="BM19"/>
  <c r="BM20"/>
  <c r="BM21"/>
  <c r="BM22"/>
  <c r="BM23"/>
  <c r="BM24"/>
  <c r="BM25"/>
  <c r="BM26"/>
  <c r="BM27"/>
  <c r="BM28"/>
  <c r="BM29"/>
  <c r="BM30"/>
  <c r="BM31"/>
  <c r="BM32"/>
  <c r="BM33"/>
  <c r="BN33"/>
  <c r="BQ33" s="1"/>
  <c r="BR33" s="1"/>
  <c r="BM34"/>
  <c r="BM35"/>
  <c r="BM36"/>
  <c r="BM37"/>
  <c r="BM38"/>
  <c r="BM39"/>
  <c r="BM40"/>
  <c r="BM41"/>
  <c r="BM42"/>
  <c r="BM43"/>
  <c r="BM44"/>
  <c r="BM45"/>
  <c r="BM46"/>
  <c r="BM47"/>
  <c r="BM48"/>
  <c r="BM49"/>
  <c r="BN49"/>
  <c r="BQ49" s="1"/>
  <c r="BR49" s="1"/>
  <c r="BM50"/>
  <c r="BM51"/>
  <c r="BM52"/>
  <c r="BM53"/>
  <c r="BM54"/>
  <c r="BM55"/>
  <c r="BM56"/>
  <c r="BM57"/>
  <c r="BM58"/>
  <c r="BM59"/>
  <c r="BM60"/>
  <c r="BM61"/>
  <c r="BM62"/>
  <c r="BN62"/>
  <c r="BQ62" s="1"/>
  <c r="BR62" s="1"/>
  <c r="BM63"/>
  <c r="BM64"/>
  <c r="BM65"/>
  <c r="BM66"/>
  <c r="BM67"/>
  <c r="BM68"/>
  <c r="BM69"/>
  <c r="BM70"/>
  <c r="BM71"/>
  <c r="BM72"/>
  <c r="BM5"/>
  <c r="BL68"/>
  <c r="BL69" s="1"/>
  <c r="BL70" s="1"/>
  <c r="BL71" s="1"/>
  <c r="BL72" s="1"/>
  <c r="BL47"/>
  <c r="BL48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7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6"/>
  <c r="BD7"/>
  <c r="BG7" s="1"/>
  <c r="BH7" s="1"/>
  <c r="BD15"/>
  <c r="BG15" s="1"/>
  <c r="BH15" s="1"/>
  <c r="BD23"/>
  <c r="BG23" s="1"/>
  <c r="BH23" s="1"/>
  <c r="BD31"/>
  <c r="BG31" s="1"/>
  <c r="BH31" s="1"/>
  <c r="BD39"/>
  <c r="BG39" s="1"/>
  <c r="BH39" s="1"/>
  <c r="BD47"/>
  <c r="BG47" s="1"/>
  <c r="BH47" s="1"/>
  <c r="BD55"/>
  <c r="BG55" s="1"/>
  <c r="BH55" s="1"/>
  <c r="BD63"/>
  <c r="BG63" s="1"/>
  <c r="BH63" s="1"/>
  <c r="BD71"/>
  <c r="BG71" s="1"/>
  <c r="BH71" s="1"/>
  <c r="BD79"/>
  <c r="BG79" s="1"/>
  <c r="BH79" s="1"/>
  <c r="BD87"/>
  <c r="BG87" s="1"/>
  <c r="BH87" s="1"/>
  <c r="BD95"/>
  <c r="BG95" s="1"/>
  <c r="BH95" s="1"/>
  <c r="BD103"/>
  <c r="BG103" s="1"/>
  <c r="BH103" s="1"/>
  <c r="BD111"/>
  <c r="BG111" s="1"/>
  <c r="BH111" s="1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5"/>
  <c r="BB108"/>
  <c r="BB109"/>
  <c r="BB110" s="1"/>
  <c r="BB111" s="1"/>
  <c r="BB112" s="1"/>
  <c r="BB113" s="1"/>
  <c r="BB103"/>
  <c r="BB104" s="1"/>
  <c r="BB105" s="1"/>
  <c r="BB106" s="1"/>
  <c r="BB107" s="1"/>
  <c r="BB82"/>
  <c r="BB83"/>
  <c r="BB84" s="1"/>
  <c r="BB85" s="1"/>
  <c r="BB86" s="1"/>
  <c r="BB87" s="1"/>
  <c r="BB88" s="1"/>
  <c r="BB89" s="1"/>
  <c r="BB90" s="1"/>
  <c r="BB91" s="1"/>
  <c r="BB92" s="1"/>
  <c r="BB93" s="1"/>
  <c r="BB94" s="1"/>
  <c r="BB95" s="1"/>
  <c r="BB96" s="1"/>
  <c r="BB97" s="1"/>
  <c r="BB98" s="1"/>
  <c r="BB99" s="1"/>
  <c r="BB100" s="1"/>
  <c r="BB101" s="1"/>
  <c r="BB102" s="1"/>
  <c r="BB62"/>
  <c r="BB63" s="1"/>
  <c r="BB64" s="1"/>
  <c r="BB65" s="1"/>
  <c r="BB66" s="1"/>
  <c r="BB67" s="1"/>
  <c r="BB68" s="1"/>
  <c r="BB69" s="1"/>
  <c r="BB70" s="1"/>
  <c r="BB71" s="1"/>
  <c r="BB72" s="1"/>
  <c r="BB73" s="1"/>
  <c r="BB74" s="1"/>
  <c r="BB75" s="1"/>
  <c r="BB76" s="1"/>
  <c r="BB77" s="1"/>
  <c r="BB78" s="1"/>
  <c r="BB79" s="1"/>
  <c r="BB80" s="1"/>
  <c r="BB81" s="1"/>
  <c r="BB42"/>
  <c r="BB43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7"/>
  <c r="BB8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6"/>
  <c r="W5"/>
  <c r="AM5" i="10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4"/>
  <c r="AH5"/>
  <c r="AI5"/>
  <c r="AJ5"/>
  <c r="AI6"/>
  <c r="AJ6" s="1"/>
  <c r="AI7"/>
  <c r="AJ7"/>
  <c r="AI8"/>
  <c r="AJ8" s="1"/>
  <c r="AI9"/>
  <c r="AJ9"/>
  <c r="AI10"/>
  <c r="AJ10" s="1"/>
  <c r="AI11"/>
  <c r="AJ11"/>
  <c r="AI12"/>
  <c r="AJ12" s="1"/>
  <c r="AI13"/>
  <c r="AJ13"/>
  <c r="AI14"/>
  <c r="AJ14" s="1"/>
  <c r="AI15"/>
  <c r="AJ15"/>
  <c r="AI16"/>
  <c r="AJ16" s="1"/>
  <c r="AI17"/>
  <c r="AJ17"/>
  <c r="AI18"/>
  <c r="AJ18" s="1"/>
  <c r="AI19"/>
  <c r="AJ19"/>
  <c r="AI20"/>
  <c r="AJ20" s="1"/>
  <c r="AI21"/>
  <c r="AJ21"/>
  <c r="AI22"/>
  <c r="AJ22" s="1"/>
  <c r="AI23"/>
  <c r="AJ23"/>
  <c r="AI24"/>
  <c r="AJ24" s="1"/>
  <c r="AI25"/>
  <c r="AJ25"/>
  <c r="AI26"/>
  <c r="AJ26" s="1"/>
  <c r="AI27"/>
  <c r="AJ27"/>
  <c r="AI28"/>
  <c r="AJ28" s="1"/>
  <c r="AI29"/>
  <c r="AJ29"/>
  <c r="AI30"/>
  <c r="AJ30" s="1"/>
  <c r="AI31"/>
  <c r="AJ31"/>
  <c r="AI32"/>
  <c r="AJ32" s="1"/>
  <c r="AI33"/>
  <c r="AJ33"/>
  <c r="AI34"/>
  <c r="AJ34" s="1"/>
  <c r="AI35"/>
  <c r="AJ35"/>
  <c r="AI36"/>
  <c r="AJ36" s="1"/>
  <c r="AI37"/>
  <c r="AJ37"/>
  <c r="AI38"/>
  <c r="AJ38" s="1"/>
  <c r="AI39"/>
  <c r="AJ39"/>
  <c r="AI40"/>
  <c r="AJ40" s="1"/>
  <c r="AI41"/>
  <c r="AJ41"/>
  <c r="AI42"/>
  <c r="AJ42" s="1"/>
  <c r="AI43"/>
  <c r="AJ43"/>
  <c r="AI44"/>
  <c r="AJ44" s="1"/>
  <c r="AI45"/>
  <c r="AJ45"/>
  <c r="AI46"/>
  <c r="AJ46" s="1"/>
  <c r="AI47"/>
  <c r="AJ47"/>
  <c r="AI48"/>
  <c r="AJ48" s="1"/>
  <c r="AI49"/>
  <c r="AJ49"/>
  <c r="AI50"/>
  <c r="AJ50" s="1"/>
  <c r="AI51"/>
  <c r="AJ51"/>
  <c r="AI52"/>
  <c r="AJ52" s="1"/>
  <c r="AI53"/>
  <c r="AJ53"/>
  <c r="AI54"/>
  <c r="AJ54" s="1"/>
  <c r="AI55"/>
  <c r="AJ55"/>
  <c r="AI56"/>
  <c r="AJ56" s="1"/>
  <c r="AI57"/>
  <c r="AJ57"/>
  <c r="AI58"/>
  <c r="AJ58" s="1"/>
  <c r="AI59"/>
  <c r="AJ59"/>
  <c r="AI60"/>
  <c r="AJ60" s="1"/>
  <c r="AI61"/>
  <c r="AJ61"/>
  <c r="AI62"/>
  <c r="AJ62" s="1"/>
  <c r="AI63"/>
  <c r="AJ63"/>
  <c r="AI64"/>
  <c r="AJ64" s="1"/>
  <c r="AI65"/>
  <c r="AJ65"/>
  <c r="AI66"/>
  <c r="AJ66" s="1"/>
  <c r="AI67"/>
  <c r="AJ67"/>
  <c r="AI68"/>
  <c r="AJ68" s="1"/>
  <c r="AI69"/>
  <c r="AJ69"/>
  <c r="AI70"/>
  <c r="AJ70" s="1"/>
  <c r="AI71"/>
  <c r="AJ71"/>
  <c r="AI72"/>
  <c r="AJ72" s="1"/>
  <c r="AI73"/>
  <c r="AJ73"/>
  <c r="AI74"/>
  <c r="AJ74" s="1"/>
  <c r="AI75"/>
  <c r="AJ75"/>
  <c r="AI76"/>
  <c r="AJ76" s="1"/>
  <c r="AI77"/>
  <c r="AJ77"/>
  <c r="AI78"/>
  <c r="AJ78" s="1"/>
  <c r="AI79"/>
  <c r="AJ79"/>
  <c r="AI80"/>
  <c r="AJ80" s="1"/>
  <c r="AI81"/>
  <c r="AJ81"/>
  <c r="AI82"/>
  <c r="AJ82" s="1"/>
  <c r="AI83"/>
  <c r="AJ83"/>
  <c r="AI84"/>
  <c r="AJ84" s="1"/>
  <c r="AI85"/>
  <c r="AJ85"/>
  <c r="AI86"/>
  <c r="AJ86" s="1"/>
  <c r="AI87"/>
  <c r="AJ87"/>
  <c r="AI88"/>
  <c r="AJ88" s="1"/>
  <c r="AJ4"/>
  <c r="AI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Q22"/>
  <c r="AR22"/>
  <c r="AQ23"/>
  <c r="AR23"/>
  <c r="AQ24"/>
  <c r="AR24"/>
  <c r="AQ25"/>
  <c r="AR25"/>
  <c r="AQ26"/>
  <c r="AR26"/>
  <c r="AQ27"/>
  <c r="AR27"/>
  <c r="AQ28"/>
  <c r="AR28"/>
  <c r="AQ29"/>
  <c r="AR29"/>
  <c r="AQ30"/>
  <c r="AR30"/>
  <c r="AQ31"/>
  <c r="AR31"/>
  <c r="AQ32"/>
  <c r="AR32"/>
  <c r="AQ33"/>
  <c r="AR33"/>
  <c r="AQ34"/>
  <c r="AR34"/>
  <c r="AQ35"/>
  <c r="AR35"/>
  <c r="AQ36"/>
  <c r="AR36"/>
  <c r="AQ37"/>
  <c r="AR37"/>
  <c r="AQ38"/>
  <c r="AR38"/>
  <c r="AQ39"/>
  <c r="AR39"/>
  <c r="AQ40"/>
  <c r="AR40"/>
  <c r="AQ41"/>
  <c r="AR41"/>
  <c r="AQ42"/>
  <c r="AR42"/>
  <c r="AQ43"/>
  <c r="AR43"/>
  <c r="AQ44"/>
  <c r="AR44"/>
  <c r="AQ45"/>
  <c r="AR45"/>
  <c r="AQ46"/>
  <c r="AR46"/>
  <c r="AQ47"/>
  <c r="AR47"/>
  <c r="AQ48"/>
  <c r="AR48"/>
  <c r="AQ49"/>
  <c r="AR49"/>
  <c r="AQ50"/>
  <c r="AR50"/>
  <c r="AQ51"/>
  <c r="AR51"/>
  <c r="AQ52"/>
  <c r="AR52"/>
  <c r="AQ53"/>
  <c r="AR53"/>
  <c r="AQ54"/>
  <c r="AR54"/>
  <c r="AQ55"/>
  <c r="AR55"/>
  <c r="AQ56"/>
  <c r="AR56"/>
  <c r="AQ57"/>
  <c r="AR57"/>
  <c r="AQ58"/>
  <c r="AR58"/>
  <c r="AQ59"/>
  <c r="AR59"/>
  <c r="AQ60"/>
  <c r="AR60"/>
  <c r="AQ61"/>
  <c r="AR61"/>
  <c r="AQ62"/>
  <c r="AR62"/>
  <c r="AQ63"/>
  <c r="AR63"/>
  <c r="AQ64"/>
  <c r="AR64"/>
  <c r="AQ65"/>
  <c r="AR65"/>
  <c r="AQ66"/>
  <c r="AR66"/>
  <c r="AQ67"/>
  <c r="AR67"/>
  <c r="AQ68"/>
  <c r="AR68"/>
  <c r="AQ69"/>
  <c r="AR69"/>
  <c r="AQ70"/>
  <c r="AR70"/>
  <c r="AQ71"/>
  <c r="AR71"/>
  <c r="AQ72"/>
  <c r="AR72"/>
  <c r="AQ73"/>
  <c r="AR73"/>
  <c r="AQ74"/>
  <c r="AR74"/>
  <c r="AQ75"/>
  <c r="AR75"/>
  <c r="AQ76"/>
  <c r="AR76"/>
  <c r="AQ77"/>
  <c r="AR77"/>
  <c r="AQ78"/>
  <c r="AR78"/>
  <c r="AQ79"/>
  <c r="AR79"/>
  <c r="AQ80"/>
  <c r="AR80"/>
  <c r="AQ81"/>
  <c r="AR81"/>
  <c r="AQ82"/>
  <c r="AR82"/>
  <c r="AQ83"/>
  <c r="AR83"/>
  <c r="AQ84"/>
  <c r="AR84"/>
  <c r="AQ85"/>
  <c r="AR85"/>
  <c r="AQ86"/>
  <c r="AR86"/>
  <c r="AQ87"/>
  <c r="AR87"/>
  <c r="AQ88"/>
  <c r="AR88"/>
  <c r="AR4"/>
  <c r="AQ4"/>
  <c r="AR2"/>
  <c r="AQ2"/>
  <c r="V6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5"/>
  <c r="AD10"/>
  <c r="AG8" s="1"/>
  <c r="AS8" s="1"/>
  <c r="G7"/>
  <c r="S49"/>
  <c r="S47"/>
  <c r="S45"/>
  <c r="S44"/>
  <c r="S43"/>
  <c r="S42"/>
  <c r="O37"/>
  <c r="F36"/>
  <c r="O35"/>
  <c r="K35"/>
  <c r="F35"/>
  <c r="F34"/>
  <c r="O33"/>
  <c r="W5" s="1"/>
  <c r="W6" s="1"/>
  <c r="F33"/>
  <c r="F30"/>
  <c r="F29"/>
  <c r="F28"/>
  <c r="C28"/>
  <c r="F27"/>
  <c r="C24"/>
  <c r="G23"/>
  <c r="G30" s="1"/>
  <c r="G36" s="1"/>
  <c r="F23"/>
  <c r="S22"/>
  <c r="S24" s="1"/>
  <c r="S26" s="1"/>
  <c r="G22"/>
  <c r="G29" s="1"/>
  <c r="G35" s="1"/>
  <c r="F22"/>
  <c r="G21"/>
  <c r="G28" s="1"/>
  <c r="G34" s="1"/>
  <c r="F21"/>
  <c r="G20"/>
  <c r="G27" s="1"/>
  <c r="G33" s="1"/>
  <c r="F20"/>
  <c r="O18"/>
  <c r="N18"/>
  <c r="J18"/>
  <c r="O17"/>
  <c r="N17"/>
  <c r="J17"/>
  <c r="O16"/>
  <c r="N16"/>
  <c r="J16"/>
  <c r="O15"/>
  <c r="N15"/>
  <c r="J15"/>
  <c r="R13"/>
  <c r="R12"/>
  <c r="R11"/>
  <c r="O11"/>
  <c r="N11"/>
  <c r="J11"/>
  <c r="R10"/>
  <c r="O10"/>
  <c r="N10"/>
  <c r="J10"/>
  <c r="G10"/>
  <c r="O9"/>
  <c r="N9"/>
  <c r="J9"/>
  <c r="G9"/>
  <c r="O8"/>
  <c r="N8"/>
  <c r="J8"/>
  <c r="O36" i="9"/>
  <c r="O34"/>
  <c r="S48"/>
  <c r="K34"/>
  <c r="S44"/>
  <c r="S43"/>
  <c r="S42"/>
  <c r="S41"/>
  <c r="S46"/>
  <c r="C27"/>
  <c r="O32"/>
  <c r="V6" s="1"/>
  <c r="C23"/>
  <c r="G9"/>
  <c r="R10"/>
  <c r="R11"/>
  <c r="R12"/>
  <c r="R9"/>
  <c r="N15"/>
  <c r="N16"/>
  <c r="N17"/>
  <c r="N14"/>
  <c r="N8"/>
  <c r="N9"/>
  <c r="N10"/>
  <c r="N7"/>
  <c r="J15"/>
  <c r="J16"/>
  <c r="J17"/>
  <c r="J14"/>
  <c r="J8"/>
  <c r="J9"/>
  <c r="J10"/>
  <c r="J7"/>
  <c r="F33"/>
  <c r="F34"/>
  <c r="F35"/>
  <c r="F32"/>
  <c r="F27"/>
  <c r="F28"/>
  <c r="F29"/>
  <c r="F26"/>
  <c r="F20"/>
  <c r="F21"/>
  <c r="F22"/>
  <c r="F19"/>
  <c r="O8"/>
  <c r="O9"/>
  <c r="O10"/>
  <c r="O7"/>
  <c r="O15"/>
  <c r="O16"/>
  <c r="O17"/>
  <c r="O14"/>
  <c r="G20"/>
  <c r="G27" s="1"/>
  <c r="G33" s="1"/>
  <c r="G21"/>
  <c r="G28" s="1"/>
  <c r="G34" s="1"/>
  <c r="G22"/>
  <c r="G29" s="1"/>
  <c r="G35" s="1"/>
  <c r="G19"/>
  <c r="G26" s="1"/>
  <c r="G32" s="1"/>
  <c r="G8"/>
  <c r="BN6" s="1"/>
  <c r="BQ6" s="1"/>
  <c r="BR6" s="1"/>
  <c r="I7" i="4"/>
  <c r="I8"/>
  <c r="I9"/>
  <c r="I10"/>
  <c r="I11"/>
  <c r="I12"/>
  <c r="I13"/>
  <c r="I14"/>
  <c r="I15"/>
  <c r="I16"/>
  <c r="I17"/>
  <c r="I18"/>
  <c r="I19"/>
  <c r="I6"/>
  <c r="W19"/>
  <c r="W18"/>
  <c r="W17"/>
  <c r="W16"/>
  <c r="W15"/>
  <c r="W14"/>
  <c r="W13"/>
  <c r="W12"/>
  <c r="W11"/>
  <c r="W10"/>
  <c r="W9"/>
  <c r="W8"/>
  <c r="W7"/>
  <c r="W6"/>
  <c r="P19"/>
  <c r="P18"/>
  <c r="P17"/>
  <c r="P16"/>
  <c r="P15"/>
  <c r="P14"/>
  <c r="P13"/>
  <c r="P12"/>
  <c r="P11"/>
  <c r="P10"/>
  <c r="P9"/>
  <c r="P8"/>
  <c r="P7"/>
  <c r="P6"/>
  <c r="H7"/>
  <c r="H8"/>
  <c r="H9"/>
  <c r="H10"/>
  <c r="H11"/>
  <c r="H12"/>
  <c r="H13"/>
  <c r="H14"/>
  <c r="H15"/>
  <c r="H16"/>
  <c r="H17"/>
  <c r="H18"/>
  <c r="H19"/>
  <c r="H6"/>
  <c r="V7"/>
  <c r="V8"/>
  <c r="V9"/>
  <c r="V10"/>
  <c r="V11"/>
  <c r="V12"/>
  <c r="V13"/>
  <c r="V14"/>
  <c r="V15"/>
  <c r="V16"/>
  <c r="V17"/>
  <c r="V18"/>
  <c r="V19"/>
  <c r="V6"/>
  <c r="O7"/>
  <c r="O8"/>
  <c r="O9"/>
  <c r="O10"/>
  <c r="O11"/>
  <c r="O12"/>
  <c r="O13"/>
  <c r="O14"/>
  <c r="O15"/>
  <c r="O16"/>
  <c r="O17"/>
  <c r="O18"/>
  <c r="O19"/>
  <c r="O6"/>
  <c r="U6"/>
  <c r="N6"/>
  <c r="G7"/>
  <c r="G8"/>
  <c r="G9"/>
  <c r="G10"/>
  <c r="G11"/>
  <c r="G12"/>
  <c r="G13"/>
  <c r="G14"/>
  <c r="G15"/>
  <c r="G16"/>
  <c r="G17"/>
  <c r="G18"/>
  <c r="G19"/>
  <c r="G6"/>
  <c r="F6"/>
  <c r="Y72" i="17" l="1"/>
  <c r="Y68"/>
  <c r="Y64"/>
  <c r="Y60"/>
  <c r="Y56"/>
  <c r="Y52"/>
  <c r="Y48"/>
  <c r="Y44"/>
  <c r="Y40"/>
  <c r="Y36"/>
  <c r="Y32"/>
  <c r="Y28"/>
  <c r="Y24"/>
  <c r="Y20"/>
  <c r="Y16"/>
  <c r="Y12"/>
  <c r="Y8"/>
  <c r="S63"/>
  <c r="S47"/>
  <c r="S31"/>
  <c r="S15"/>
  <c r="Y73"/>
  <c r="Y69"/>
  <c r="Y65"/>
  <c r="Y61"/>
  <c r="Y57"/>
  <c r="Y53"/>
  <c r="Y49"/>
  <c r="Y45"/>
  <c r="Y41"/>
  <c r="Y37"/>
  <c r="Y33"/>
  <c r="Y29"/>
  <c r="Y25"/>
  <c r="Y21"/>
  <c r="Y17"/>
  <c r="Y13"/>
  <c r="Y9"/>
  <c r="Y5"/>
  <c r="Y74"/>
  <c r="Y70"/>
  <c r="Y66"/>
  <c r="Y62"/>
  <c r="Y58"/>
  <c r="Y54"/>
  <c r="Y50"/>
  <c r="Y46"/>
  <c r="Y42"/>
  <c r="Y38"/>
  <c r="Y34"/>
  <c r="Y30"/>
  <c r="Y26"/>
  <c r="Y22"/>
  <c r="Y18"/>
  <c r="Y14"/>
  <c r="Y10"/>
  <c r="Y6"/>
  <c r="BL61"/>
  <c r="S71"/>
  <c r="S55"/>
  <c r="S39"/>
  <c r="S23"/>
  <c r="S7"/>
  <c r="BR62"/>
  <c r="BR58"/>
  <c r="BR63"/>
  <c r="BR77"/>
  <c r="BR73"/>
  <c r="BR59"/>
  <c r="BL50"/>
  <c r="BL6"/>
  <c r="BL54"/>
  <c r="BL42"/>
  <c r="BL10"/>
  <c r="BR51"/>
  <c r="BS51" s="1"/>
  <c r="BL53"/>
  <c r="BL34"/>
  <c r="BR69"/>
  <c r="BL58"/>
  <c r="BL18"/>
  <c r="BR76"/>
  <c r="BR72"/>
  <c r="BS73" s="1"/>
  <c r="BR55"/>
  <c r="BR67"/>
  <c r="BR41"/>
  <c r="BR37"/>
  <c r="BR29"/>
  <c r="BR25"/>
  <c r="BR21"/>
  <c r="BR17"/>
  <c r="BS18" s="1"/>
  <c r="BR13"/>
  <c r="BS14" s="1"/>
  <c r="BR9"/>
  <c r="BR68"/>
  <c r="BR64"/>
  <c r="BS65" s="1"/>
  <c r="BR60"/>
  <c r="BS61" s="1"/>
  <c r="BR56"/>
  <c r="BR52"/>
  <c r="BR38"/>
  <c r="BR30"/>
  <c r="BS30" s="1"/>
  <c r="BR22"/>
  <c r="BR14"/>
  <c r="BL65"/>
  <c r="BL57"/>
  <c r="BL49"/>
  <c r="BR70"/>
  <c r="BR46"/>
  <c r="BS46" s="1"/>
  <c r="BR74"/>
  <c r="BS74" s="1"/>
  <c r="BR48"/>
  <c r="BR39"/>
  <c r="BR35"/>
  <c r="BR31"/>
  <c r="BS32" s="1"/>
  <c r="BR27"/>
  <c r="BR23"/>
  <c r="BR19"/>
  <c r="BS19" s="1"/>
  <c r="BR15"/>
  <c r="BR11"/>
  <c r="BR7"/>
  <c r="BR33"/>
  <c r="BR47"/>
  <c r="BS47" s="1"/>
  <c r="BR75"/>
  <c r="BR71"/>
  <c r="BR66"/>
  <c r="BS66" s="1"/>
  <c r="BR40"/>
  <c r="BR36"/>
  <c r="BR32"/>
  <c r="BR28"/>
  <c r="BR24"/>
  <c r="BS25" s="1"/>
  <c r="BR20"/>
  <c r="BR16"/>
  <c r="BR12"/>
  <c r="BR8"/>
  <c r="BS8" s="1"/>
  <c r="BL45"/>
  <c r="J34" i="16"/>
  <c r="J36"/>
  <c r="BR44" i="17"/>
  <c r="BR43"/>
  <c r="BS43" s="1"/>
  <c r="BS70"/>
  <c r="BJ11"/>
  <c r="J74"/>
  <c r="J72"/>
  <c r="J70"/>
  <c r="J68"/>
  <c r="J65"/>
  <c r="J63"/>
  <c r="J61"/>
  <c r="J58"/>
  <c r="J56"/>
  <c r="J54"/>
  <c r="J52"/>
  <c r="J51"/>
  <c r="J49"/>
  <c r="J47"/>
  <c r="J45"/>
  <c r="J40"/>
  <c r="J38"/>
  <c r="J36"/>
  <c r="J32"/>
  <c r="J31"/>
  <c r="J29"/>
  <c r="J28"/>
  <c r="J26"/>
  <c r="J24"/>
  <c r="J22"/>
  <c r="J20"/>
  <c r="J17"/>
  <c r="J16"/>
  <c r="J7"/>
  <c r="B6"/>
  <c r="J11"/>
  <c r="J27"/>
  <c r="J43"/>
  <c r="J59"/>
  <c r="J75"/>
  <c r="J14"/>
  <c r="J21"/>
  <c r="J23"/>
  <c r="J30"/>
  <c r="J37"/>
  <c r="J39"/>
  <c r="J46"/>
  <c r="J53"/>
  <c r="J55"/>
  <c r="J62"/>
  <c r="J69"/>
  <c r="J71"/>
  <c r="J9"/>
  <c r="J18"/>
  <c r="J25"/>
  <c r="J34"/>
  <c r="J41"/>
  <c r="J50"/>
  <c r="J57"/>
  <c r="J66"/>
  <c r="J73"/>
  <c r="J5"/>
  <c r="J6"/>
  <c r="J19"/>
  <c r="J35"/>
  <c r="J42"/>
  <c r="J67"/>
  <c r="J74" i="16"/>
  <c r="J72"/>
  <c r="J73"/>
  <c r="J41"/>
  <c r="J40"/>
  <c r="J35"/>
  <c r="J32"/>
  <c r="J39"/>
  <c r="J37"/>
  <c r="J38"/>
  <c r="AF5" i="14"/>
  <c r="AH5" s="1"/>
  <c r="AG4"/>
  <c r="AX4"/>
  <c r="Q4"/>
  <c r="J12"/>
  <c r="Q10" s="1"/>
  <c r="J11"/>
  <c r="T5"/>
  <c r="J8"/>
  <c r="J9" s="1"/>
  <c r="Q13" s="1"/>
  <c r="U4"/>
  <c r="AJ4"/>
  <c r="P6"/>
  <c r="D12" i="15" s="1"/>
  <c r="AW6" i="14"/>
  <c r="BD4"/>
  <c r="T6"/>
  <c r="J42"/>
  <c r="K11" i="13"/>
  <c r="T73"/>
  <c r="AX67" i="12"/>
  <c r="AX62"/>
  <c r="AX56"/>
  <c r="AX50"/>
  <c r="AZ50" s="1"/>
  <c r="AX42"/>
  <c r="AX34"/>
  <c r="AY22"/>
  <c r="AY12"/>
  <c r="AY6"/>
  <c r="T68" i="13"/>
  <c r="T52"/>
  <c r="T36"/>
  <c r="T28"/>
  <c r="T12"/>
  <c r="AY67" i="12"/>
  <c r="AX59"/>
  <c r="AY53"/>
  <c r="AX47"/>
  <c r="AX39"/>
  <c r="AY26"/>
  <c r="AY18"/>
  <c r="AY9"/>
  <c r="T71" i="13"/>
  <c r="T55"/>
  <c r="T39"/>
  <c r="T23"/>
  <c r="AY64" i="12"/>
  <c r="AY60"/>
  <c r="AX57"/>
  <c r="AX55"/>
  <c r="AX52"/>
  <c r="AX48"/>
  <c r="AX44"/>
  <c r="AX40"/>
  <c r="AX36"/>
  <c r="AX32"/>
  <c r="AX28"/>
  <c r="AX24"/>
  <c r="AX20"/>
  <c r="AX14"/>
  <c r="AZ14" s="1"/>
  <c r="AX11"/>
  <c r="AX8"/>
  <c r="T72" i="13"/>
  <c r="T64"/>
  <c r="T56"/>
  <c r="T48"/>
  <c r="T40"/>
  <c r="T32"/>
  <c r="T24"/>
  <c r="T16"/>
  <c r="AY58" i="12"/>
  <c r="AX53"/>
  <c r="AY46"/>
  <c r="AY38"/>
  <c r="AY30"/>
  <c r="AX26"/>
  <c r="BA26" s="1"/>
  <c r="BB26" s="1"/>
  <c r="AX18"/>
  <c r="AZ18" s="1"/>
  <c r="AX9"/>
  <c r="BA9" s="1"/>
  <c r="BB9" s="1"/>
  <c r="T60" i="13"/>
  <c r="T44"/>
  <c r="T20"/>
  <c r="AY5" i="12"/>
  <c r="AY63"/>
  <c r="AY56"/>
  <c r="AY50"/>
  <c r="AY42"/>
  <c r="AY34"/>
  <c r="AX31"/>
  <c r="AX23"/>
  <c r="AY13"/>
  <c r="AX7"/>
  <c r="T63" i="13"/>
  <c r="T47"/>
  <c r="T31"/>
  <c r="T15"/>
  <c r="AY65" i="12"/>
  <c r="AY61"/>
  <c r="AY57"/>
  <c r="AY55"/>
  <c r="AY52"/>
  <c r="AX49"/>
  <c r="AX45"/>
  <c r="AX41"/>
  <c r="AX37"/>
  <c r="AX33"/>
  <c r="AX29"/>
  <c r="AX25"/>
  <c r="AX21"/>
  <c r="AY15"/>
  <c r="AY11"/>
  <c r="AY8"/>
  <c r="AX5"/>
  <c r="BA5" s="1"/>
  <c r="BB5" s="1"/>
  <c r="T67" i="13"/>
  <c r="T59"/>
  <c r="T51"/>
  <c r="T43"/>
  <c r="T35"/>
  <c r="T27"/>
  <c r="T19"/>
  <c r="BA11" i="12"/>
  <c r="BB11" s="1"/>
  <c r="AY66"/>
  <c r="AX65"/>
  <c r="AX64"/>
  <c r="AX63"/>
  <c r="AX61"/>
  <c r="AX60"/>
  <c r="AX58"/>
  <c r="AZ58" s="1"/>
  <c r="AY54"/>
  <c r="AY51"/>
  <c r="AX46"/>
  <c r="AY43"/>
  <c r="AX38"/>
  <c r="AZ38" s="1"/>
  <c r="AY35"/>
  <c r="AX30"/>
  <c r="AY27"/>
  <c r="AX22"/>
  <c r="AZ22" s="1"/>
  <c r="AY19"/>
  <c r="AY17"/>
  <c r="AY16"/>
  <c r="AX15"/>
  <c r="AX13"/>
  <c r="BA13" s="1"/>
  <c r="BB13" s="1"/>
  <c r="AX12"/>
  <c r="AY10"/>
  <c r="AX6"/>
  <c r="T70" i="13"/>
  <c r="T66"/>
  <c r="T62"/>
  <c r="T58"/>
  <c r="T54"/>
  <c r="T50"/>
  <c r="T46"/>
  <c r="T42"/>
  <c r="T38"/>
  <c r="T34"/>
  <c r="T30"/>
  <c r="T26"/>
  <c r="T22"/>
  <c r="T18"/>
  <c r="T14"/>
  <c r="AX66" i="12"/>
  <c r="BA66" s="1"/>
  <c r="BB66" s="1"/>
  <c r="AY62"/>
  <c r="AZ62" s="1"/>
  <c r="AY59"/>
  <c r="AX54"/>
  <c r="AX51"/>
  <c r="BA51" s="1"/>
  <c r="BB51" s="1"/>
  <c r="AY49"/>
  <c r="AY48"/>
  <c r="AY47"/>
  <c r="AY45"/>
  <c r="BA45" s="1"/>
  <c r="BB45" s="1"/>
  <c r="AY44"/>
  <c r="AX43"/>
  <c r="AY41"/>
  <c r="AY40"/>
  <c r="BA40" s="1"/>
  <c r="BB40" s="1"/>
  <c r="AY39"/>
  <c r="AY37"/>
  <c r="AY36"/>
  <c r="AX35"/>
  <c r="AZ35" s="1"/>
  <c r="BC35" s="1"/>
  <c r="AY33"/>
  <c r="AY32"/>
  <c r="AY31"/>
  <c r="AY29"/>
  <c r="BA29" s="1"/>
  <c r="BB29" s="1"/>
  <c r="AY28"/>
  <c r="AX27"/>
  <c r="AY25"/>
  <c r="AY24"/>
  <c r="BA24" s="1"/>
  <c r="BB24" s="1"/>
  <c r="AY23"/>
  <c r="AY21"/>
  <c r="AY20"/>
  <c r="AX19"/>
  <c r="AX17"/>
  <c r="AX16"/>
  <c r="AY14"/>
  <c r="AX10"/>
  <c r="AY7"/>
  <c r="T69" i="13"/>
  <c r="T65"/>
  <c r="T61"/>
  <c r="T57"/>
  <c r="T53"/>
  <c r="T49"/>
  <c r="T45"/>
  <c r="T41"/>
  <c r="T37"/>
  <c r="T33"/>
  <c r="T29"/>
  <c r="T25"/>
  <c r="T21"/>
  <c r="T17"/>
  <c r="T13"/>
  <c r="K13"/>
  <c r="K12"/>
  <c r="F4"/>
  <c r="BA34" i="12"/>
  <c r="BB34" s="1"/>
  <c r="AZ9"/>
  <c r="AU6"/>
  <c r="S11" i="13"/>
  <c r="AY4" i="12"/>
  <c r="AZ4" s="1"/>
  <c r="C38" i="13"/>
  <c r="C34"/>
  <c r="C30"/>
  <c r="C26"/>
  <c r="C22"/>
  <c r="C18"/>
  <c r="C14"/>
  <c r="C54"/>
  <c r="C50"/>
  <c r="C46"/>
  <c r="C42"/>
  <c r="C75"/>
  <c r="C71"/>
  <c r="C67"/>
  <c r="C63"/>
  <c r="C59"/>
  <c r="C90"/>
  <c r="C86"/>
  <c r="C82"/>
  <c r="C78"/>
  <c r="C93"/>
  <c r="AD45" i="12"/>
  <c r="J50" i="13"/>
  <c r="C35"/>
  <c r="C31"/>
  <c r="C27"/>
  <c r="C23"/>
  <c r="C19"/>
  <c r="C15"/>
  <c r="C11"/>
  <c r="C55"/>
  <c r="C51"/>
  <c r="C47"/>
  <c r="C43"/>
  <c r="C39"/>
  <c r="C72"/>
  <c r="C68"/>
  <c r="C64"/>
  <c r="C60"/>
  <c r="C91"/>
  <c r="C87"/>
  <c r="C83"/>
  <c r="C79"/>
  <c r="C36"/>
  <c r="C32"/>
  <c r="C28"/>
  <c r="C24"/>
  <c r="C20"/>
  <c r="C16"/>
  <c r="C12"/>
  <c r="C56"/>
  <c r="C52"/>
  <c r="C48"/>
  <c r="C44"/>
  <c r="C40"/>
  <c r="C73"/>
  <c r="C69"/>
  <c r="C65"/>
  <c r="C61"/>
  <c r="C92"/>
  <c r="C88"/>
  <c r="C84"/>
  <c r="C80"/>
  <c r="C76"/>
  <c r="AD20" i="12"/>
  <c r="J25" i="13"/>
  <c r="C37"/>
  <c r="C33"/>
  <c r="C29"/>
  <c r="C25"/>
  <c r="C21"/>
  <c r="C17"/>
  <c r="C13"/>
  <c r="C57"/>
  <c r="C53"/>
  <c r="C49"/>
  <c r="C45"/>
  <c r="C41"/>
  <c r="C74"/>
  <c r="C70"/>
  <c r="C66"/>
  <c r="C62"/>
  <c r="C58"/>
  <c r="C89"/>
  <c r="C85"/>
  <c r="C81"/>
  <c r="C77"/>
  <c r="J49"/>
  <c r="Q4" i="12"/>
  <c r="AG6"/>
  <c r="AG5"/>
  <c r="J11"/>
  <c r="J8"/>
  <c r="J9" s="1"/>
  <c r="S4"/>
  <c r="T4" s="1"/>
  <c r="AH4"/>
  <c r="AI4" s="1"/>
  <c r="P6"/>
  <c r="D12" i="13" s="1"/>
  <c r="AH5" i="12"/>
  <c r="S5"/>
  <c r="Q10"/>
  <c r="AF4"/>
  <c r="AH6"/>
  <c r="AP4" i="11"/>
  <c r="AS4" s="1"/>
  <c r="AL6"/>
  <c r="AO5"/>
  <c r="AP5" s="1"/>
  <c r="AS5" s="1"/>
  <c r="AO4"/>
  <c r="AO6"/>
  <c r="AM4"/>
  <c r="AE4"/>
  <c r="AH4" s="1"/>
  <c r="AC5"/>
  <c r="AB4"/>
  <c r="AD5"/>
  <c r="AC38"/>
  <c r="AC33"/>
  <c r="AC28"/>
  <c r="AC22"/>
  <c r="AC17"/>
  <c r="AC12"/>
  <c r="AC6"/>
  <c r="AD39"/>
  <c r="AD34"/>
  <c r="AD28"/>
  <c r="AD23"/>
  <c r="AD18"/>
  <c r="AD12"/>
  <c r="AD7"/>
  <c r="AA41"/>
  <c r="AC34"/>
  <c r="AC24"/>
  <c r="AC13"/>
  <c r="AD40"/>
  <c r="AD30"/>
  <c r="AD24"/>
  <c r="AD19"/>
  <c r="AD8"/>
  <c r="AC36"/>
  <c r="AC30"/>
  <c r="AC25"/>
  <c r="AC20"/>
  <c r="AC14"/>
  <c r="AC9"/>
  <c r="AD36"/>
  <c r="AD31"/>
  <c r="AD26"/>
  <c r="AD20"/>
  <c r="AD15"/>
  <c r="AD10"/>
  <c r="AC29"/>
  <c r="AC18"/>
  <c r="AC8"/>
  <c r="AD35"/>
  <c r="AD14"/>
  <c r="AC37"/>
  <c r="AC32"/>
  <c r="AC26"/>
  <c r="AC21"/>
  <c r="AC16"/>
  <c r="AC10"/>
  <c r="AD38"/>
  <c r="AD32"/>
  <c r="AD27"/>
  <c r="AD22"/>
  <c r="AD16"/>
  <c r="AD11"/>
  <c r="AD6"/>
  <c r="AC39"/>
  <c r="AC35"/>
  <c r="AC31"/>
  <c r="AC27"/>
  <c r="AC23"/>
  <c r="AC19"/>
  <c r="AC15"/>
  <c r="AC11"/>
  <c r="AC7"/>
  <c r="AD37"/>
  <c r="AD33"/>
  <c r="AD29"/>
  <c r="AD25"/>
  <c r="AD21"/>
  <c r="AD17"/>
  <c r="AD13"/>
  <c r="AD9"/>
  <c r="BO5"/>
  <c r="BM6"/>
  <c r="BW5"/>
  <c r="BP4"/>
  <c r="BS4" s="1"/>
  <c r="S4"/>
  <c r="BD4" s="1"/>
  <c r="BN8"/>
  <c r="BP5"/>
  <c r="BN4"/>
  <c r="S5"/>
  <c r="P6"/>
  <c r="BC6" s="1"/>
  <c r="J42"/>
  <c r="Q4"/>
  <c r="J8"/>
  <c r="J9" s="1"/>
  <c r="Q13" s="1"/>
  <c r="J11"/>
  <c r="J12"/>
  <c r="Q10" s="1"/>
  <c r="BN10" s="1"/>
  <c r="CZ7"/>
  <c r="DG7"/>
  <c r="R5"/>
  <c r="BC5"/>
  <c r="AN51" i="9"/>
  <c r="AN22"/>
  <c r="AQ52"/>
  <c r="AQ44"/>
  <c r="AQ36"/>
  <c r="AQ28"/>
  <c r="AQ20"/>
  <c r="AQ12"/>
  <c r="AN53"/>
  <c r="AN25"/>
  <c r="AQ57"/>
  <c r="AQ49"/>
  <c r="AQ41"/>
  <c r="AQ9"/>
  <c r="AN5"/>
  <c r="AN43"/>
  <c r="AN30"/>
  <c r="AN15"/>
  <c r="AQ5"/>
  <c r="AQ54"/>
  <c r="AQ50"/>
  <c r="AQ46"/>
  <c r="AQ42"/>
  <c r="AQ38"/>
  <c r="AQ34"/>
  <c r="AQ30"/>
  <c r="AQ26"/>
  <c r="AQ22"/>
  <c r="AQ18"/>
  <c r="AQ14"/>
  <c r="AQ10"/>
  <c r="AQ6"/>
  <c r="AN37"/>
  <c r="AN7"/>
  <c r="AQ56"/>
  <c r="AQ48"/>
  <c r="AQ40"/>
  <c r="AQ32"/>
  <c r="AQ24"/>
  <c r="AQ16"/>
  <c r="AQ8"/>
  <c r="AN38"/>
  <c r="AN10"/>
  <c r="AQ53"/>
  <c r="AQ45"/>
  <c r="AQ37"/>
  <c r="AQ33"/>
  <c r="AQ29"/>
  <c r="AQ25"/>
  <c r="AQ21"/>
  <c r="AQ17"/>
  <c r="AQ13"/>
  <c r="AN46"/>
  <c r="AN31"/>
  <c r="AN17"/>
  <c r="AQ55"/>
  <c r="AQ51"/>
  <c r="AQ47"/>
  <c r="AQ43"/>
  <c r="AQ39"/>
  <c r="AQ35"/>
  <c r="AQ31"/>
  <c r="AQ27"/>
  <c r="AQ23"/>
  <c r="AQ19"/>
  <c r="AQ15"/>
  <c r="AQ11"/>
  <c r="AQ7"/>
  <c r="AN54"/>
  <c r="AN47"/>
  <c r="AN41"/>
  <c r="AN33"/>
  <c r="AN26"/>
  <c r="AN19"/>
  <c r="AN11"/>
  <c r="AN57"/>
  <c r="AN49"/>
  <c r="AN42"/>
  <c r="AN35"/>
  <c r="AN27"/>
  <c r="AN21"/>
  <c r="AN14"/>
  <c r="AN55"/>
  <c r="AN50"/>
  <c r="AN45"/>
  <c r="AN39"/>
  <c r="AN34"/>
  <c r="AN29"/>
  <c r="AN23"/>
  <c r="AN18"/>
  <c r="AN13"/>
  <c r="AN6"/>
  <c r="AN56"/>
  <c r="AN52"/>
  <c r="AN48"/>
  <c r="AN44"/>
  <c r="AN40"/>
  <c r="AN36"/>
  <c r="AN32"/>
  <c r="AN28"/>
  <c r="AN24"/>
  <c r="AN20"/>
  <c r="AN16"/>
  <c r="AN12"/>
  <c r="AN8"/>
  <c r="BD112"/>
  <c r="BG112" s="1"/>
  <c r="BH112" s="1"/>
  <c r="BD104"/>
  <c r="BG104" s="1"/>
  <c r="BH104" s="1"/>
  <c r="BD96"/>
  <c r="BG96" s="1"/>
  <c r="BH96" s="1"/>
  <c r="BD88"/>
  <c r="BG88" s="1"/>
  <c r="BH88" s="1"/>
  <c r="BD80"/>
  <c r="BG80" s="1"/>
  <c r="BH80" s="1"/>
  <c r="BD72"/>
  <c r="BG72" s="1"/>
  <c r="BH72" s="1"/>
  <c r="BD64"/>
  <c r="BG64" s="1"/>
  <c r="BH64" s="1"/>
  <c r="BD56"/>
  <c r="BG56" s="1"/>
  <c r="BH56" s="1"/>
  <c r="BD48"/>
  <c r="BG48" s="1"/>
  <c r="BH48" s="1"/>
  <c r="BD40"/>
  <c r="BG40" s="1"/>
  <c r="BH40" s="1"/>
  <c r="BD32"/>
  <c r="BG32" s="1"/>
  <c r="BH32" s="1"/>
  <c r="BD24"/>
  <c r="BG24" s="1"/>
  <c r="BH24" s="1"/>
  <c r="BD16"/>
  <c r="BG16" s="1"/>
  <c r="BH16" s="1"/>
  <c r="BD8"/>
  <c r="BG8" s="1"/>
  <c r="BH8" s="1"/>
  <c r="BN71"/>
  <c r="BN68"/>
  <c r="BQ68" s="1"/>
  <c r="BR68" s="1"/>
  <c r="BN65"/>
  <c r="BQ65" s="1"/>
  <c r="BR65" s="1"/>
  <c r="BN52"/>
  <c r="BQ52" s="1"/>
  <c r="BR52" s="1"/>
  <c r="BN47"/>
  <c r="BQ47" s="1"/>
  <c r="BR47" s="1"/>
  <c r="BN36"/>
  <c r="BQ36" s="1"/>
  <c r="BR36" s="1"/>
  <c r="BN31"/>
  <c r="BQ31" s="1"/>
  <c r="BR31" s="1"/>
  <c r="BN20"/>
  <c r="BQ20" s="1"/>
  <c r="BR20" s="1"/>
  <c r="BN15"/>
  <c r="BQ15" s="1"/>
  <c r="BR15" s="1"/>
  <c r="BD107"/>
  <c r="BG107" s="1"/>
  <c r="BH107" s="1"/>
  <c r="BD99"/>
  <c r="BG99" s="1"/>
  <c r="BH99" s="1"/>
  <c r="BD91"/>
  <c r="BG91" s="1"/>
  <c r="BH91" s="1"/>
  <c r="BD83"/>
  <c r="BG83" s="1"/>
  <c r="BH83" s="1"/>
  <c r="BD75"/>
  <c r="BG75" s="1"/>
  <c r="BH75" s="1"/>
  <c r="BD67"/>
  <c r="BG67" s="1"/>
  <c r="BH67" s="1"/>
  <c r="BD59"/>
  <c r="BG59" s="1"/>
  <c r="BH59" s="1"/>
  <c r="BD51"/>
  <c r="BG51" s="1"/>
  <c r="BH51" s="1"/>
  <c r="BD43"/>
  <c r="BG43" s="1"/>
  <c r="BH43" s="1"/>
  <c r="BD35"/>
  <c r="BG35" s="1"/>
  <c r="BH35" s="1"/>
  <c r="BD27"/>
  <c r="BG27" s="1"/>
  <c r="BH27" s="1"/>
  <c r="BD19"/>
  <c r="BG19" s="1"/>
  <c r="BH19" s="1"/>
  <c r="BD11"/>
  <c r="BG11" s="1"/>
  <c r="BH11" s="1"/>
  <c r="BN61"/>
  <c r="BQ61" s="1"/>
  <c r="BR61" s="1"/>
  <c r="BN50"/>
  <c r="BQ50" s="1"/>
  <c r="BR50" s="1"/>
  <c r="BN34"/>
  <c r="BQ34" s="1"/>
  <c r="BR34" s="1"/>
  <c r="BN18"/>
  <c r="BQ18" s="1"/>
  <c r="BR18" s="1"/>
  <c r="BD108"/>
  <c r="BG108" s="1"/>
  <c r="BH108" s="1"/>
  <c r="BD100"/>
  <c r="BG100" s="1"/>
  <c r="BH100" s="1"/>
  <c r="BD92"/>
  <c r="BG92" s="1"/>
  <c r="BH92" s="1"/>
  <c r="BD84"/>
  <c r="BG84" s="1"/>
  <c r="BH84" s="1"/>
  <c r="BD76"/>
  <c r="BG76" s="1"/>
  <c r="BH76" s="1"/>
  <c r="BD68"/>
  <c r="BG68" s="1"/>
  <c r="BH68" s="1"/>
  <c r="BD60"/>
  <c r="BG60" s="1"/>
  <c r="BH60" s="1"/>
  <c r="BD52"/>
  <c r="BG52" s="1"/>
  <c r="BH52" s="1"/>
  <c r="BD44"/>
  <c r="BG44" s="1"/>
  <c r="BH44" s="1"/>
  <c r="BD36"/>
  <c r="BG36" s="1"/>
  <c r="BH36" s="1"/>
  <c r="BD28"/>
  <c r="BG28" s="1"/>
  <c r="BH28" s="1"/>
  <c r="BD20"/>
  <c r="BG20" s="1"/>
  <c r="BH20" s="1"/>
  <c r="BD12"/>
  <c r="BG12" s="1"/>
  <c r="BH12" s="1"/>
  <c r="BN64"/>
  <c r="BQ64" s="1"/>
  <c r="BR64" s="1"/>
  <c r="BN59"/>
  <c r="BN56"/>
  <c r="BQ56" s="1"/>
  <c r="BR56" s="1"/>
  <c r="BN53"/>
  <c r="BQ53" s="1"/>
  <c r="BR53" s="1"/>
  <c r="BN46"/>
  <c r="BQ46" s="1"/>
  <c r="BR46" s="1"/>
  <c r="BN43"/>
  <c r="BQ43" s="1"/>
  <c r="BR43" s="1"/>
  <c r="BN40"/>
  <c r="BQ40" s="1"/>
  <c r="BR40" s="1"/>
  <c r="BN37"/>
  <c r="BQ37" s="1"/>
  <c r="BR37" s="1"/>
  <c r="BN30"/>
  <c r="BQ30" s="1"/>
  <c r="BR30" s="1"/>
  <c r="BN27"/>
  <c r="BQ27" s="1"/>
  <c r="BR27" s="1"/>
  <c r="BN24"/>
  <c r="BQ24" s="1"/>
  <c r="BR24" s="1"/>
  <c r="BN21"/>
  <c r="BQ21" s="1"/>
  <c r="BR21" s="1"/>
  <c r="BN14"/>
  <c r="BQ14" s="1"/>
  <c r="BR14" s="1"/>
  <c r="BN11"/>
  <c r="BQ11" s="1"/>
  <c r="BR11" s="1"/>
  <c r="BN8"/>
  <c r="BQ8" s="1"/>
  <c r="BR8" s="1"/>
  <c r="BD113"/>
  <c r="BG113" s="1"/>
  <c r="BH113" s="1"/>
  <c r="BD109"/>
  <c r="BG109" s="1"/>
  <c r="BH109" s="1"/>
  <c r="BD105"/>
  <c r="BG105" s="1"/>
  <c r="BH105" s="1"/>
  <c r="BD101"/>
  <c r="BG101" s="1"/>
  <c r="BH101" s="1"/>
  <c r="BD97"/>
  <c r="BG97" s="1"/>
  <c r="BH97" s="1"/>
  <c r="BD93"/>
  <c r="BG93" s="1"/>
  <c r="BH93" s="1"/>
  <c r="BD89"/>
  <c r="BG89" s="1"/>
  <c r="BH89" s="1"/>
  <c r="BD85"/>
  <c r="BG85" s="1"/>
  <c r="BH85" s="1"/>
  <c r="BD81"/>
  <c r="BG81" s="1"/>
  <c r="BH81" s="1"/>
  <c r="BD77"/>
  <c r="BG77" s="1"/>
  <c r="BH77" s="1"/>
  <c r="BD73"/>
  <c r="BG73" s="1"/>
  <c r="BH73" s="1"/>
  <c r="BD69"/>
  <c r="BG69" s="1"/>
  <c r="BH69" s="1"/>
  <c r="BD65"/>
  <c r="BG65" s="1"/>
  <c r="BH65" s="1"/>
  <c r="BD61"/>
  <c r="BG61" s="1"/>
  <c r="BH61" s="1"/>
  <c r="BD57"/>
  <c r="BG57" s="1"/>
  <c r="BH57" s="1"/>
  <c r="BD53"/>
  <c r="BG53" s="1"/>
  <c r="BH53" s="1"/>
  <c r="BD49"/>
  <c r="BG49" s="1"/>
  <c r="BH49" s="1"/>
  <c r="BD45"/>
  <c r="BG45" s="1"/>
  <c r="BH45" s="1"/>
  <c r="BD41"/>
  <c r="BG41" s="1"/>
  <c r="BH41" s="1"/>
  <c r="BD37"/>
  <c r="BG37" s="1"/>
  <c r="BH37" s="1"/>
  <c r="BD33"/>
  <c r="BG33" s="1"/>
  <c r="BH33" s="1"/>
  <c r="BD29"/>
  <c r="BG29" s="1"/>
  <c r="BH29" s="1"/>
  <c r="BD25"/>
  <c r="BG25" s="1"/>
  <c r="BH25" s="1"/>
  <c r="BD21"/>
  <c r="BG21" s="1"/>
  <c r="BH21" s="1"/>
  <c r="BD17"/>
  <c r="BG17" s="1"/>
  <c r="BH17" s="1"/>
  <c r="BD13"/>
  <c r="BG13" s="1"/>
  <c r="BH13" s="1"/>
  <c r="BD9"/>
  <c r="BG9" s="1"/>
  <c r="BH9" s="1"/>
  <c r="BN5"/>
  <c r="BQ5" s="1"/>
  <c r="BR5" s="1"/>
  <c r="BN72"/>
  <c r="BQ72" s="1"/>
  <c r="BR72" s="1"/>
  <c r="BN70"/>
  <c r="BN67"/>
  <c r="BN60"/>
  <c r="BQ60" s="1"/>
  <c r="BR60" s="1"/>
  <c r="BN58"/>
  <c r="BQ58" s="1"/>
  <c r="BR58" s="1"/>
  <c r="BN55"/>
  <c r="BQ55" s="1"/>
  <c r="BR55" s="1"/>
  <c r="BN48"/>
  <c r="BQ48" s="1"/>
  <c r="BR48" s="1"/>
  <c r="BN45"/>
  <c r="BQ45" s="1"/>
  <c r="BR45" s="1"/>
  <c r="BN42"/>
  <c r="BQ42" s="1"/>
  <c r="BR42" s="1"/>
  <c r="BN39"/>
  <c r="BQ39" s="1"/>
  <c r="BR39" s="1"/>
  <c r="BN32"/>
  <c r="BQ32" s="1"/>
  <c r="BR32" s="1"/>
  <c r="BN29"/>
  <c r="BQ29" s="1"/>
  <c r="BR29" s="1"/>
  <c r="BN26"/>
  <c r="BQ26" s="1"/>
  <c r="BR26" s="1"/>
  <c r="BN23"/>
  <c r="BQ23" s="1"/>
  <c r="BR23" s="1"/>
  <c r="BN16"/>
  <c r="BQ16" s="1"/>
  <c r="BR16" s="1"/>
  <c r="BN13"/>
  <c r="BQ13" s="1"/>
  <c r="BR13" s="1"/>
  <c r="BN10"/>
  <c r="BQ10" s="1"/>
  <c r="BR10" s="1"/>
  <c r="BN7"/>
  <c r="BQ7" s="1"/>
  <c r="BR7" s="1"/>
  <c r="BD5"/>
  <c r="BG5" s="1"/>
  <c r="BH5" s="1"/>
  <c r="BD110"/>
  <c r="BG110" s="1"/>
  <c r="BH110" s="1"/>
  <c r="BD106"/>
  <c r="BG106" s="1"/>
  <c r="BH106" s="1"/>
  <c r="BD102"/>
  <c r="BG102" s="1"/>
  <c r="BH102" s="1"/>
  <c r="BD98"/>
  <c r="BG98" s="1"/>
  <c r="BH98" s="1"/>
  <c r="BD94"/>
  <c r="BG94" s="1"/>
  <c r="BH94" s="1"/>
  <c r="BD90"/>
  <c r="BG90" s="1"/>
  <c r="BH90" s="1"/>
  <c r="BD86"/>
  <c r="BG86" s="1"/>
  <c r="BH86" s="1"/>
  <c r="BD82"/>
  <c r="BG82" s="1"/>
  <c r="BH82" s="1"/>
  <c r="BD78"/>
  <c r="BG78" s="1"/>
  <c r="BH78" s="1"/>
  <c r="BD74"/>
  <c r="BG74" s="1"/>
  <c r="BH74" s="1"/>
  <c r="BD70"/>
  <c r="BG70" s="1"/>
  <c r="BH70" s="1"/>
  <c r="BD66"/>
  <c r="BG66" s="1"/>
  <c r="BH66" s="1"/>
  <c r="BD62"/>
  <c r="BG62" s="1"/>
  <c r="BH62" s="1"/>
  <c r="BD58"/>
  <c r="BG58" s="1"/>
  <c r="BH58" s="1"/>
  <c r="BD54"/>
  <c r="BG54" s="1"/>
  <c r="BH54" s="1"/>
  <c r="BD50"/>
  <c r="BG50" s="1"/>
  <c r="BH50" s="1"/>
  <c r="BD46"/>
  <c r="BG46" s="1"/>
  <c r="BH46" s="1"/>
  <c r="BD42"/>
  <c r="BG42" s="1"/>
  <c r="BH42" s="1"/>
  <c r="BD38"/>
  <c r="BG38" s="1"/>
  <c r="BH38" s="1"/>
  <c r="BD34"/>
  <c r="BG34" s="1"/>
  <c r="BH34" s="1"/>
  <c r="BD30"/>
  <c r="BG30" s="1"/>
  <c r="BH30" s="1"/>
  <c r="BD26"/>
  <c r="BG26" s="1"/>
  <c r="BH26" s="1"/>
  <c r="BD22"/>
  <c r="BG22" s="1"/>
  <c r="BH22" s="1"/>
  <c r="BD18"/>
  <c r="BG18" s="1"/>
  <c r="BH18" s="1"/>
  <c r="BD14"/>
  <c r="BG14" s="1"/>
  <c r="BH14" s="1"/>
  <c r="BD10"/>
  <c r="BG10" s="1"/>
  <c r="BH10" s="1"/>
  <c r="BD6"/>
  <c r="BG6" s="1"/>
  <c r="BH6" s="1"/>
  <c r="BN69"/>
  <c r="BQ69" s="1"/>
  <c r="BR69" s="1"/>
  <c r="BN66"/>
  <c r="BQ66" s="1"/>
  <c r="BR66" s="1"/>
  <c r="BN63"/>
  <c r="BQ63" s="1"/>
  <c r="BR63" s="1"/>
  <c r="BN57"/>
  <c r="BQ57" s="1"/>
  <c r="BR57" s="1"/>
  <c r="BN54"/>
  <c r="BQ54" s="1"/>
  <c r="BR54" s="1"/>
  <c r="BN51"/>
  <c r="BQ51" s="1"/>
  <c r="BR51" s="1"/>
  <c r="BN44"/>
  <c r="BQ44" s="1"/>
  <c r="BR44" s="1"/>
  <c r="BN41"/>
  <c r="BQ41" s="1"/>
  <c r="BR41" s="1"/>
  <c r="BN38"/>
  <c r="BQ38" s="1"/>
  <c r="BR38" s="1"/>
  <c r="BN35"/>
  <c r="BQ35" s="1"/>
  <c r="BR35" s="1"/>
  <c r="BN28"/>
  <c r="BQ28" s="1"/>
  <c r="BR28" s="1"/>
  <c r="BN25"/>
  <c r="BQ25" s="1"/>
  <c r="BR25" s="1"/>
  <c r="BN22"/>
  <c r="BQ22" s="1"/>
  <c r="BR22" s="1"/>
  <c r="BN19"/>
  <c r="BQ19" s="1"/>
  <c r="BR19" s="1"/>
  <c r="BN12"/>
  <c r="BQ12" s="1"/>
  <c r="BR12" s="1"/>
  <c r="BN9"/>
  <c r="BQ9" s="1"/>
  <c r="BR9" s="1"/>
  <c r="O41"/>
  <c r="BQ70"/>
  <c r="BR70" s="1"/>
  <c r="BQ59"/>
  <c r="BR59" s="1"/>
  <c r="BQ71"/>
  <c r="BR71" s="1"/>
  <c r="BQ67"/>
  <c r="BR67" s="1"/>
  <c r="X7"/>
  <c r="W6"/>
  <c r="V7"/>
  <c r="X5"/>
  <c r="AB5" s="1"/>
  <c r="AC5" s="1"/>
  <c r="X6"/>
  <c r="AB6" s="1"/>
  <c r="AC6" s="1"/>
  <c r="AG81" i="10"/>
  <c r="AG49"/>
  <c r="AS49" s="1"/>
  <c r="AG4"/>
  <c r="AS4" s="1"/>
  <c r="AG73"/>
  <c r="AS73" s="1"/>
  <c r="AG57"/>
  <c r="AT57" s="1"/>
  <c r="AG41"/>
  <c r="AS41" s="1"/>
  <c r="AG25"/>
  <c r="AT25" s="1"/>
  <c r="AG9"/>
  <c r="AG77"/>
  <c r="AS77" s="1"/>
  <c r="AG61"/>
  <c r="AT61" s="1"/>
  <c r="AG45"/>
  <c r="AS45" s="1"/>
  <c r="AG29"/>
  <c r="AS29" s="1"/>
  <c r="AG13"/>
  <c r="AT13" s="1"/>
  <c r="AG65"/>
  <c r="AT65" s="1"/>
  <c r="AG33"/>
  <c r="AS33" s="1"/>
  <c r="AG17"/>
  <c r="AG85"/>
  <c r="AS85" s="1"/>
  <c r="AG69"/>
  <c r="AT69" s="1"/>
  <c r="AG53"/>
  <c r="AG37"/>
  <c r="AT37" s="1"/>
  <c r="AG21"/>
  <c r="AG5"/>
  <c r="AT5" s="1"/>
  <c r="AT33"/>
  <c r="AS37"/>
  <c r="AS9"/>
  <c r="AT45"/>
  <c r="AT8"/>
  <c r="AG86"/>
  <c r="AG78"/>
  <c r="AG66"/>
  <c r="AG58"/>
  <c r="AG50"/>
  <c r="AG42"/>
  <c r="AG34"/>
  <c r="AG26"/>
  <c r="AG18"/>
  <c r="AG10"/>
  <c r="AG87"/>
  <c r="AG83"/>
  <c r="AG79"/>
  <c r="AG75"/>
  <c r="AG71"/>
  <c r="AG67"/>
  <c r="AG63"/>
  <c r="AG59"/>
  <c r="AG55"/>
  <c r="AG51"/>
  <c r="AG47"/>
  <c r="AG43"/>
  <c r="AG39"/>
  <c r="AG35"/>
  <c r="AG31"/>
  <c r="AG27"/>
  <c r="AG23"/>
  <c r="AG19"/>
  <c r="AG15"/>
  <c r="AG11"/>
  <c r="AG7"/>
  <c r="AG82"/>
  <c r="AG74"/>
  <c r="AG70"/>
  <c r="AG62"/>
  <c r="AG54"/>
  <c r="AG46"/>
  <c r="AG38"/>
  <c r="AG30"/>
  <c r="AG22"/>
  <c r="AG14"/>
  <c r="AG6"/>
  <c r="AG88"/>
  <c r="AG84"/>
  <c r="AG80"/>
  <c r="AG76"/>
  <c r="AG72"/>
  <c r="AG68"/>
  <c r="AG64"/>
  <c r="AG60"/>
  <c r="AG56"/>
  <c r="AG52"/>
  <c r="AG48"/>
  <c r="AG44"/>
  <c r="AG40"/>
  <c r="AG36"/>
  <c r="AG32"/>
  <c r="AG28"/>
  <c r="AG24"/>
  <c r="AG20"/>
  <c r="AG16"/>
  <c r="AG12"/>
  <c r="T12"/>
  <c r="T13"/>
  <c r="T11"/>
  <c r="T10"/>
  <c r="X4"/>
  <c r="W7"/>
  <c r="X6"/>
  <c r="G16"/>
  <c r="S37"/>
  <c r="S54" s="1"/>
  <c r="X5"/>
  <c r="T10" i="9"/>
  <c r="T12"/>
  <c r="T9"/>
  <c r="T11"/>
  <c r="S38"/>
  <c r="S31"/>
  <c r="S32" s="1"/>
  <c r="S27"/>
  <c r="S9"/>
  <c r="S10"/>
  <c r="S11"/>
  <c r="S12"/>
  <c r="BS20" i="17" l="1"/>
  <c r="BS22"/>
  <c r="BS9"/>
  <c r="BS72"/>
  <c r="BS31"/>
  <c r="BS41"/>
  <c r="BS17"/>
  <c r="BS37"/>
  <c r="BS42"/>
  <c r="BS23"/>
  <c r="BS28"/>
  <c r="BS7"/>
  <c r="BS21"/>
  <c r="BS24"/>
  <c r="BS40"/>
  <c r="BS60"/>
  <c r="BS77"/>
  <c r="BS50"/>
  <c r="BS26"/>
  <c r="BS29"/>
  <c r="BS27"/>
  <c r="BS55"/>
  <c r="BS75"/>
  <c r="BS15"/>
  <c r="BS16"/>
  <c r="BS10"/>
  <c r="BS56"/>
  <c r="BS11"/>
  <c r="BS12"/>
  <c r="BS13"/>
  <c r="AI5" i="14"/>
  <c r="BS76" i="17"/>
  <c r="BS71"/>
  <c r="BS69"/>
  <c r="BS68"/>
  <c r="BS67"/>
  <c r="BS64"/>
  <c r="BS63"/>
  <c r="BS62"/>
  <c r="BS59"/>
  <c r="BS58"/>
  <c r="BS57"/>
  <c r="BS54"/>
  <c r="BS53"/>
  <c r="BS52"/>
  <c r="BS49"/>
  <c r="BS48"/>
  <c r="BS45"/>
  <c r="BS44"/>
  <c r="BS35"/>
  <c r="BS36"/>
  <c r="BS33"/>
  <c r="BS34"/>
  <c r="BS39"/>
  <c r="BS38"/>
  <c r="BJ12"/>
  <c r="B7"/>
  <c r="F6"/>
  <c r="K11" i="15"/>
  <c r="AF6" i="14"/>
  <c r="AI6" s="1"/>
  <c r="BB4"/>
  <c r="BC4" s="1"/>
  <c r="BE4" s="1"/>
  <c r="BH4" s="1"/>
  <c r="AK5"/>
  <c r="AL5" s="1"/>
  <c r="AK4"/>
  <c r="AL4" s="1"/>
  <c r="X4"/>
  <c r="BB5"/>
  <c r="BC5" s="1"/>
  <c r="AM4"/>
  <c r="L10" i="15" s="1"/>
  <c r="BE5" i="14"/>
  <c r="BH5" s="1"/>
  <c r="BJ5" s="1"/>
  <c r="BK5" s="1"/>
  <c r="J43"/>
  <c r="AJ5"/>
  <c r="P7"/>
  <c r="D13" i="15" s="1"/>
  <c r="Y4" i="14"/>
  <c r="E10" i="15" s="1"/>
  <c r="U5" i="14"/>
  <c r="W5"/>
  <c r="X5" s="1"/>
  <c r="AZ6"/>
  <c r="AW7"/>
  <c r="AY6"/>
  <c r="AZ8" i="12"/>
  <c r="BC8" s="1"/>
  <c r="U14" i="13" s="1"/>
  <c r="AZ34" i="12"/>
  <c r="BC34" s="1"/>
  <c r="AZ26"/>
  <c r="BC26" s="1"/>
  <c r="U32" i="13" s="1"/>
  <c r="BA6" i="12"/>
  <c r="BB6" s="1"/>
  <c r="AZ43"/>
  <c r="BC43" s="1"/>
  <c r="U49" i="13" s="1"/>
  <c r="AZ46" i="12"/>
  <c r="BC46" s="1"/>
  <c r="U52" i="13" s="1"/>
  <c r="AZ37" i="12"/>
  <c r="BA33"/>
  <c r="BB33" s="1"/>
  <c r="AZ44"/>
  <c r="BC44" s="1"/>
  <c r="U50" i="13" s="1"/>
  <c r="BA49" i="12"/>
  <c r="BB49" s="1"/>
  <c r="BA61"/>
  <c r="BB61" s="1"/>
  <c r="AZ7"/>
  <c r="BC7" s="1"/>
  <c r="U13" i="13" s="1"/>
  <c r="BA58" i="12"/>
  <c r="BB58" s="1"/>
  <c r="BA39"/>
  <c r="BB39" s="1"/>
  <c r="BA56"/>
  <c r="BB56" s="1"/>
  <c r="AZ21"/>
  <c r="BC21" s="1"/>
  <c r="T74" i="13"/>
  <c r="BA10" i="12"/>
  <c r="BB10" s="1"/>
  <c r="AZ6"/>
  <c r="BC6" s="1"/>
  <c r="U12" i="13" s="1"/>
  <c r="AY68" i="12"/>
  <c r="BA55"/>
  <c r="BB55" s="1"/>
  <c r="BA22"/>
  <c r="BB22" s="1"/>
  <c r="BA7"/>
  <c r="BB7" s="1"/>
  <c r="BA52"/>
  <c r="BB52" s="1"/>
  <c r="BA32"/>
  <c r="BB32" s="1"/>
  <c r="BA48"/>
  <c r="BB48" s="1"/>
  <c r="AZ59"/>
  <c r="BC59" s="1"/>
  <c r="U65" i="13" s="1"/>
  <c r="AZ30" i="12"/>
  <c r="BC30" s="1"/>
  <c r="AZ56"/>
  <c r="BC56" s="1"/>
  <c r="U62" i="13" s="1"/>
  <c r="AZ23" i="12"/>
  <c r="BC23" s="1"/>
  <c r="BD23" s="1"/>
  <c r="BG23" s="1"/>
  <c r="BA50"/>
  <c r="BB50" s="1"/>
  <c r="BA46"/>
  <c r="BB46" s="1"/>
  <c r="AZ11"/>
  <c r="BC11" s="1"/>
  <c r="BD11" s="1"/>
  <c r="BG11" s="1"/>
  <c r="W17" i="13" s="1"/>
  <c r="AZ28" i="12"/>
  <c r="BC28" s="1"/>
  <c r="U34" i="13" s="1"/>
  <c r="AZ57" i="12"/>
  <c r="BC57" s="1"/>
  <c r="U63" i="13" s="1"/>
  <c r="BA53" i="12"/>
  <c r="BB53" s="1"/>
  <c r="BA42"/>
  <c r="BB42" s="1"/>
  <c r="AZ67"/>
  <c r="BC67" s="1"/>
  <c r="U73" i="13" s="1"/>
  <c r="AZ39" i="12"/>
  <c r="BC39" s="1"/>
  <c r="U45" i="13" s="1"/>
  <c r="AZ10" i="12"/>
  <c r="BC10" s="1"/>
  <c r="U16" i="13" s="1"/>
  <c r="AZ29" i="12"/>
  <c r="BA14"/>
  <c r="BB14" s="1"/>
  <c r="BA20"/>
  <c r="BB20" s="1"/>
  <c r="BA25"/>
  <c r="BB25" s="1"/>
  <c r="AZ31"/>
  <c r="BC31" s="1"/>
  <c r="BA36"/>
  <c r="BB36" s="1"/>
  <c r="BA41"/>
  <c r="BB41" s="1"/>
  <c r="BA54"/>
  <c r="BB54" s="1"/>
  <c r="AX68"/>
  <c r="AZ13"/>
  <c r="BA8"/>
  <c r="BB8" s="1"/>
  <c r="BD8" s="1"/>
  <c r="BG8" s="1"/>
  <c r="W14" i="13" s="1"/>
  <c r="AZ40" i="12"/>
  <c r="BC40" s="1"/>
  <c r="U46" i="13" s="1"/>
  <c r="AZ55" i="12"/>
  <c r="BC55" s="1"/>
  <c r="U61" i="13" s="1"/>
  <c r="AZ47" i="12"/>
  <c r="BC47" s="1"/>
  <c r="U53" i="13" s="1"/>
  <c r="BA62" i="12"/>
  <c r="BB62" s="1"/>
  <c r="AZ45"/>
  <c r="BC45" s="1"/>
  <c r="U51" i="13" s="1"/>
  <c r="BA28" i="12"/>
  <c r="BB28" s="1"/>
  <c r="BA44"/>
  <c r="BB44" s="1"/>
  <c r="BA57"/>
  <c r="BB57" s="1"/>
  <c r="BD57" s="1"/>
  <c r="BG57" s="1"/>
  <c r="W63" i="13" s="1"/>
  <c r="AZ52" i="12"/>
  <c r="BC52" s="1"/>
  <c r="U58" i="13" s="1"/>
  <c r="BA38" i="12"/>
  <c r="BB38" s="1"/>
  <c r="BA18"/>
  <c r="BB18" s="1"/>
  <c r="AZ61"/>
  <c r="BC61" s="1"/>
  <c r="U67" i="13" s="1"/>
  <c r="AZ5" i="12"/>
  <c r="BC5" s="1"/>
  <c r="AZ42"/>
  <c r="BA21"/>
  <c r="BB21" s="1"/>
  <c r="AZ27"/>
  <c r="BC27" s="1"/>
  <c r="U33" i="13" s="1"/>
  <c r="BA37" i="12"/>
  <c r="BB37" s="1"/>
  <c r="AZ65"/>
  <c r="BC65" s="1"/>
  <c r="U71" i="13" s="1"/>
  <c r="BA67" i="12"/>
  <c r="BB67" s="1"/>
  <c r="BD67" s="1"/>
  <c r="BG67" s="1"/>
  <c r="BH67" s="1"/>
  <c r="BA23"/>
  <c r="BB23" s="1"/>
  <c r="AZ66"/>
  <c r="BC66" s="1"/>
  <c r="U72" i="13" s="1"/>
  <c r="BA35" i="12"/>
  <c r="BB35" s="1"/>
  <c r="BD35" s="1"/>
  <c r="BG35" s="1"/>
  <c r="AZ53"/>
  <c r="BC53" s="1"/>
  <c r="U59" i="13" s="1"/>
  <c r="BA47" i="12"/>
  <c r="BB47" s="1"/>
  <c r="AZ54"/>
  <c r="BC54" s="1"/>
  <c r="AZ17"/>
  <c r="BC17" s="1"/>
  <c r="U23" i="13" s="1"/>
  <c r="BA65" i="12"/>
  <c r="BB65" s="1"/>
  <c r="U37" i="13"/>
  <c r="U17"/>
  <c r="BA12" i="12"/>
  <c r="BB12" s="1"/>
  <c r="AZ12"/>
  <c r="BC12" s="1"/>
  <c r="AZ19"/>
  <c r="BC19" s="1"/>
  <c r="BA19"/>
  <c r="BB19" s="1"/>
  <c r="U41" i="13"/>
  <c r="AZ15" i="12"/>
  <c r="BC15" s="1"/>
  <c r="U21" i="13" s="1"/>
  <c r="BA15" i="12"/>
  <c r="BB15" s="1"/>
  <c r="BA60"/>
  <c r="BB60" s="1"/>
  <c r="AZ60"/>
  <c r="BC60" s="1"/>
  <c r="U66" i="13" s="1"/>
  <c r="AZ48" i="12"/>
  <c r="BC48" s="1"/>
  <c r="U54" i="13" s="1"/>
  <c r="BA59" i="12"/>
  <c r="BB59" s="1"/>
  <c r="BA30"/>
  <c r="BB30" s="1"/>
  <c r="BA17"/>
  <c r="BB17" s="1"/>
  <c r="BD55"/>
  <c r="BG55" s="1"/>
  <c r="BH55" s="1"/>
  <c r="AZ51"/>
  <c r="BC51" s="1"/>
  <c r="BD51" s="1"/>
  <c r="BG51" s="1"/>
  <c r="AZ32"/>
  <c r="BC32" s="1"/>
  <c r="U38" i="13" s="1"/>
  <c r="AZ36" i="12"/>
  <c r="BC36" s="1"/>
  <c r="U42" i="13" s="1"/>
  <c r="AZ49" i="12"/>
  <c r="BC49" s="1"/>
  <c r="BA16"/>
  <c r="BB16" s="1"/>
  <c r="AZ16"/>
  <c r="BC16" s="1"/>
  <c r="U22" i="13" s="1"/>
  <c r="AZ63" i="12"/>
  <c r="BC63" s="1"/>
  <c r="BA63"/>
  <c r="BB63" s="1"/>
  <c r="AX69"/>
  <c r="AY69"/>
  <c r="T75" i="13"/>
  <c r="BA64" i="12"/>
  <c r="BB64" s="1"/>
  <c r="BD64" s="1"/>
  <c r="BG64" s="1"/>
  <c r="W70" i="13" s="1"/>
  <c r="AZ64" i="12"/>
  <c r="BC64" s="1"/>
  <c r="U70" i="13" s="1"/>
  <c r="AZ25" i="12"/>
  <c r="BC25" s="1"/>
  <c r="AZ41"/>
  <c r="BC41" s="1"/>
  <c r="BA27"/>
  <c r="BB27" s="1"/>
  <c r="BA43"/>
  <c r="BB43" s="1"/>
  <c r="BA31"/>
  <c r="BB31" s="1"/>
  <c r="AZ24"/>
  <c r="BC24" s="1"/>
  <c r="U30" i="13" s="1"/>
  <c r="AZ20" i="12"/>
  <c r="BC20" s="1"/>
  <c r="AZ33"/>
  <c r="BC33" s="1"/>
  <c r="K14" i="13"/>
  <c r="BC37" i="12"/>
  <c r="U43" i="13" s="1"/>
  <c r="BC58" i="12"/>
  <c r="U64" i="13" s="1"/>
  <c r="BC18" i="12"/>
  <c r="U24" i="13" s="1"/>
  <c r="BC29" i="12"/>
  <c r="U35" i="13" s="1"/>
  <c r="BC62" i="12"/>
  <c r="U68" i="13" s="1"/>
  <c r="BC9" i="12"/>
  <c r="U15" i="13" s="1"/>
  <c r="BC13" i="12"/>
  <c r="U19" i="13" s="1"/>
  <c r="BC42" i="12"/>
  <c r="U48" i="13" s="1"/>
  <c r="BC38" i="12"/>
  <c r="U44" i="13" s="1"/>
  <c r="BC14" i="12"/>
  <c r="U20" i="13" s="1"/>
  <c r="BC22" i="12"/>
  <c r="U28" i="13" s="1"/>
  <c r="BC50" i="12"/>
  <c r="U56" i="13" s="1"/>
  <c r="BC4" i="12"/>
  <c r="W4"/>
  <c r="E10" i="13" s="1"/>
  <c r="AD21" i="12"/>
  <c r="J26" i="13"/>
  <c r="AU7" i="12"/>
  <c r="S12" i="13"/>
  <c r="AL4" i="12"/>
  <c r="L10" i="13" s="1"/>
  <c r="U5" i="12"/>
  <c r="V5" s="1"/>
  <c r="AD46"/>
  <c r="J51" i="13"/>
  <c r="AI5" i="12"/>
  <c r="AL5" s="1"/>
  <c r="L11" i="13" s="1"/>
  <c r="AI6" i="12"/>
  <c r="P7"/>
  <c r="D13" i="13" s="1"/>
  <c r="R6" i="12"/>
  <c r="Q13"/>
  <c r="AJ6"/>
  <c r="AK6" s="1"/>
  <c r="AJ4"/>
  <c r="AK4" s="1"/>
  <c r="AJ5"/>
  <c r="AK5" s="1"/>
  <c r="U4"/>
  <c r="V4" s="1"/>
  <c r="T5"/>
  <c r="W5" s="1"/>
  <c r="E11" i="13" s="1"/>
  <c r="F11" s="1"/>
  <c r="BA4" i="12"/>
  <c r="BB4" s="1"/>
  <c r="S6"/>
  <c r="J43"/>
  <c r="AE8" i="11"/>
  <c r="AH8" s="1"/>
  <c r="AL7"/>
  <c r="AN6"/>
  <c r="AP6" s="1"/>
  <c r="AS6" s="1"/>
  <c r="AF4"/>
  <c r="AG4" s="1"/>
  <c r="AI4" s="1"/>
  <c r="AQ4"/>
  <c r="AR4" s="1"/>
  <c r="AT4" s="1"/>
  <c r="AQ5"/>
  <c r="AR5" s="1"/>
  <c r="AT5" s="1"/>
  <c r="AF5"/>
  <c r="AG5" s="1"/>
  <c r="AF24"/>
  <c r="AG24" s="1"/>
  <c r="AF10"/>
  <c r="AG10" s="1"/>
  <c r="AF28"/>
  <c r="AG28" s="1"/>
  <c r="AE5"/>
  <c r="AH5" s="1"/>
  <c r="AF40"/>
  <c r="AG40" s="1"/>
  <c r="AE22"/>
  <c r="AH22" s="1"/>
  <c r="AE32"/>
  <c r="AH32" s="1"/>
  <c r="AF36"/>
  <c r="AG36" s="1"/>
  <c r="AE6"/>
  <c r="AH6" s="1"/>
  <c r="AE16"/>
  <c r="AH16" s="1"/>
  <c r="AF18"/>
  <c r="AG18" s="1"/>
  <c r="AF20"/>
  <c r="AG20" s="1"/>
  <c r="AF30"/>
  <c r="AG30" s="1"/>
  <c r="AF12"/>
  <c r="AG12" s="1"/>
  <c r="AF17"/>
  <c r="AG17" s="1"/>
  <c r="AF38"/>
  <c r="AG38" s="1"/>
  <c r="AE26"/>
  <c r="AH26" s="1"/>
  <c r="AE21"/>
  <c r="AH21" s="1"/>
  <c r="AF33"/>
  <c r="AG33" s="1"/>
  <c r="AE37"/>
  <c r="AH37" s="1"/>
  <c r="AE33"/>
  <c r="AH33" s="1"/>
  <c r="AE29"/>
  <c r="AH29" s="1"/>
  <c r="AE9"/>
  <c r="AH9" s="1"/>
  <c r="AF25"/>
  <c r="AG25" s="1"/>
  <c r="AE14"/>
  <c r="AH14" s="1"/>
  <c r="AE34"/>
  <c r="AH34" s="1"/>
  <c r="AE38"/>
  <c r="AH38" s="1"/>
  <c r="AF13"/>
  <c r="AG13" s="1"/>
  <c r="AF26"/>
  <c r="AG26" s="1"/>
  <c r="AI26" s="1"/>
  <c r="AD41"/>
  <c r="AC41"/>
  <c r="AE24"/>
  <c r="AH24" s="1"/>
  <c r="AE30"/>
  <c r="AH30" s="1"/>
  <c r="AI30" s="1"/>
  <c r="AF37"/>
  <c r="AG37" s="1"/>
  <c r="AE12"/>
  <c r="AH12" s="1"/>
  <c r="AF21"/>
  <c r="AG21" s="1"/>
  <c r="AE17"/>
  <c r="AH17" s="1"/>
  <c r="AE18"/>
  <c r="AH18" s="1"/>
  <c r="AE13"/>
  <c r="AH13" s="1"/>
  <c r="AF16"/>
  <c r="AG16" s="1"/>
  <c r="AE20"/>
  <c r="AH20" s="1"/>
  <c r="AF8"/>
  <c r="AG8" s="1"/>
  <c r="AF6"/>
  <c r="AG6" s="1"/>
  <c r="AE28"/>
  <c r="AH28" s="1"/>
  <c r="AE10"/>
  <c r="AH10" s="1"/>
  <c r="AF32"/>
  <c r="AG32" s="1"/>
  <c r="AF14"/>
  <c r="AG14" s="1"/>
  <c r="AE36"/>
  <c r="AH36" s="1"/>
  <c r="AI36" s="1"/>
  <c r="AF34"/>
  <c r="AG34" s="1"/>
  <c r="AF22"/>
  <c r="AG22" s="1"/>
  <c r="AI22" s="1"/>
  <c r="AE40"/>
  <c r="AH40" s="1"/>
  <c r="AE19"/>
  <c r="AH19" s="1"/>
  <c r="AF19"/>
  <c r="AG19" s="1"/>
  <c r="AE35"/>
  <c r="AH35" s="1"/>
  <c r="AF35"/>
  <c r="AG35" s="1"/>
  <c r="AF15"/>
  <c r="AG15" s="1"/>
  <c r="AE15"/>
  <c r="AH15" s="1"/>
  <c r="AF31"/>
  <c r="AG31" s="1"/>
  <c r="AE31"/>
  <c r="AH31" s="1"/>
  <c r="AE25"/>
  <c r="AH25" s="1"/>
  <c r="AF29"/>
  <c r="AG29" s="1"/>
  <c r="AF7"/>
  <c r="AG7" s="1"/>
  <c r="AE7"/>
  <c r="AH7" s="1"/>
  <c r="AF23"/>
  <c r="AG23" s="1"/>
  <c r="AE23"/>
  <c r="AH23" s="1"/>
  <c r="AF39"/>
  <c r="AG39" s="1"/>
  <c r="AE39"/>
  <c r="AH39" s="1"/>
  <c r="AE11"/>
  <c r="AH11" s="1"/>
  <c r="AF11"/>
  <c r="AG11" s="1"/>
  <c r="AE27"/>
  <c r="AH27" s="1"/>
  <c r="AF27"/>
  <c r="AG27" s="1"/>
  <c r="AF9"/>
  <c r="AG9" s="1"/>
  <c r="BD5"/>
  <c r="DG8"/>
  <c r="T5"/>
  <c r="W5" s="1"/>
  <c r="P7"/>
  <c r="CZ9" s="1"/>
  <c r="T4"/>
  <c r="W4" s="1"/>
  <c r="U4"/>
  <c r="V4" s="1"/>
  <c r="BS5"/>
  <c r="DB6"/>
  <c r="BY6"/>
  <c r="BY4"/>
  <c r="BZ4" s="1"/>
  <c r="BY5"/>
  <c r="BZ5" s="1"/>
  <c r="BM7"/>
  <c r="BY7" s="1"/>
  <c r="BW6"/>
  <c r="BO6"/>
  <c r="BQ5"/>
  <c r="BR5" s="1"/>
  <c r="BP6"/>
  <c r="BQ4"/>
  <c r="BR4" s="1"/>
  <c r="BT4" s="1"/>
  <c r="S6"/>
  <c r="BD6" s="1"/>
  <c r="R6"/>
  <c r="CZ8"/>
  <c r="DB7"/>
  <c r="U5"/>
  <c r="DC6"/>
  <c r="J43"/>
  <c r="BF5"/>
  <c r="BG5" s="1"/>
  <c r="BH5" s="1"/>
  <c r="BF4"/>
  <c r="BG4" s="1"/>
  <c r="BH4" s="1"/>
  <c r="BF6"/>
  <c r="S7"/>
  <c r="AH7" i="9"/>
  <c r="AI7" s="1"/>
  <c r="AH11"/>
  <c r="AI11" s="1"/>
  <c r="AH15"/>
  <c r="AI15" s="1"/>
  <c r="AH19"/>
  <c r="AI19" s="1"/>
  <c r="AH23"/>
  <c r="AI23" s="1"/>
  <c r="AH27"/>
  <c r="AI27" s="1"/>
  <c r="AH31"/>
  <c r="AI31" s="1"/>
  <c r="AH35"/>
  <c r="AI35" s="1"/>
  <c r="AH39"/>
  <c r="AI39" s="1"/>
  <c r="AH43"/>
  <c r="AI43" s="1"/>
  <c r="AH47"/>
  <c r="AI47" s="1"/>
  <c r="AH51"/>
  <c r="AI51" s="1"/>
  <c r="AH55"/>
  <c r="AI55" s="1"/>
  <c r="AH13"/>
  <c r="AI13" s="1"/>
  <c r="AH21"/>
  <c r="AI21" s="1"/>
  <c r="AH29"/>
  <c r="AI29" s="1"/>
  <c r="AH37"/>
  <c r="AI37" s="1"/>
  <c r="AH45"/>
  <c r="AI45" s="1"/>
  <c r="AH53"/>
  <c r="AI53" s="1"/>
  <c r="AH8"/>
  <c r="AI8" s="1"/>
  <c r="AH16"/>
  <c r="AI16" s="1"/>
  <c r="AH24"/>
  <c r="AI24" s="1"/>
  <c r="AH32"/>
  <c r="AI32" s="1"/>
  <c r="AH40"/>
  <c r="AI40" s="1"/>
  <c r="AH48"/>
  <c r="AI48" s="1"/>
  <c r="AH56"/>
  <c r="AI56" s="1"/>
  <c r="AH6"/>
  <c r="AI6" s="1"/>
  <c r="AH10"/>
  <c r="AI10" s="1"/>
  <c r="AH14"/>
  <c r="AI14" s="1"/>
  <c r="AH18"/>
  <c r="AI18" s="1"/>
  <c r="AH22"/>
  <c r="AI22" s="1"/>
  <c r="AH26"/>
  <c r="AI26" s="1"/>
  <c r="AH30"/>
  <c r="AI30" s="1"/>
  <c r="AH34"/>
  <c r="AI34" s="1"/>
  <c r="AH38"/>
  <c r="AI38" s="1"/>
  <c r="AH42"/>
  <c r="AI42" s="1"/>
  <c r="AH46"/>
  <c r="AI46" s="1"/>
  <c r="AH50"/>
  <c r="AI50" s="1"/>
  <c r="AH54"/>
  <c r="AI54" s="1"/>
  <c r="AH5"/>
  <c r="AI5" s="1"/>
  <c r="AH9"/>
  <c r="AI9" s="1"/>
  <c r="AH17"/>
  <c r="AI17" s="1"/>
  <c r="AH25"/>
  <c r="AI25" s="1"/>
  <c r="AH33"/>
  <c r="AI33" s="1"/>
  <c r="AH41"/>
  <c r="AI41" s="1"/>
  <c r="AH49"/>
  <c r="AI49" s="1"/>
  <c r="AH57"/>
  <c r="AI57" s="1"/>
  <c r="AH12"/>
  <c r="AI12" s="1"/>
  <c r="AH20"/>
  <c r="AI20" s="1"/>
  <c r="AH28"/>
  <c r="AI28" s="1"/>
  <c r="AH36"/>
  <c r="AI36" s="1"/>
  <c r="AH44"/>
  <c r="AI44" s="1"/>
  <c r="AH52"/>
  <c r="AI52" s="1"/>
  <c r="BO61"/>
  <c r="BP61" s="1"/>
  <c r="BS61" s="1"/>
  <c r="BO23"/>
  <c r="BP23" s="1"/>
  <c r="BS23" s="1"/>
  <c r="BO59"/>
  <c r="BP59" s="1"/>
  <c r="BS59" s="1"/>
  <c r="BO33"/>
  <c r="BP33" s="1"/>
  <c r="BS33" s="1"/>
  <c r="BO50"/>
  <c r="BP50" s="1"/>
  <c r="BS50" s="1"/>
  <c r="BO7"/>
  <c r="BP7" s="1"/>
  <c r="BS7" s="1"/>
  <c r="BO55"/>
  <c r="BP55" s="1"/>
  <c r="BS55" s="1"/>
  <c r="BO17"/>
  <c r="BP17" s="1"/>
  <c r="BS17" s="1"/>
  <c r="BO38"/>
  <c r="BP38" s="1"/>
  <c r="BS38" s="1"/>
  <c r="BO35"/>
  <c r="BP35" s="1"/>
  <c r="BS35" s="1"/>
  <c r="BO67"/>
  <c r="BP67" s="1"/>
  <c r="BS67" s="1"/>
  <c r="BO69"/>
  <c r="BP69" s="1"/>
  <c r="BS69" s="1"/>
  <c r="BO37"/>
  <c r="BP37" s="1"/>
  <c r="BS37" s="1"/>
  <c r="BO18"/>
  <c r="BP18" s="1"/>
  <c r="BS18" s="1"/>
  <c r="BO62"/>
  <c r="BP62" s="1"/>
  <c r="BS62" s="1"/>
  <c r="BO6"/>
  <c r="BP6" s="1"/>
  <c r="BS6" s="1"/>
  <c r="BO66"/>
  <c r="BP66" s="1"/>
  <c r="BS66" s="1"/>
  <c r="BO39"/>
  <c r="BP39" s="1"/>
  <c r="BS39" s="1"/>
  <c r="BO70"/>
  <c r="BP70" s="1"/>
  <c r="BS70" s="1"/>
  <c r="BO49"/>
  <c r="BP49" s="1"/>
  <c r="BS49" s="1"/>
  <c r="BO34"/>
  <c r="BP34" s="1"/>
  <c r="BS34" s="1"/>
  <c r="BO19"/>
  <c r="BP19" s="1"/>
  <c r="BS19" s="1"/>
  <c r="BO51"/>
  <c r="BP51" s="1"/>
  <c r="BS51" s="1"/>
  <c r="BO21"/>
  <c r="BP21" s="1"/>
  <c r="BS21" s="1"/>
  <c r="BO53"/>
  <c r="BP53" s="1"/>
  <c r="BS53" s="1"/>
  <c r="BO22"/>
  <c r="BP22" s="1"/>
  <c r="BS22" s="1"/>
  <c r="BO54"/>
  <c r="BP54" s="1"/>
  <c r="BS54" s="1"/>
  <c r="BO15"/>
  <c r="BP15" s="1"/>
  <c r="BS15" s="1"/>
  <c r="BO31"/>
  <c r="BP31" s="1"/>
  <c r="BS31" s="1"/>
  <c r="BO47"/>
  <c r="BP47" s="1"/>
  <c r="BS47" s="1"/>
  <c r="BO13"/>
  <c r="BP13" s="1"/>
  <c r="BS13" s="1"/>
  <c r="BO29"/>
  <c r="BP29" s="1"/>
  <c r="BS29" s="1"/>
  <c r="BO45"/>
  <c r="BP45" s="1"/>
  <c r="BS45" s="1"/>
  <c r="BO65"/>
  <c r="BP65" s="1"/>
  <c r="BS65" s="1"/>
  <c r="BO14"/>
  <c r="BP14" s="1"/>
  <c r="BS14" s="1"/>
  <c r="BO30"/>
  <c r="BP30" s="1"/>
  <c r="BS30" s="1"/>
  <c r="BO46"/>
  <c r="BP46" s="1"/>
  <c r="BS46" s="1"/>
  <c r="BO8"/>
  <c r="BP8" s="1"/>
  <c r="BS8" s="1"/>
  <c r="BO12"/>
  <c r="BP12" s="1"/>
  <c r="BS12" s="1"/>
  <c r="BO16"/>
  <c r="BP16" s="1"/>
  <c r="BS16" s="1"/>
  <c r="BO20"/>
  <c r="BP20" s="1"/>
  <c r="BS20" s="1"/>
  <c r="BO24"/>
  <c r="BP24" s="1"/>
  <c r="BS24" s="1"/>
  <c r="BO28"/>
  <c r="BP28" s="1"/>
  <c r="BS28" s="1"/>
  <c r="BO32"/>
  <c r="BP32" s="1"/>
  <c r="BS32" s="1"/>
  <c r="BO36"/>
  <c r="BP36" s="1"/>
  <c r="BS36" s="1"/>
  <c r="BO40"/>
  <c r="BP40" s="1"/>
  <c r="BS40" s="1"/>
  <c r="BO44"/>
  <c r="BP44" s="1"/>
  <c r="BS44" s="1"/>
  <c r="BO48"/>
  <c r="BP48" s="1"/>
  <c r="BS48" s="1"/>
  <c r="BO52"/>
  <c r="BP52" s="1"/>
  <c r="BS52" s="1"/>
  <c r="BO56"/>
  <c r="BP56" s="1"/>
  <c r="BS56" s="1"/>
  <c r="BO64"/>
  <c r="BP64" s="1"/>
  <c r="BS64" s="1"/>
  <c r="BO60"/>
  <c r="BP60" s="1"/>
  <c r="BS60" s="1"/>
  <c r="BO5"/>
  <c r="BP5" s="1"/>
  <c r="BS5" s="1"/>
  <c r="BO68"/>
  <c r="BP68" s="1"/>
  <c r="BS68" s="1"/>
  <c r="BO72"/>
  <c r="BP72" s="1"/>
  <c r="BS72" s="1"/>
  <c r="BO11"/>
  <c r="BP11" s="1"/>
  <c r="BS11" s="1"/>
  <c r="BO27"/>
  <c r="BP27" s="1"/>
  <c r="BS27" s="1"/>
  <c r="BO43"/>
  <c r="BP43" s="1"/>
  <c r="BS43" s="1"/>
  <c r="BO71"/>
  <c r="BP71" s="1"/>
  <c r="BS71" s="1"/>
  <c r="BO63"/>
  <c r="BP63" s="1"/>
  <c r="BS63" s="1"/>
  <c r="BO9"/>
  <c r="BP9" s="1"/>
  <c r="BS9" s="1"/>
  <c r="BO25"/>
  <c r="BP25" s="1"/>
  <c r="BS25" s="1"/>
  <c r="BO41"/>
  <c r="BP41" s="1"/>
  <c r="BS41" s="1"/>
  <c r="BO57"/>
  <c r="BP57" s="1"/>
  <c r="BS57" s="1"/>
  <c r="BO10"/>
  <c r="BP10" s="1"/>
  <c r="BS10" s="1"/>
  <c r="BO26"/>
  <c r="BP26" s="1"/>
  <c r="BS26" s="1"/>
  <c r="BO42"/>
  <c r="BP42" s="1"/>
  <c r="BS42" s="1"/>
  <c r="BO58"/>
  <c r="BP58" s="1"/>
  <c r="BS58" s="1"/>
  <c r="BE8"/>
  <c r="BF8" s="1"/>
  <c r="BI8" s="1"/>
  <c r="BE12"/>
  <c r="BF12" s="1"/>
  <c r="BI12" s="1"/>
  <c r="BE16"/>
  <c r="BF16" s="1"/>
  <c r="BI16" s="1"/>
  <c r="BE20"/>
  <c r="BF20" s="1"/>
  <c r="BI20" s="1"/>
  <c r="BE24"/>
  <c r="BF24" s="1"/>
  <c r="BI24" s="1"/>
  <c r="BE28"/>
  <c r="BF28" s="1"/>
  <c r="BI28" s="1"/>
  <c r="BE32"/>
  <c r="BF32" s="1"/>
  <c r="BI32" s="1"/>
  <c r="BE36"/>
  <c r="BF36" s="1"/>
  <c r="BI36" s="1"/>
  <c r="BE40"/>
  <c r="BF40" s="1"/>
  <c r="BI40" s="1"/>
  <c r="BE44"/>
  <c r="BF44" s="1"/>
  <c r="BI44" s="1"/>
  <c r="BE48"/>
  <c r="BF48" s="1"/>
  <c r="BI48" s="1"/>
  <c r="BE52"/>
  <c r="BF52" s="1"/>
  <c r="BI52" s="1"/>
  <c r="BE56"/>
  <c r="BF56" s="1"/>
  <c r="BI56" s="1"/>
  <c r="BE60"/>
  <c r="BF60" s="1"/>
  <c r="BI60" s="1"/>
  <c r="BE64"/>
  <c r="BF64" s="1"/>
  <c r="BI64" s="1"/>
  <c r="BE68"/>
  <c r="BF68" s="1"/>
  <c r="BI68" s="1"/>
  <c r="BE72"/>
  <c r="BF72" s="1"/>
  <c r="BI72" s="1"/>
  <c r="BE76"/>
  <c r="BF76" s="1"/>
  <c r="BI76" s="1"/>
  <c r="BE80"/>
  <c r="BF80" s="1"/>
  <c r="BI80" s="1"/>
  <c r="BE84"/>
  <c r="BF84" s="1"/>
  <c r="BI84" s="1"/>
  <c r="BE88"/>
  <c r="BF88" s="1"/>
  <c r="BI88" s="1"/>
  <c r="BE92"/>
  <c r="BF92" s="1"/>
  <c r="BI92" s="1"/>
  <c r="BE96"/>
  <c r="BF96" s="1"/>
  <c r="BI96" s="1"/>
  <c r="BE100"/>
  <c r="BF100" s="1"/>
  <c r="BI100" s="1"/>
  <c r="BE104"/>
  <c r="BF104" s="1"/>
  <c r="BI104" s="1"/>
  <c r="BE108"/>
  <c r="BF108" s="1"/>
  <c r="BI108" s="1"/>
  <c r="BE112"/>
  <c r="BF112" s="1"/>
  <c r="BI112" s="1"/>
  <c r="BE10"/>
  <c r="BF10" s="1"/>
  <c r="BI10" s="1"/>
  <c r="BE18"/>
  <c r="BF18" s="1"/>
  <c r="BI18" s="1"/>
  <c r="BE26"/>
  <c r="BF26" s="1"/>
  <c r="BI26" s="1"/>
  <c r="BE34"/>
  <c r="BF34" s="1"/>
  <c r="BI34" s="1"/>
  <c r="BE42"/>
  <c r="BF42" s="1"/>
  <c r="BI42" s="1"/>
  <c r="BE50"/>
  <c r="BF50" s="1"/>
  <c r="BI50" s="1"/>
  <c r="BE58"/>
  <c r="BF58" s="1"/>
  <c r="BI58" s="1"/>
  <c r="BE66"/>
  <c r="BF66" s="1"/>
  <c r="BI66" s="1"/>
  <c r="BE74"/>
  <c r="BF74" s="1"/>
  <c r="BI74" s="1"/>
  <c r="BE82"/>
  <c r="BF82" s="1"/>
  <c r="BI82" s="1"/>
  <c r="BE90"/>
  <c r="BF90" s="1"/>
  <c r="BI90" s="1"/>
  <c r="BE98"/>
  <c r="BF98" s="1"/>
  <c r="BI98" s="1"/>
  <c r="BE106"/>
  <c r="BF106" s="1"/>
  <c r="BI106" s="1"/>
  <c r="BE5"/>
  <c r="BF5" s="1"/>
  <c r="BI5" s="1"/>
  <c r="BE9"/>
  <c r="BF9" s="1"/>
  <c r="BI9" s="1"/>
  <c r="BE17"/>
  <c r="BF17" s="1"/>
  <c r="BI17" s="1"/>
  <c r="BE21"/>
  <c r="BF21" s="1"/>
  <c r="BI21" s="1"/>
  <c r="BE25"/>
  <c r="BF25" s="1"/>
  <c r="BI25" s="1"/>
  <c r="BE29"/>
  <c r="BF29" s="1"/>
  <c r="BI29" s="1"/>
  <c r="BE33"/>
  <c r="BF33" s="1"/>
  <c r="BI33" s="1"/>
  <c r="BE37"/>
  <c r="BF37" s="1"/>
  <c r="BI37" s="1"/>
  <c r="BE41"/>
  <c r="BF41" s="1"/>
  <c r="BI41" s="1"/>
  <c r="BE45"/>
  <c r="BF45" s="1"/>
  <c r="BI45" s="1"/>
  <c r="BE49"/>
  <c r="BF49" s="1"/>
  <c r="BI49" s="1"/>
  <c r="BE53"/>
  <c r="BF53" s="1"/>
  <c r="BI53" s="1"/>
  <c r="BE61"/>
  <c r="BF61" s="1"/>
  <c r="BI61" s="1"/>
  <c r="BE65"/>
  <c r="BF65" s="1"/>
  <c r="BI65" s="1"/>
  <c r="BE73"/>
  <c r="BF73" s="1"/>
  <c r="BI73" s="1"/>
  <c r="BE81"/>
  <c r="BF81" s="1"/>
  <c r="BI81" s="1"/>
  <c r="BE89"/>
  <c r="BF89" s="1"/>
  <c r="BI89" s="1"/>
  <c r="BE97"/>
  <c r="BF97" s="1"/>
  <c r="BI97" s="1"/>
  <c r="BE105"/>
  <c r="BF105" s="1"/>
  <c r="BI105" s="1"/>
  <c r="BE113"/>
  <c r="BF113" s="1"/>
  <c r="BI113" s="1"/>
  <c r="BE7"/>
  <c r="BF7" s="1"/>
  <c r="BI7" s="1"/>
  <c r="BE11"/>
  <c r="BF11" s="1"/>
  <c r="BI11" s="1"/>
  <c r="BE15"/>
  <c r="BF15" s="1"/>
  <c r="BI15" s="1"/>
  <c r="BE19"/>
  <c r="BF19" s="1"/>
  <c r="BI19" s="1"/>
  <c r="BE23"/>
  <c r="BF23" s="1"/>
  <c r="BI23" s="1"/>
  <c r="BE27"/>
  <c r="BF27" s="1"/>
  <c r="BI27" s="1"/>
  <c r="BE31"/>
  <c r="BF31" s="1"/>
  <c r="BI31" s="1"/>
  <c r="BE35"/>
  <c r="BF35" s="1"/>
  <c r="BI35" s="1"/>
  <c r="BE39"/>
  <c r="BF39" s="1"/>
  <c r="BI39" s="1"/>
  <c r="BE43"/>
  <c r="BF43" s="1"/>
  <c r="BI43" s="1"/>
  <c r="BE47"/>
  <c r="BF47" s="1"/>
  <c r="BI47" s="1"/>
  <c r="BE51"/>
  <c r="BF51" s="1"/>
  <c r="BI51" s="1"/>
  <c r="BE55"/>
  <c r="BF55" s="1"/>
  <c r="BI55" s="1"/>
  <c r="BE59"/>
  <c r="BF59" s="1"/>
  <c r="BI59" s="1"/>
  <c r="BE63"/>
  <c r="BF63" s="1"/>
  <c r="BI63" s="1"/>
  <c r="BE67"/>
  <c r="BF67" s="1"/>
  <c r="BI67" s="1"/>
  <c r="BE71"/>
  <c r="BF71" s="1"/>
  <c r="BI71" s="1"/>
  <c r="BE75"/>
  <c r="BF75" s="1"/>
  <c r="BI75" s="1"/>
  <c r="BE79"/>
  <c r="BF79" s="1"/>
  <c r="BI79" s="1"/>
  <c r="BE83"/>
  <c r="BF83" s="1"/>
  <c r="BI83" s="1"/>
  <c r="BE87"/>
  <c r="BF87" s="1"/>
  <c r="BI87" s="1"/>
  <c r="BE91"/>
  <c r="BF91" s="1"/>
  <c r="BI91" s="1"/>
  <c r="BE95"/>
  <c r="BF95" s="1"/>
  <c r="BI95" s="1"/>
  <c r="BE99"/>
  <c r="BF99" s="1"/>
  <c r="BI99" s="1"/>
  <c r="BE103"/>
  <c r="BF103" s="1"/>
  <c r="BI103" s="1"/>
  <c r="BE107"/>
  <c r="BF107" s="1"/>
  <c r="BI107" s="1"/>
  <c r="BE111"/>
  <c r="BF111" s="1"/>
  <c r="BI111" s="1"/>
  <c r="BE6"/>
  <c r="BF6" s="1"/>
  <c r="BI6" s="1"/>
  <c r="BE14"/>
  <c r="BF14" s="1"/>
  <c r="BI14" s="1"/>
  <c r="BE22"/>
  <c r="BF22" s="1"/>
  <c r="BI22" s="1"/>
  <c r="BE30"/>
  <c r="BF30" s="1"/>
  <c r="BI30" s="1"/>
  <c r="BE38"/>
  <c r="BF38" s="1"/>
  <c r="BI38" s="1"/>
  <c r="BE46"/>
  <c r="BF46" s="1"/>
  <c r="BI46" s="1"/>
  <c r="BE54"/>
  <c r="BF54" s="1"/>
  <c r="BI54" s="1"/>
  <c r="BE62"/>
  <c r="BF62" s="1"/>
  <c r="BI62" s="1"/>
  <c r="BE70"/>
  <c r="BF70" s="1"/>
  <c r="BI70" s="1"/>
  <c r="BE78"/>
  <c r="BF78" s="1"/>
  <c r="BI78" s="1"/>
  <c r="BE86"/>
  <c r="BF86" s="1"/>
  <c r="BI86" s="1"/>
  <c r="BE94"/>
  <c r="BF94" s="1"/>
  <c r="BI94" s="1"/>
  <c r="BE102"/>
  <c r="BF102" s="1"/>
  <c r="BI102" s="1"/>
  <c r="BE110"/>
  <c r="BF110" s="1"/>
  <c r="BI110" s="1"/>
  <c r="BE13"/>
  <c r="BF13" s="1"/>
  <c r="BI13" s="1"/>
  <c r="BE57"/>
  <c r="BF57" s="1"/>
  <c r="BI57" s="1"/>
  <c r="BE69"/>
  <c r="BF69" s="1"/>
  <c r="BI69" s="1"/>
  <c r="BE77"/>
  <c r="BF77" s="1"/>
  <c r="BI77" s="1"/>
  <c r="BE85"/>
  <c r="BF85" s="1"/>
  <c r="BI85" s="1"/>
  <c r="BE93"/>
  <c r="BF93" s="1"/>
  <c r="BI93" s="1"/>
  <c r="BE101"/>
  <c r="BF101" s="1"/>
  <c r="BI101" s="1"/>
  <c r="BE109"/>
  <c r="BF109" s="1"/>
  <c r="BI109" s="1"/>
  <c r="Y6"/>
  <c r="Y5"/>
  <c r="V8"/>
  <c r="W7"/>
  <c r="AT29" i="10"/>
  <c r="AS25"/>
  <c r="AT4"/>
  <c r="AS53"/>
  <c r="AT53"/>
  <c r="AH53"/>
  <c r="AT49"/>
  <c r="AS5"/>
  <c r="AT41"/>
  <c r="AS17"/>
  <c r="AT73"/>
  <c r="AT81"/>
  <c r="AT21"/>
  <c r="AS65"/>
  <c r="AT17"/>
  <c r="AH17"/>
  <c r="AT9"/>
  <c r="AH9"/>
  <c r="AS13"/>
  <c r="AS57"/>
  <c r="AH13"/>
  <c r="AS61"/>
  <c r="AH57"/>
  <c r="AS21"/>
  <c r="AS69"/>
  <c r="AH65"/>
  <c r="AS81"/>
  <c r="AH8"/>
  <c r="AS12"/>
  <c r="AT12"/>
  <c r="AS44"/>
  <c r="AT44"/>
  <c r="AS76"/>
  <c r="AT76"/>
  <c r="AS6"/>
  <c r="AT6"/>
  <c r="AS70"/>
  <c r="AT70"/>
  <c r="AS27"/>
  <c r="AT27"/>
  <c r="AS43"/>
  <c r="AT43"/>
  <c r="AS75"/>
  <c r="AT75"/>
  <c r="AS10"/>
  <c r="AT10"/>
  <c r="AS42"/>
  <c r="AT42"/>
  <c r="AS78"/>
  <c r="AT78"/>
  <c r="AS40"/>
  <c r="AT40"/>
  <c r="AS72"/>
  <c r="AT72"/>
  <c r="AS88"/>
  <c r="AT88"/>
  <c r="AS30"/>
  <c r="AT30"/>
  <c r="AS7"/>
  <c r="AT7"/>
  <c r="AS23"/>
  <c r="AT23"/>
  <c r="AS39"/>
  <c r="AT39"/>
  <c r="AS55"/>
  <c r="AT55"/>
  <c r="AS71"/>
  <c r="AT71"/>
  <c r="AS87"/>
  <c r="AT87"/>
  <c r="AS34"/>
  <c r="AT34"/>
  <c r="AS66"/>
  <c r="AT66"/>
  <c r="AS20"/>
  <c r="AT20"/>
  <c r="AS36"/>
  <c r="AT36"/>
  <c r="AS52"/>
  <c r="AT52"/>
  <c r="AS68"/>
  <c r="AT68"/>
  <c r="AS84"/>
  <c r="AT84"/>
  <c r="AS22"/>
  <c r="AT22"/>
  <c r="AS54"/>
  <c r="AT54"/>
  <c r="AS82"/>
  <c r="AT82"/>
  <c r="AS19"/>
  <c r="AT19"/>
  <c r="AS35"/>
  <c r="AT35"/>
  <c r="AS51"/>
  <c r="AT51"/>
  <c r="AS67"/>
  <c r="AT67"/>
  <c r="AS83"/>
  <c r="AT83"/>
  <c r="AS26"/>
  <c r="AT26"/>
  <c r="AS58"/>
  <c r="AT58"/>
  <c r="AH45"/>
  <c r="AH25"/>
  <c r="AH37"/>
  <c r="AH33"/>
  <c r="AS28"/>
  <c r="AT28"/>
  <c r="AS60"/>
  <c r="AT60"/>
  <c r="AS38"/>
  <c r="AT38"/>
  <c r="AS11"/>
  <c r="AT11"/>
  <c r="AS59"/>
  <c r="AT59"/>
  <c r="AS24"/>
  <c r="AT24"/>
  <c r="AS56"/>
  <c r="AT56"/>
  <c r="AS62"/>
  <c r="AT62"/>
  <c r="AS16"/>
  <c r="AT16"/>
  <c r="AS32"/>
  <c r="AT32"/>
  <c r="AS48"/>
  <c r="AT48"/>
  <c r="AS64"/>
  <c r="AT64"/>
  <c r="AS80"/>
  <c r="AT80"/>
  <c r="AS14"/>
  <c r="AT14"/>
  <c r="AS46"/>
  <c r="AT46"/>
  <c r="AS74"/>
  <c r="AT74"/>
  <c r="AS15"/>
  <c r="AT15"/>
  <c r="AS31"/>
  <c r="AT31"/>
  <c r="AS47"/>
  <c r="AT47"/>
  <c r="AS63"/>
  <c r="AT63"/>
  <c r="AS79"/>
  <c r="AT79"/>
  <c r="AS18"/>
  <c r="AT18"/>
  <c r="AS50"/>
  <c r="AT50"/>
  <c r="AS86"/>
  <c r="AT86"/>
  <c r="AH61"/>
  <c r="AH69"/>
  <c r="AH49"/>
  <c r="S55"/>
  <c r="S53"/>
  <c r="S32"/>
  <c r="S33" s="1"/>
  <c r="S7"/>
  <c r="W8"/>
  <c r="X7"/>
  <c r="S39"/>
  <c r="S52"/>
  <c r="S51" i="9"/>
  <c r="S53"/>
  <c r="S54"/>
  <c r="S52"/>
  <c r="R10" i="15" l="1"/>
  <c r="Y10" s="1"/>
  <c r="N4" i="17"/>
  <c r="O4" s="1"/>
  <c r="F10" i="15"/>
  <c r="N4" i="16"/>
  <c r="BJ13" i="17"/>
  <c r="F7"/>
  <c r="B8"/>
  <c r="AF7" i="14"/>
  <c r="AH7" s="1"/>
  <c r="K12" i="15"/>
  <c r="AH6" i="14"/>
  <c r="AK6" s="1"/>
  <c r="AL6" s="1"/>
  <c r="AN4"/>
  <c r="AQ4" s="1"/>
  <c r="N10" i="15" s="1"/>
  <c r="BJ4" i="14"/>
  <c r="BK4" s="1"/>
  <c r="BI4"/>
  <c r="AM5"/>
  <c r="L11" i="15" s="1"/>
  <c r="AW8" i="14"/>
  <c r="AY7"/>
  <c r="AZ7"/>
  <c r="U6"/>
  <c r="W6"/>
  <c r="X6" s="1"/>
  <c r="Z4"/>
  <c r="BI5"/>
  <c r="Y5"/>
  <c r="E11" i="15" s="1"/>
  <c r="BA6" i="14"/>
  <c r="BB6"/>
  <c r="BC6" s="1"/>
  <c r="T7"/>
  <c r="P8"/>
  <c r="D14" i="15" s="1"/>
  <c r="BD49" i="12"/>
  <c r="U29" i="13"/>
  <c r="BD25" i="12"/>
  <c r="BI57"/>
  <c r="BJ57" s="1"/>
  <c r="BD28"/>
  <c r="BG28" s="1"/>
  <c r="W34" i="13" s="1"/>
  <c r="BA68" i="12"/>
  <c r="BB68" s="1"/>
  <c r="BD33"/>
  <c r="BG33" s="1"/>
  <c r="BD43"/>
  <c r="BG43" s="1"/>
  <c r="W49" i="13" s="1"/>
  <c r="BD36" i="12"/>
  <c r="BG36" s="1"/>
  <c r="W42" i="13" s="1"/>
  <c r="AZ68" i="12"/>
  <c r="BC68" s="1"/>
  <c r="U74" i="13" s="1"/>
  <c r="BD56" i="12"/>
  <c r="BG56" s="1"/>
  <c r="W62" i="13" s="1"/>
  <c r="BD47" i="12"/>
  <c r="BG47" s="1"/>
  <c r="W53" i="13" s="1"/>
  <c r="BD7" i="12"/>
  <c r="BG7" s="1"/>
  <c r="W13" i="13" s="1"/>
  <c r="BD44" i="12"/>
  <c r="BG44" s="1"/>
  <c r="W50" i="13" s="1"/>
  <c r="BD26" i="12"/>
  <c r="BG26" s="1"/>
  <c r="W32" i="13" s="1"/>
  <c r="BD40" i="12"/>
  <c r="BG40" s="1"/>
  <c r="W46" i="13" s="1"/>
  <c r="U36"/>
  <c r="BD30" i="12"/>
  <c r="BG30" s="1"/>
  <c r="W36" i="13" s="1"/>
  <c r="BH23" i="12"/>
  <c r="BH57"/>
  <c r="BD59"/>
  <c r="BG59" s="1"/>
  <c r="W65" i="13" s="1"/>
  <c r="BD14" i="12"/>
  <c r="BG14" s="1"/>
  <c r="W20" i="13" s="1"/>
  <c r="BD39" i="12"/>
  <c r="BG39" s="1"/>
  <c r="BH47"/>
  <c r="BD41"/>
  <c r="BG41" s="1"/>
  <c r="BD68"/>
  <c r="BG68" s="1"/>
  <c r="W74" i="13" s="1"/>
  <c r="U60"/>
  <c r="BD54" i="12"/>
  <c r="BG54" s="1"/>
  <c r="W60" i="13" s="1"/>
  <c r="U11"/>
  <c r="BD5" i="12"/>
  <c r="BG5" s="1"/>
  <c r="W11" i="13" s="1"/>
  <c r="BD13" i="12"/>
  <c r="BG13" s="1"/>
  <c r="W19" i="13" s="1"/>
  <c r="BD42" i="12"/>
  <c r="BG42" s="1"/>
  <c r="W48" i="13" s="1"/>
  <c r="BA69" i="12"/>
  <c r="BB69" s="1"/>
  <c r="BD52"/>
  <c r="BG52" s="1"/>
  <c r="BD65"/>
  <c r="BG65" s="1"/>
  <c r="BD16"/>
  <c r="BG16" s="1"/>
  <c r="W22" i="13" s="1"/>
  <c r="U69"/>
  <c r="U57"/>
  <c r="BI23" i="12"/>
  <c r="BJ23" s="1"/>
  <c r="W29" i="13"/>
  <c r="BD63" i="12"/>
  <c r="BG63" s="1"/>
  <c r="BD19"/>
  <c r="BG19" s="1"/>
  <c r="W25" i="13" s="1"/>
  <c r="U25"/>
  <c r="BD34" i="12"/>
  <c r="BG34" s="1"/>
  <c r="W40" i="13" s="1"/>
  <c r="U40"/>
  <c r="BI35" i="12"/>
  <c r="BJ35" s="1"/>
  <c r="W41" i="13"/>
  <c r="BD20" i="12"/>
  <c r="BG20" s="1"/>
  <c r="W26" i="13" s="1"/>
  <c r="U26"/>
  <c r="U31"/>
  <c r="BG25" i="12"/>
  <c r="T76" i="13"/>
  <c r="AY70" i="12"/>
  <c r="AX70"/>
  <c r="BD12"/>
  <c r="BG12" s="1"/>
  <c r="W18" i="13" s="1"/>
  <c r="U18"/>
  <c r="BD32" i="12"/>
  <c r="BG32" s="1"/>
  <c r="W38" i="13" s="1"/>
  <c r="BD27" i="12"/>
  <c r="BG27" s="1"/>
  <c r="BH27" s="1"/>
  <c r="BD15"/>
  <c r="BG15" s="1"/>
  <c r="W21" i="13" s="1"/>
  <c r="BD48" i="12"/>
  <c r="BG48" s="1"/>
  <c r="W54" i="13" s="1"/>
  <c r="BI67" i="12"/>
  <c r="BJ67" s="1"/>
  <c r="W73" i="13"/>
  <c r="BD21" i="12"/>
  <c r="BG21" s="1"/>
  <c r="W27" i="13" s="1"/>
  <c r="U27"/>
  <c r="BI51" i="12"/>
  <c r="BJ51" s="1"/>
  <c r="W57" i="13"/>
  <c r="BD31" i="12"/>
  <c r="BG31" s="1"/>
  <c r="BH31" s="1"/>
  <c r="BI43"/>
  <c r="BJ43" s="1"/>
  <c r="BI55"/>
  <c r="BJ55" s="1"/>
  <c r="W61" i="13"/>
  <c r="U39"/>
  <c r="U47"/>
  <c r="U55"/>
  <c r="BG49" i="12"/>
  <c r="BD62"/>
  <c r="BG62" s="1"/>
  <c r="W68" i="13" s="1"/>
  <c r="BD66" i="12"/>
  <c r="BG66" s="1"/>
  <c r="W72" i="13" s="1"/>
  <c r="BD60" i="12"/>
  <c r="BG60" s="1"/>
  <c r="W66" i="13" s="1"/>
  <c r="BD10" i="12"/>
  <c r="BG10" s="1"/>
  <c r="W16" i="13" s="1"/>
  <c r="BD24" i="12"/>
  <c r="BG24" s="1"/>
  <c r="W30" i="13" s="1"/>
  <c r="AZ69" i="12"/>
  <c r="BC69" s="1"/>
  <c r="U75" i="13" s="1"/>
  <c r="K15"/>
  <c r="BH7" i="12"/>
  <c r="BI11"/>
  <c r="BJ11" s="1"/>
  <c r="BH11"/>
  <c r="BH64"/>
  <c r="BI64"/>
  <c r="BJ64" s="1"/>
  <c r="BD29"/>
  <c r="BG29" s="1"/>
  <c r="W35" i="13" s="1"/>
  <c r="BD37" i="12"/>
  <c r="BG37" s="1"/>
  <c r="W43" i="13" s="1"/>
  <c r="BI8" i="12"/>
  <c r="BJ8" s="1"/>
  <c r="BH8"/>
  <c r="BI28"/>
  <c r="BJ28" s="1"/>
  <c r="BH28"/>
  <c r="BD45"/>
  <c r="BG45" s="1"/>
  <c r="W51" i="13" s="1"/>
  <c r="BI36" i="12"/>
  <c r="BJ36" s="1"/>
  <c r="BH36"/>
  <c r="BD53"/>
  <c r="BG53" s="1"/>
  <c r="W59" i="13" s="1"/>
  <c r="BD9" i="12"/>
  <c r="BG9" s="1"/>
  <c r="W15" i="13" s="1"/>
  <c r="BD46" i="12"/>
  <c r="BG46" s="1"/>
  <c r="W52" i="13" s="1"/>
  <c r="BD18" i="12"/>
  <c r="BG18" s="1"/>
  <c r="W24" i="13" s="1"/>
  <c r="BH35" i="12"/>
  <c r="BH51"/>
  <c r="BD58"/>
  <c r="BG58" s="1"/>
  <c r="W64" i="13" s="1"/>
  <c r="BD61" i="12"/>
  <c r="BG61" s="1"/>
  <c r="W67" i="13" s="1"/>
  <c r="BD17" i="12"/>
  <c r="BG17" s="1"/>
  <c r="W23" i="13" s="1"/>
  <c r="BD38" i="12"/>
  <c r="BG38" s="1"/>
  <c r="W44" i="13" s="1"/>
  <c r="BD22" i="12"/>
  <c r="BG22" s="1"/>
  <c r="W28" i="13" s="1"/>
  <c r="BD6" i="12"/>
  <c r="BG6" s="1"/>
  <c r="W12" i="13" s="1"/>
  <c r="BD50" i="12"/>
  <c r="BG50" s="1"/>
  <c r="W56" i="13" s="1"/>
  <c r="AD22" i="12"/>
  <c r="J27" i="13"/>
  <c r="AD47" i="12"/>
  <c r="J52" i="13"/>
  <c r="AG7" i="12"/>
  <c r="AH7"/>
  <c r="AU8"/>
  <c r="S13" i="13"/>
  <c r="U10"/>
  <c r="AL6" i="12"/>
  <c r="L12" i="13" s="1"/>
  <c r="BD4" i="12"/>
  <c r="X5"/>
  <c r="AM4"/>
  <c r="AM6"/>
  <c r="AP6" s="1"/>
  <c r="N12" i="13" s="1"/>
  <c r="X4" i="12"/>
  <c r="AM5"/>
  <c r="AP5" s="1"/>
  <c r="N11" i="13" s="1"/>
  <c r="R7" i="12"/>
  <c r="P8"/>
  <c r="D14" i="13" s="1"/>
  <c r="S7" i="12"/>
  <c r="T6"/>
  <c r="U6"/>
  <c r="V6" s="1"/>
  <c r="AI8" i="11"/>
  <c r="AL8"/>
  <c r="AN7"/>
  <c r="AO7"/>
  <c r="AQ6"/>
  <c r="AR6" s="1"/>
  <c r="AT6" s="1"/>
  <c r="AI24"/>
  <c r="AI10"/>
  <c r="BI6"/>
  <c r="AI39"/>
  <c r="AI7"/>
  <c r="AI32"/>
  <c r="AI18"/>
  <c r="AI40"/>
  <c r="AI37"/>
  <c r="AI5"/>
  <c r="AI28"/>
  <c r="BI4"/>
  <c r="BJ4" s="1"/>
  <c r="BI5"/>
  <c r="AI6"/>
  <c r="AI38"/>
  <c r="AI33"/>
  <c r="AI15"/>
  <c r="AI12"/>
  <c r="AI16"/>
  <c r="AI29"/>
  <c r="AI34"/>
  <c r="AI20"/>
  <c r="AI17"/>
  <c r="AI21"/>
  <c r="AI9"/>
  <c r="AI25"/>
  <c r="AI14"/>
  <c r="AI13"/>
  <c r="AI23"/>
  <c r="AI31"/>
  <c r="AF41"/>
  <c r="AG41" s="1"/>
  <c r="AE41"/>
  <c r="AH41" s="1"/>
  <c r="AI27"/>
  <c r="AI19"/>
  <c r="AI11"/>
  <c r="AI35"/>
  <c r="X4"/>
  <c r="BC7"/>
  <c r="BD7" s="1"/>
  <c r="R7"/>
  <c r="T7" s="1"/>
  <c r="W7" s="1"/>
  <c r="BG6"/>
  <c r="BH6" s="1"/>
  <c r="DG9"/>
  <c r="DH9" s="1"/>
  <c r="P8"/>
  <c r="BC8" s="1"/>
  <c r="BF7"/>
  <c r="DB8"/>
  <c r="BJ5"/>
  <c r="T6"/>
  <c r="W6" s="1"/>
  <c r="BT5"/>
  <c r="BZ6"/>
  <c r="V5"/>
  <c r="X5" s="1"/>
  <c r="BS6"/>
  <c r="BQ6"/>
  <c r="BR6" s="1"/>
  <c r="BM8"/>
  <c r="BW7"/>
  <c r="BO7"/>
  <c r="BP7"/>
  <c r="U6"/>
  <c r="DH7"/>
  <c r="DH8"/>
  <c r="DH6"/>
  <c r="AA6" i="9"/>
  <c r="AD6" s="1"/>
  <c r="Z6"/>
  <c r="AA5"/>
  <c r="AD5" s="1"/>
  <c r="Z5"/>
  <c r="Y7"/>
  <c r="AB7"/>
  <c r="AC7" s="1"/>
  <c r="V9"/>
  <c r="W8"/>
  <c r="X8"/>
  <c r="AH41" i="10"/>
  <c r="AH29"/>
  <c r="AH50"/>
  <c r="AH51"/>
  <c r="AH4"/>
  <c r="AH20"/>
  <c r="AH42"/>
  <c r="AH73"/>
  <c r="AH81"/>
  <c r="AH80"/>
  <c r="AH38"/>
  <c r="AH10"/>
  <c r="AH21"/>
  <c r="AH63"/>
  <c r="AH35"/>
  <c r="AH34"/>
  <c r="AH44"/>
  <c r="AH46"/>
  <c r="AH11"/>
  <c r="AH23"/>
  <c r="AH12"/>
  <c r="AT77"/>
  <c r="AH77"/>
  <c r="AH32"/>
  <c r="AH84"/>
  <c r="AH47"/>
  <c r="AH16"/>
  <c r="AH62"/>
  <c r="AH24"/>
  <c r="AH58"/>
  <c r="AH54"/>
  <c r="AH68"/>
  <c r="AH87"/>
  <c r="AH40"/>
  <c r="AH27"/>
  <c r="AT85"/>
  <c r="AH85"/>
  <c r="AH86"/>
  <c r="AH74"/>
  <c r="AH26"/>
  <c r="AH22"/>
  <c r="AH39"/>
  <c r="AH70"/>
  <c r="AH64"/>
  <c r="AH52"/>
  <c r="AH88"/>
  <c r="AH18"/>
  <c r="AH31"/>
  <c r="AH14"/>
  <c r="AH48"/>
  <c r="AH56"/>
  <c r="AH60"/>
  <c r="AH83"/>
  <c r="AH19"/>
  <c r="AH36"/>
  <c r="AH71"/>
  <c r="AH7"/>
  <c r="AH72"/>
  <c r="AH75"/>
  <c r="AH6"/>
  <c r="AH79"/>
  <c r="AH15"/>
  <c r="AH59"/>
  <c r="AH28"/>
  <c r="AH67"/>
  <c r="AH82"/>
  <c r="AH66"/>
  <c r="AH55"/>
  <c r="AH30"/>
  <c r="AH78"/>
  <c r="AH43"/>
  <c r="AH76"/>
  <c r="S11"/>
  <c r="S12"/>
  <c r="S28"/>
  <c r="S13"/>
  <c r="S10"/>
  <c r="W9"/>
  <c r="X8"/>
  <c r="S10" i="15" l="1"/>
  <c r="F11"/>
  <c r="N5" i="16"/>
  <c r="R11" i="15"/>
  <c r="N5" i="17"/>
  <c r="O5" s="1"/>
  <c r="BJ14"/>
  <c r="B9"/>
  <c r="F8"/>
  <c r="AJ6" i="14"/>
  <c r="AM6" s="1"/>
  <c r="L12" i="15" s="1"/>
  <c r="AF8" i="14"/>
  <c r="K13" i="15"/>
  <c r="AI7" i="14"/>
  <c r="AJ7" s="1"/>
  <c r="AM7" s="1"/>
  <c r="L13" i="15" s="1"/>
  <c r="AH8" i="14"/>
  <c r="Z5"/>
  <c r="AO4"/>
  <c r="AA4"/>
  <c r="G10" i="15" s="1"/>
  <c r="AO5" i="14"/>
  <c r="AN5"/>
  <c r="AQ5" s="1"/>
  <c r="N11" i="15" s="1"/>
  <c r="AS4" i="14"/>
  <c r="AT4" s="1"/>
  <c r="AR4"/>
  <c r="BD6"/>
  <c r="BE6" s="1"/>
  <c r="BF5"/>
  <c r="BG5" s="1"/>
  <c r="BF4"/>
  <c r="BG4" s="1"/>
  <c r="W7"/>
  <c r="X7" s="1"/>
  <c r="U7"/>
  <c r="AY8"/>
  <c r="AW9"/>
  <c r="AZ8"/>
  <c r="AA5"/>
  <c r="G11" i="15" s="1"/>
  <c r="BA7" i="14"/>
  <c r="BB7"/>
  <c r="BC7" s="1"/>
  <c r="T8"/>
  <c r="P9"/>
  <c r="D15" i="15" s="1"/>
  <c r="Y6" i="14"/>
  <c r="BI40" i="12"/>
  <c r="BJ40" s="1"/>
  <c r="BI16"/>
  <c r="BJ16" s="1"/>
  <c r="BH59"/>
  <c r="BI20"/>
  <c r="BJ20" s="1"/>
  <c r="BH40"/>
  <c r="BI7"/>
  <c r="BJ7" s="1"/>
  <c r="BH43"/>
  <c r="BH12"/>
  <c r="BI56"/>
  <c r="BJ56" s="1"/>
  <c r="BH60"/>
  <c r="BH44"/>
  <c r="BH68"/>
  <c r="BI32"/>
  <c r="BJ32" s="1"/>
  <c r="BI47"/>
  <c r="BJ47" s="1"/>
  <c r="BI44"/>
  <c r="BJ44" s="1"/>
  <c r="BH56"/>
  <c r="BI68"/>
  <c r="BJ68" s="1"/>
  <c r="BH32"/>
  <c r="W45" i="13"/>
  <c r="BI39" i="12"/>
  <c r="BJ39" s="1"/>
  <c r="BH39"/>
  <c r="BH16"/>
  <c r="BI60"/>
  <c r="BJ60" s="1"/>
  <c r="BI59"/>
  <c r="BJ59" s="1"/>
  <c r="W58" i="13"/>
  <c r="BH52" i="12"/>
  <c r="BI52"/>
  <c r="BJ52" s="1"/>
  <c r="W71" i="13"/>
  <c r="BI65" i="12"/>
  <c r="BJ65" s="1"/>
  <c r="BH65"/>
  <c r="BI19"/>
  <c r="BJ19" s="1"/>
  <c r="BH20"/>
  <c r="BD69"/>
  <c r="BG69" s="1"/>
  <c r="W75" i="13" s="1"/>
  <c r="BH19" i="12"/>
  <c r="BE57"/>
  <c r="BE67"/>
  <c r="BE65"/>
  <c r="BE39"/>
  <c r="BE7"/>
  <c r="BE36"/>
  <c r="BE68"/>
  <c r="BE44"/>
  <c r="BE64"/>
  <c r="BE59"/>
  <c r="BE52"/>
  <c r="BE35"/>
  <c r="BE60"/>
  <c r="BE40"/>
  <c r="BE11"/>
  <c r="BE31"/>
  <c r="BE43"/>
  <c r="BE20"/>
  <c r="BE56"/>
  <c r="BE15"/>
  <c r="BE32"/>
  <c r="BE27"/>
  <c r="BE47"/>
  <c r="BE55"/>
  <c r="BE23"/>
  <c r="BE8"/>
  <c r="BE28"/>
  <c r="BE12"/>
  <c r="T77" i="13"/>
  <c r="AX71" i="12"/>
  <c r="AY71"/>
  <c r="W69" i="13"/>
  <c r="BI63" i="12"/>
  <c r="BJ63" s="1"/>
  <c r="W55" i="13"/>
  <c r="BH49" i="12"/>
  <c r="BI49"/>
  <c r="BJ49" s="1"/>
  <c r="W47" i="13"/>
  <c r="BH41" i="12"/>
  <c r="BI41"/>
  <c r="BJ41" s="1"/>
  <c r="BE34"/>
  <c r="BE29"/>
  <c r="BE50"/>
  <c r="BE33"/>
  <c r="BE14"/>
  <c r="BE17"/>
  <c r="BE18"/>
  <c r="BE46"/>
  <c r="BE24"/>
  <c r="BE49"/>
  <c r="BE19"/>
  <c r="BE51"/>
  <c r="BE61"/>
  <c r="BE66"/>
  <c r="BE42"/>
  <c r="BH15"/>
  <c r="BE10"/>
  <c r="BI48"/>
  <c r="BJ48" s="1"/>
  <c r="BE58"/>
  <c r="BE38"/>
  <c r="BH24"/>
  <c r="BE48"/>
  <c r="BE16"/>
  <c r="BE25"/>
  <c r="W37" i="13"/>
  <c r="BI31" i="12"/>
  <c r="BJ31" s="1"/>
  <c r="W39" i="13"/>
  <c r="BI33" i="12"/>
  <c r="BJ33" s="1"/>
  <c r="BH33"/>
  <c r="BI27"/>
  <c r="BJ27" s="1"/>
  <c r="W33" i="13"/>
  <c r="AZ70" i="12"/>
  <c r="BC70" s="1"/>
  <c r="BA70"/>
  <c r="BB70" s="1"/>
  <c r="W31" i="13"/>
  <c r="BI25" i="12"/>
  <c r="BJ25" s="1"/>
  <c r="BH25"/>
  <c r="BE6"/>
  <c r="BE22"/>
  <c r="BE26"/>
  <c r="BE5"/>
  <c r="BE21"/>
  <c r="BI15"/>
  <c r="BJ15" s="1"/>
  <c r="BH48"/>
  <c r="BE69"/>
  <c r="BE30"/>
  <c r="BE13"/>
  <c r="BE54"/>
  <c r="BE62"/>
  <c r="BI12"/>
  <c r="BJ12" s="1"/>
  <c r="BE53"/>
  <c r="BE45"/>
  <c r="BE37"/>
  <c r="BE9"/>
  <c r="BI24"/>
  <c r="BJ24" s="1"/>
  <c r="BE41"/>
  <c r="BH63"/>
  <c r="BE63"/>
  <c r="K16" i="13"/>
  <c r="AN5" i="12"/>
  <c r="M11" i="13" s="1"/>
  <c r="BI69" i="12"/>
  <c r="BJ69" s="1"/>
  <c r="BI46"/>
  <c r="BJ46" s="1"/>
  <c r="BH46"/>
  <c r="BI53"/>
  <c r="BJ53" s="1"/>
  <c r="BH53"/>
  <c r="BI45"/>
  <c r="BJ45" s="1"/>
  <c r="BH45"/>
  <c r="BI37"/>
  <c r="BJ37" s="1"/>
  <c r="BH37"/>
  <c r="BI38"/>
  <c r="BJ38" s="1"/>
  <c r="BH38"/>
  <c r="BI29"/>
  <c r="BJ29" s="1"/>
  <c r="BH29"/>
  <c r="BI58"/>
  <c r="BJ58" s="1"/>
  <c r="BH58"/>
  <c r="BI34"/>
  <c r="BJ34" s="1"/>
  <c r="BH34"/>
  <c r="BI10"/>
  <c r="BJ10" s="1"/>
  <c r="BH10"/>
  <c r="BI18"/>
  <c r="BJ18" s="1"/>
  <c r="BH18"/>
  <c r="BI5"/>
  <c r="BJ5" s="1"/>
  <c r="BH5"/>
  <c r="BI14"/>
  <c r="BJ14" s="1"/>
  <c r="BH14"/>
  <c r="BI9"/>
  <c r="BJ9" s="1"/>
  <c r="BH9"/>
  <c r="BI22"/>
  <c r="BJ22" s="1"/>
  <c r="BH22"/>
  <c r="BI26"/>
  <c r="BJ26" s="1"/>
  <c r="BH26"/>
  <c r="BI61"/>
  <c r="BJ61" s="1"/>
  <c r="BH61"/>
  <c r="BI42"/>
  <c r="BJ42" s="1"/>
  <c r="BH42"/>
  <c r="BI30"/>
  <c r="BJ30" s="1"/>
  <c r="BH30"/>
  <c r="BI13"/>
  <c r="BJ13" s="1"/>
  <c r="BH13"/>
  <c r="BI54"/>
  <c r="BJ54" s="1"/>
  <c r="BH54"/>
  <c r="BI62"/>
  <c r="BJ62" s="1"/>
  <c r="BH62"/>
  <c r="BI50"/>
  <c r="BJ50" s="1"/>
  <c r="BH50"/>
  <c r="BI21"/>
  <c r="BJ21" s="1"/>
  <c r="BH21"/>
  <c r="BI17"/>
  <c r="BJ17" s="1"/>
  <c r="BH17"/>
  <c r="BI66"/>
  <c r="BJ66" s="1"/>
  <c r="BH66"/>
  <c r="BI6"/>
  <c r="BJ6" s="1"/>
  <c r="BH6"/>
  <c r="AQ6"/>
  <c r="AR6"/>
  <c r="AS6" s="1"/>
  <c r="W6"/>
  <c r="E12" i="13" s="1"/>
  <c r="F12" s="1"/>
  <c r="AQ5" i="12"/>
  <c r="AR5"/>
  <c r="AS5" s="1"/>
  <c r="AI7"/>
  <c r="AL7" s="1"/>
  <c r="L13" i="13" s="1"/>
  <c r="AJ7" i="12"/>
  <c r="AK7" s="1"/>
  <c r="AD48"/>
  <c r="J53" i="13"/>
  <c r="AU9" i="12"/>
  <c r="S14" i="13"/>
  <c r="AG8" i="12"/>
  <c r="AH8"/>
  <c r="AD23"/>
  <c r="J28" i="13"/>
  <c r="BG4" i="12"/>
  <c r="AP4"/>
  <c r="AN4"/>
  <c r="BE4"/>
  <c r="Y4"/>
  <c r="AN6"/>
  <c r="M12" i="13" s="1"/>
  <c r="Y5" i="12"/>
  <c r="R8"/>
  <c r="P9"/>
  <c r="D15" i="13" s="1"/>
  <c r="S8" i="12"/>
  <c r="T7"/>
  <c r="W7" s="1"/>
  <c r="U7"/>
  <c r="V7" s="1"/>
  <c r="AL9" i="11"/>
  <c r="AN8"/>
  <c r="AO8"/>
  <c r="AP7"/>
  <c r="AS7" s="1"/>
  <c r="AQ7"/>
  <c r="AR7" s="1"/>
  <c r="BI7"/>
  <c r="AI41"/>
  <c r="DB9"/>
  <c r="DG10"/>
  <c r="BJ6"/>
  <c r="BG7"/>
  <c r="BH7" s="1"/>
  <c r="U7"/>
  <c r="V7" s="1"/>
  <c r="X7" s="1"/>
  <c r="BF8"/>
  <c r="CZ10"/>
  <c r="S8"/>
  <c r="P9"/>
  <c r="R9" s="1"/>
  <c r="R8"/>
  <c r="V6"/>
  <c r="X6" s="1"/>
  <c r="BM9"/>
  <c r="BW8"/>
  <c r="BO8"/>
  <c r="BP8"/>
  <c r="BY8"/>
  <c r="BS7"/>
  <c r="BQ7"/>
  <c r="BR7" s="1"/>
  <c r="BZ7"/>
  <c r="BT6"/>
  <c r="AA7" i="9"/>
  <c r="AD7" s="1"/>
  <c r="Z7"/>
  <c r="Y8"/>
  <c r="AB8"/>
  <c r="AC8" s="1"/>
  <c r="V10"/>
  <c r="W9"/>
  <c r="X9"/>
  <c r="Y7" i="10"/>
  <c r="Z7" s="1"/>
  <c r="Y6"/>
  <c r="Z6" s="1"/>
  <c r="Y8"/>
  <c r="Z8" s="1"/>
  <c r="Y5"/>
  <c r="Z5" s="1"/>
  <c r="AA5" s="1"/>
  <c r="Y4"/>
  <c r="Z4" s="1"/>
  <c r="X9"/>
  <c r="Y9" s="1"/>
  <c r="Z9" s="1"/>
  <c r="W10"/>
  <c r="R13" i="15" l="1"/>
  <c r="N7" i="17"/>
  <c r="O7" s="1"/>
  <c r="S11" i="15"/>
  <c r="Y11"/>
  <c r="R12"/>
  <c r="N6" i="17"/>
  <c r="O6" s="1"/>
  <c r="AO6" i="14"/>
  <c r="M12" i="15" s="1"/>
  <c r="BJ15" i="17"/>
  <c r="B10"/>
  <c r="F9"/>
  <c r="AF9" i="14"/>
  <c r="AI8"/>
  <c r="AK8" s="1"/>
  <c r="AL8" s="1"/>
  <c r="K14" i="15"/>
  <c r="AK7" i="14"/>
  <c r="AL7" s="1"/>
  <c r="AN7" s="1"/>
  <c r="AQ7" s="1"/>
  <c r="N13" i="15" s="1"/>
  <c r="AN6" i="14"/>
  <c r="AQ6" s="1"/>
  <c r="AP5"/>
  <c r="M11" i="15"/>
  <c r="AP6" i="14"/>
  <c r="AP4"/>
  <c r="M10" i="15"/>
  <c r="AA6" i="14"/>
  <c r="G12" i="15" s="1"/>
  <c r="E12"/>
  <c r="AS5" i="14"/>
  <c r="AT5" s="1"/>
  <c r="AR5"/>
  <c r="P10"/>
  <c r="D16" i="15" s="1"/>
  <c r="T9" i="14"/>
  <c r="R9"/>
  <c r="AW10"/>
  <c r="AY9"/>
  <c r="AZ9"/>
  <c r="AO7"/>
  <c r="W8"/>
  <c r="X8" s="1"/>
  <c r="U8"/>
  <c r="Y7"/>
  <c r="BA8"/>
  <c r="BB8"/>
  <c r="BC8" s="1"/>
  <c r="Z7"/>
  <c r="BH6"/>
  <c r="BF6"/>
  <c r="BG6" s="1"/>
  <c r="BD7"/>
  <c r="Z6"/>
  <c r="BH69" i="12"/>
  <c r="V69" i="13"/>
  <c r="BF63" i="12"/>
  <c r="BF61"/>
  <c r="V67" i="13"/>
  <c r="BF24" i="12"/>
  <c r="V30" i="13"/>
  <c r="BF14" i="12"/>
  <c r="V20" i="13"/>
  <c r="BF34" i="12"/>
  <c r="V40" i="13"/>
  <c r="AX72" i="12"/>
  <c r="T78" i="13"/>
  <c r="AY72" i="12"/>
  <c r="V29" i="13"/>
  <c r="BF23" i="12"/>
  <c r="BF32"/>
  <c r="V38" i="13"/>
  <c r="V49"/>
  <c r="BF43" i="12"/>
  <c r="BF60"/>
  <c r="V66" i="13"/>
  <c r="BF64" i="12"/>
  <c r="V70" i="13"/>
  <c r="V63"/>
  <c r="BF57" i="12"/>
  <c r="BF53"/>
  <c r="V59" i="13"/>
  <c r="BF13" i="12"/>
  <c r="V19" i="13"/>
  <c r="BF22" i="12"/>
  <c r="V28" i="13"/>
  <c r="BF48" i="12"/>
  <c r="V54" i="13"/>
  <c r="BF66" i="12"/>
  <c r="V72" i="13"/>
  <c r="V55"/>
  <c r="BF49" i="12"/>
  <c r="BF17"/>
  <c r="V23" i="13"/>
  <c r="BF29" i="12"/>
  <c r="V35" i="13"/>
  <c r="BF8" i="12"/>
  <c r="V14" i="13"/>
  <c r="V33"/>
  <c r="BF27" i="12"/>
  <c r="BF20"/>
  <c r="V26" i="13"/>
  <c r="BF40" i="12"/>
  <c r="V46" i="13"/>
  <c r="V65"/>
  <c r="BF59" i="12"/>
  <c r="BF36"/>
  <c r="V42" i="13"/>
  <c r="V73"/>
  <c r="BF67" i="12"/>
  <c r="V47" i="13"/>
  <c r="BF41" i="12"/>
  <c r="BF45"/>
  <c r="V51" i="13"/>
  <c r="BF54" i="12"/>
  <c r="V60" i="13"/>
  <c r="BF26" i="12"/>
  <c r="V32" i="13"/>
  <c r="BF16" i="12"/>
  <c r="V22" i="13"/>
  <c r="BF58" i="12"/>
  <c r="V64" i="13"/>
  <c r="BF42" i="12"/>
  <c r="V48" i="13"/>
  <c r="BF19" i="12"/>
  <c r="V25" i="13"/>
  <c r="BF18" i="12"/>
  <c r="V24" i="13"/>
  <c r="BF50" i="12"/>
  <c r="V56" i="13"/>
  <c r="AZ71" i="12"/>
  <c r="BC71" s="1"/>
  <c r="BA71"/>
  <c r="BB71" s="1"/>
  <c r="BF28"/>
  <c r="V34" i="13"/>
  <c r="V53"/>
  <c r="BF47" i="12"/>
  <c r="BF56"/>
  <c r="V62" i="13"/>
  <c r="BF11" i="12"/>
  <c r="V17" i="13"/>
  <c r="BF52" i="12"/>
  <c r="V58" i="13"/>
  <c r="BF68" i="12"/>
  <c r="V74" i="13"/>
  <c r="V71"/>
  <c r="BF65" i="12"/>
  <c r="BF9"/>
  <c r="V15" i="13"/>
  <c r="BF30" i="12"/>
  <c r="V36" i="13"/>
  <c r="BF21" i="12"/>
  <c r="V27" i="13"/>
  <c r="BF6" i="12"/>
  <c r="V12" i="13"/>
  <c r="BF10" i="12"/>
  <c r="V16" i="13"/>
  <c r="BF7" i="12"/>
  <c r="V13" i="13"/>
  <c r="BF37" i="12"/>
  <c r="V43" i="13"/>
  <c r="BF62" i="12"/>
  <c r="V68" i="13"/>
  <c r="BF69" i="12"/>
  <c r="V75" i="13"/>
  <c r="BF5" i="12"/>
  <c r="V11" i="13"/>
  <c r="BD70" i="12"/>
  <c r="BG70" s="1"/>
  <c r="U76" i="13"/>
  <c r="BE70" i="12"/>
  <c r="BF25"/>
  <c r="V31" i="13"/>
  <c r="BF38" i="12"/>
  <c r="V44" i="13"/>
  <c r="V57"/>
  <c r="BF51" i="12"/>
  <c r="BF46"/>
  <c r="V52" i="13"/>
  <c r="BF33" i="12"/>
  <c r="V39" i="13"/>
  <c r="BF12" i="12"/>
  <c r="V18" i="13"/>
  <c r="V61"/>
  <c r="BF55" i="12"/>
  <c r="BF15"/>
  <c r="V21" i="13"/>
  <c r="V37"/>
  <c r="BF31" i="12"/>
  <c r="V41" i="13"/>
  <c r="BF35" i="12"/>
  <c r="BF44"/>
  <c r="V50" i="13"/>
  <c r="V45"/>
  <c r="BF39" i="12"/>
  <c r="AO5"/>
  <c r="K17" i="13"/>
  <c r="AI8" i="12"/>
  <c r="X6"/>
  <c r="Y6"/>
  <c r="AA6" s="1"/>
  <c r="AB6" s="1"/>
  <c r="Z5"/>
  <c r="AA5"/>
  <c r="AB5" s="1"/>
  <c r="G11" i="13"/>
  <c r="BF4" i="12"/>
  <c r="V10" i="13"/>
  <c r="AL8" i="12"/>
  <c r="L14" i="13" s="1"/>
  <c r="Z4" i="12"/>
  <c r="AA4"/>
  <c r="AB4" s="1"/>
  <c r="G10" i="13"/>
  <c r="W10"/>
  <c r="BI4" i="12"/>
  <c r="BJ4" s="1"/>
  <c r="BH4"/>
  <c r="AD24"/>
  <c r="J29" i="13"/>
  <c r="AN7" i="12"/>
  <c r="M13" i="13" s="1"/>
  <c r="AO4" i="12"/>
  <c r="M10" i="13"/>
  <c r="Y7" i="12"/>
  <c r="E13" i="13"/>
  <c r="F13" s="1"/>
  <c r="AO6" i="12"/>
  <c r="AQ4"/>
  <c r="N10" i="13"/>
  <c r="AR4" i="12"/>
  <c r="AS4" s="1"/>
  <c r="AH9"/>
  <c r="AG9"/>
  <c r="AU10"/>
  <c r="S15" i="13"/>
  <c r="AD49" i="12"/>
  <c r="J54" i="13"/>
  <c r="AJ8" i="12"/>
  <c r="AK8" s="1"/>
  <c r="AM7"/>
  <c r="AP7" s="1"/>
  <c r="N13" i="13" s="1"/>
  <c r="X7" i="12"/>
  <c r="T8"/>
  <c r="U8"/>
  <c r="V8" s="1"/>
  <c r="P10"/>
  <c r="D16" i="13" s="1"/>
  <c r="R9" i="12"/>
  <c r="S9"/>
  <c r="AL10" i="11"/>
  <c r="AN9"/>
  <c r="AO9"/>
  <c r="AP8"/>
  <c r="AS8" s="1"/>
  <c r="AQ8"/>
  <c r="AR8" s="1"/>
  <c r="AT7"/>
  <c r="DH10"/>
  <c r="BD8"/>
  <c r="BI8" s="1"/>
  <c r="DB10"/>
  <c r="CZ11"/>
  <c r="BJ7"/>
  <c r="BC9"/>
  <c r="S9"/>
  <c r="T9" s="1"/>
  <c r="W9" s="1"/>
  <c r="BF9"/>
  <c r="P10"/>
  <c r="CZ12" s="1"/>
  <c r="DG11"/>
  <c r="U8"/>
  <c r="V8" s="1"/>
  <c r="T8"/>
  <c r="W8" s="1"/>
  <c r="BG8"/>
  <c r="BH8" s="1"/>
  <c r="BM10"/>
  <c r="BW9"/>
  <c r="BO9"/>
  <c r="BP9"/>
  <c r="BY9"/>
  <c r="BS8"/>
  <c r="BQ8"/>
  <c r="BR8" s="1"/>
  <c r="BT7"/>
  <c r="BZ8"/>
  <c r="DG12"/>
  <c r="BC10"/>
  <c r="AA8" i="9"/>
  <c r="AD8" s="1"/>
  <c r="Z8"/>
  <c r="Y9"/>
  <c r="AB9"/>
  <c r="AC9" s="1"/>
  <c r="V11"/>
  <c r="W10"/>
  <c r="X10"/>
  <c r="AA6" i="10"/>
  <c r="AB5"/>
  <c r="AA7"/>
  <c r="W11"/>
  <c r="X10"/>
  <c r="AA4"/>
  <c r="S12" i="15" l="1"/>
  <c r="Y12"/>
  <c r="S13"/>
  <c r="Y13"/>
  <c r="F12"/>
  <c r="N6" i="16"/>
  <c r="BJ16" i="17"/>
  <c r="F10"/>
  <c r="B11"/>
  <c r="AF10" i="14"/>
  <c r="AH9"/>
  <c r="AI9"/>
  <c r="K15" i="15"/>
  <c r="AS6" i="14"/>
  <c r="AT6" s="1"/>
  <c r="N12" i="15"/>
  <c r="AR6" i="14"/>
  <c r="AJ8"/>
  <c r="AM8" s="1"/>
  <c r="L14" i="15" s="1"/>
  <c r="AA7" i="14"/>
  <c r="G13" i="15" s="1"/>
  <c r="E13"/>
  <c r="AP7" i="14"/>
  <c r="M13" i="15"/>
  <c r="Y8" i="14"/>
  <c r="AZ10"/>
  <c r="AY10"/>
  <c r="AW11"/>
  <c r="BF7"/>
  <c r="BG7" s="1"/>
  <c r="AS7"/>
  <c r="AT7" s="1"/>
  <c r="AR7"/>
  <c r="BA9"/>
  <c r="BB9"/>
  <c r="BC9" s="1"/>
  <c r="P11"/>
  <c r="D17" i="15" s="1"/>
  <c r="R10" i="14"/>
  <c r="T10"/>
  <c r="BJ6"/>
  <c r="BK6" s="1"/>
  <c r="BI6"/>
  <c r="BD8"/>
  <c r="BE8" s="1"/>
  <c r="W9"/>
  <c r="X9" s="1"/>
  <c r="U9"/>
  <c r="BE7"/>
  <c r="BH7" s="1"/>
  <c r="W76" i="13"/>
  <c r="BI70" i="12"/>
  <c r="BJ70" s="1"/>
  <c r="BA72"/>
  <c r="BB72" s="1"/>
  <c r="AZ72"/>
  <c r="BC72" s="1"/>
  <c r="U77" i="13"/>
  <c r="BE71" i="12"/>
  <c r="V77" i="13" s="1"/>
  <c r="BH70" i="12"/>
  <c r="BD71"/>
  <c r="BG71" s="1"/>
  <c r="BF70"/>
  <c r="V76" i="13"/>
  <c r="AX73" i="12"/>
  <c r="AY73"/>
  <c r="T79" i="13"/>
  <c r="K18"/>
  <c r="Z6" i="12"/>
  <c r="G12" i="13"/>
  <c r="W8" i="12"/>
  <c r="X8" s="1"/>
  <c r="AA7"/>
  <c r="AB7" s="1"/>
  <c r="G13" i="13"/>
  <c r="AD25" i="12"/>
  <c r="J30" i="13"/>
  <c r="AD50" i="12"/>
  <c r="J55" i="13"/>
  <c r="AH10" i="12"/>
  <c r="AG10"/>
  <c r="AO7"/>
  <c r="AN8"/>
  <c r="M14" i="13" s="1"/>
  <c r="AI9" i="12"/>
  <c r="AL9" s="1"/>
  <c r="L15" i="13" s="1"/>
  <c r="AJ9" i="12"/>
  <c r="AK9" s="1"/>
  <c r="AQ7"/>
  <c r="AR7"/>
  <c r="AS7" s="1"/>
  <c r="AU11"/>
  <c r="S16" i="13"/>
  <c r="Z7" i="12"/>
  <c r="AM8"/>
  <c r="AP8" s="1"/>
  <c r="N14" i="13" s="1"/>
  <c r="U9" i="12"/>
  <c r="V9" s="1"/>
  <c r="T9"/>
  <c r="W9" s="1"/>
  <c r="R10"/>
  <c r="P11"/>
  <c r="D17" i="13" s="1"/>
  <c r="S10" i="12"/>
  <c r="S10" i="11"/>
  <c r="P11"/>
  <c r="BC11" s="1"/>
  <c r="AL11"/>
  <c r="AN10"/>
  <c r="AO10"/>
  <c r="AP9"/>
  <c r="AS9" s="1"/>
  <c r="AQ9"/>
  <c r="AR9" s="1"/>
  <c r="AT8"/>
  <c r="DH11"/>
  <c r="BF10"/>
  <c r="BG10" s="1"/>
  <c r="BH10" s="1"/>
  <c r="R10"/>
  <c r="U10" s="1"/>
  <c r="BG9"/>
  <c r="BH9" s="1"/>
  <c r="U9"/>
  <c r="V9" s="1"/>
  <c r="X9" s="1"/>
  <c r="X8"/>
  <c r="BD9"/>
  <c r="BI9" s="1"/>
  <c r="DB11"/>
  <c r="BJ8"/>
  <c r="BD10"/>
  <c r="BI10" s="1"/>
  <c r="BM11"/>
  <c r="BW10"/>
  <c r="BO10"/>
  <c r="BP10"/>
  <c r="BY10"/>
  <c r="BS9"/>
  <c r="BQ9"/>
  <c r="BR9" s="1"/>
  <c r="BZ9"/>
  <c r="BT8"/>
  <c r="CZ13"/>
  <c r="BF11"/>
  <c r="DH12"/>
  <c r="DB12"/>
  <c r="AA9" i="9"/>
  <c r="AD9" s="1"/>
  <c r="Z9"/>
  <c r="Y10"/>
  <c r="AB10"/>
  <c r="AC10" s="1"/>
  <c r="V12"/>
  <c r="W11"/>
  <c r="X11"/>
  <c r="AB4" i="10"/>
  <c r="W12"/>
  <c r="X11"/>
  <c r="AC5"/>
  <c r="Y10"/>
  <c r="Z10" s="1"/>
  <c r="AB6"/>
  <c r="AB7"/>
  <c r="AA8"/>
  <c r="R14" i="15" l="1"/>
  <c r="N8" i="17"/>
  <c r="O8" s="1"/>
  <c r="F13" i="15"/>
  <c r="N7" i="16"/>
  <c r="AO8" i="14"/>
  <c r="AN8"/>
  <c r="AQ8" s="1"/>
  <c r="N14" i="15" s="1"/>
  <c r="BJ17" i="17"/>
  <c r="B12"/>
  <c r="F11"/>
  <c r="AK9" i="14"/>
  <c r="AL9" s="1"/>
  <c r="AJ9"/>
  <c r="AM9" s="1"/>
  <c r="L15" i="15" s="1"/>
  <c r="AF11" i="14"/>
  <c r="K16" i="15"/>
  <c r="AI10" i="14"/>
  <c r="AH10"/>
  <c r="AP8"/>
  <c r="M14" i="15"/>
  <c r="AA8" i="14"/>
  <c r="G14" i="15" s="1"/>
  <c r="E14"/>
  <c r="Z8" i="14"/>
  <c r="AS8"/>
  <c r="AT8" s="1"/>
  <c r="BJ7"/>
  <c r="BK7" s="1"/>
  <c r="BI7"/>
  <c r="BA10"/>
  <c r="BB10"/>
  <c r="BC10" s="1"/>
  <c r="BF8"/>
  <c r="BG8" s="1"/>
  <c r="BH8"/>
  <c r="T11"/>
  <c r="R11"/>
  <c r="P12"/>
  <c r="D18" i="15" s="1"/>
  <c r="AY11" i="14"/>
  <c r="AW12"/>
  <c r="AZ11"/>
  <c r="U10"/>
  <c r="W10"/>
  <c r="X10" s="1"/>
  <c r="Y9"/>
  <c r="BD9"/>
  <c r="BA73" i="12"/>
  <c r="BB73" s="1"/>
  <c r="BF71"/>
  <c r="BI71"/>
  <c r="BJ71" s="1"/>
  <c r="W77" i="13"/>
  <c r="BH71" i="12"/>
  <c r="BD72"/>
  <c r="BG72" s="1"/>
  <c r="U78" i="13"/>
  <c r="BE72" i="12"/>
  <c r="AY74"/>
  <c r="T80" i="13"/>
  <c r="AX74" i="12"/>
  <c r="AZ73"/>
  <c r="BC73" s="1"/>
  <c r="K19" i="13"/>
  <c r="AQ8" i="12"/>
  <c r="AR8"/>
  <c r="AS8" s="1"/>
  <c r="Y9"/>
  <c r="Z9" s="1"/>
  <c r="E15" i="13"/>
  <c r="F15" s="1"/>
  <c r="AN9" i="12"/>
  <c r="M15" i="13" s="1"/>
  <c r="AM9" i="12"/>
  <c r="AP9" s="1"/>
  <c r="AO8"/>
  <c r="AG11"/>
  <c r="AH11"/>
  <c r="AD51"/>
  <c r="J56" i="13"/>
  <c r="AJ10" i="12"/>
  <c r="AK10" s="1"/>
  <c r="AI10"/>
  <c r="X9"/>
  <c r="AU12"/>
  <c r="S17" i="13"/>
  <c r="AD26" i="12"/>
  <c r="J31" i="13"/>
  <c r="Y8" i="12"/>
  <c r="E14" i="13"/>
  <c r="F14" s="1"/>
  <c r="P12" i="12"/>
  <c r="D18" i="13" s="1"/>
  <c r="R11" i="12"/>
  <c r="S11"/>
  <c r="T10"/>
  <c r="U10"/>
  <c r="V10" s="1"/>
  <c r="DG13" i="11"/>
  <c r="DH13" s="1"/>
  <c r="R11"/>
  <c r="T11" s="1"/>
  <c r="W11" s="1"/>
  <c r="P12"/>
  <c r="BC12" s="1"/>
  <c r="S11"/>
  <c r="AL12"/>
  <c r="AN11"/>
  <c r="AO11"/>
  <c r="AP10"/>
  <c r="AS10" s="1"/>
  <c r="AQ10"/>
  <c r="AR10" s="1"/>
  <c r="AT9"/>
  <c r="BJ9"/>
  <c r="BJ10"/>
  <c r="T10"/>
  <c r="W10" s="1"/>
  <c r="BD11"/>
  <c r="BI11" s="1"/>
  <c r="V10"/>
  <c r="U11"/>
  <c r="BM12"/>
  <c r="BW11"/>
  <c r="BO11"/>
  <c r="BP11"/>
  <c r="BY11"/>
  <c r="BS10"/>
  <c r="BQ10"/>
  <c r="BR10" s="1"/>
  <c r="BZ10"/>
  <c r="BT9"/>
  <c r="P13"/>
  <c r="CZ14"/>
  <c r="DG14"/>
  <c r="S12"/>
  <c r="BF12"/>
  <c r="BG11"/>
  <c r="BH11" s="1"/>
  <c r="DB13"/>
  <c r="AA10" i="9"/>
  <c r="AD10" s="1"/>
  <c r="Z10"/>
  <c r="Y11"/>
  <c r="AB11"/>
  <c r="AC11" s="1"/>
  <c r="V13"/>
  <c r="W12"/>
  <c r="X12"/>
  <c r="W13" i="10"/>
  <c r="X12"/>
  <c r="AB8"/>
  <c r="Y11"/>
  <c r="Z11" s="1"/>
  <c r="AC7"/>
  <c r="AC6"/>
  <c r="AA9"/>
  <c r="AC4"/>
  <c r="F14" i="15" l="1"/>
  <c r="N8" i="16"/>
  <c r="S14" i="15"/>
  <c r="Y14"/>
  <c r="R15"/>
  <c r="N9" i="17"/>
  <c r="O9" s="1"/>
  <c r="AR8" i="14"/>
  <c r="BJ18" i="17"/>
  <c r="F12"/>
  <c r="B13"/>
  <c r="AJ10" i="14"/>
  <c r="AM10" s="1"/>
  <c r="AK10"/>
  <c r="AL10" s="1"/>
  <c r="AF12"/>
  <c r="K17" i="15"/>
  <c r="AI11" i="14"/>
  <c r="AH11"/>
  <c r="AN9"/>
  <c r="AQ9" s="1"/>
  <c r="N15" i="15" s="1"/>
  <c r="AO9" i="14"/>
  <c r="M15" i="15" s="1"/>
  <c r="AA9" i="14"/>
  <c r="G15" i="15" s="1"/>
  <c r="E15"/>
  <c r="L16"/>
  <c r="Z9" i="14"/>
  <c r="W11"/>
  <c r="X11" s="1"/>
  <c r="U11"/>
  <c r="BA11"/>
  <c r="BB11"/>
  <c r="BC11" s="1"/>
  <c r="BJ8"/>
  <c r="BK8" s="1"/>
  <c r="BI8"/>
  <c r="BF9"/>
  <c r="BG9" s="1"/>
  <c r="AO10"/>
  <c r="Y10"/>
  <c r="R12"/>
  <c r="P13"/>
  <c r="D19" i="15" s="1"/>
  <c r="T12" i="14"/>
  <c r="AZ12"/>
  <c r="AW13"/>
  <c r="AY12"/>
  <c r="BD10"/>
  <c r="BE9"/>
  <c r="BH9" s="1"/>
  <c r="BA74" i="12"/>
  <c r="BB74" s="1"/>
  <c r="AZ74"/>
  <c r="BC74" s="1"/>
  <c r="W78" i="13"/>
  <c r="BI72" i="12"/>
  <c r="BJ72" s="1"/>
  <c r="U79" i="13"/>
  <c r="BE73" i="12"/>
  <c r="T81" i="13"/>
  <c r="AX75" i="12"/>
  <c r="AY75"/>
  <c r="BF72"/>
  <c r="V78" i="13"/>
  <c r="BH72" i="12"/>
  <c r="BD73"/>
  <c r="BG73" s="1"/>
  <c r="K20" i="13"/>
  <c r="AQ9" i="12"/>
  <c r="N15" i="13"/>
  <c r="AL10" i="12"/>
  <c r="AD27"/>
  <c r="J32" i="13"/>
  <c r="W10" i="12"/>
  <c r="AA8"/>
  <c r="AB8" s="1"/>
  <c r="G14" i="13"/>
  <c r="Z8" i="12"/>
  <c r="AU13"/>
  <c r="S18" i="13"/>
  <c r="AJ11" i="12"/>
  <c r="AK11" s="1"/>
  <c r="AI11"/>
  <c r="AL11" s="1"/>
  <c r="L17" i="13" s="1"/>
  <c r="AR9" i="12"/>
  <c r="AS9" s="1"/>
  <c r="AH12"/>
  <c r="AG12"/>
  <c r="AD52"/>
  <c r="J57" i="13"/>
  <c r="G15"/>
  <c r="AA9" i="12"/>
  <c r="AB9" s="1"/>
  <c r="AO9"/>
  <c r="P13"/>
  <c r="D19" i="13" s="1"/>
  <c r="R12" i="12"/>
  <c r="S12"/>
  <c r="U11"/>
  <c r="V11" s="1"/>
  <c r="T11"/>
  <c r="W11" s="1"/>
  <c r="R12" i="11"/>
  <c r="X10"/>
  <c r="AL13"/>
  <c r="AN12"/>
  <c r="AO12"/>
  <c r="AP11"/>
  <c r="AS11" s="1"/>
  <c r="AQ11"/>
  <c r="AR11" s="1"/>
  <c r="AT10"/>
  <c r="T12"/>
  <c r="W12" s="1"/>
  <c r="BD12"/>
  <c r="BI12" s="1"/>
  <c r="BJ11"/>
  <c r="BZ11"/>
  <c r="BS11"/>
  <c r="BQ11"/>
  <c r="BR11" s="1"/>
  <c r="V11"/>
  <c r="X11" s="1"/>
  <c r="BM13"/>
  <c r="BW12"/>
  <c r="BO12"/>
  <c r="BP12"/>
  <c r="BY12"/>
  <c r="BT10"/>
  <c r="P14"/>
  <c r="CZ15"/>
  <c r="DG15"/>
  <c r="R13"/>
  <c r="BC13"/>
  <c r="BD13" s="1"/>
  <c r="S13"/>
  <c r="BF13"/>
  <c r="U12"/>
  <c r="BG12"/>
  <c r="BH12" s="1"/>
  <c r="BJ12" s="1"/>
  <c r="DB14"/>
  <c r="DH14"/>
  <c r="AA11" i="9"/>
  <c r="AD11" s="1"/>
  <c r="Z11"/>
  <c r="Y12"/>
  <c r="AB12"/>
  <c r="AC12" s="1"/>
  <c r="V14"/>
  <c r="W13"/>
  <c r="X13"/>
  <c r="Y12" i="10"/>
  <c r="Z12" s="1"/>
  <c r="AB9"/>
  <c r="AA10"/>
  <c r="AC8"/>
  <c r="W14"/>
  <c r="X13"/>
  <c r="F15" i="15" l="1"/>
  <c r="N9" i="16"/>
  <c r="R16" i="15"/>
  <c r="N10" i="17"/>
  <c r="O10" s="1"/>
  <c r="S15" i="15"/>
  <c r="Y15"/>
  <c r="AS9" i="14"/>
  <c r="AT9" s="1"/>
  <c r="AR9"/>
  <c r="AN10"/>
  <c r="AQ10" s="1"/>
  <c r="N16" i="15" s="1"/>
  <c r="BJ19" i="17"/>
  <c r="B14"/>
  <c r="F13"/>
  <c r="AK11" i="14"/>
  <c r="AL11" s="1"/>
  <c r="AJ11"/>
  <c r="AM11" s="1"/>
  <c r="L17" i="15" s="1"/>
  <c r="AF13" i="14"/>
  <c r="K18" i="15"/>
  <c r="AI12" i="14"/>
  <c r="AH12"/>
  <c r="AP9"/>
  <c r="AA10"/>
  <c r="G16" i="15" s="1"/>
  <c r="E16"/>
  <c r="AP10" i="14"/>
  <c r="M16" i="15"/>
  <c r="Z10" i="14"/>
  <c r="BJ9"/>
  <c r="BK9" s="1"/>
  <c r="BI9"/>
  <c r="BF10"/>
  <c r="BG10" s="1"/>
  <c r="AZ13"/>
  <c r="AW14"/>
  <c r="AY13"/>
  <c r="BA12"/>
  <c r="BB12"/>
  <c r="BC12" s="1"/>
  <c r="U12"/>
  <c r="W12"/>
  <c r="X12" s="1"/>
  <c r="AS10"/>
  <c r="AT10" s="1"/>
  <c r="AR10"/>
  <c r="Y11"/>
  <c r="BE10"/>
  <c r="BH10" s="1"/>
  <c r="R13"/>
  <c r="P14"/>
  <c r="D20" i="15" s="1"/>
  <c r="T13" i="14"/>
  <c r="BD11"/>
  <c r="BD74" i="12"/>
  <c r="BG74" s="1"/>
  <c r="AZ75"/>
  <c r="BC75" s="1"/>
  <c r="BA75"/>
  <c r="BB75" s="1"/>
  <c r="W79" i="13"/>
  <c r="BI73" i="12"/>
  <c r="BJ73" s="1"/>
  <c r="BH73"/>
  <c r="U80" i="13"/>
  <c r="BE74" i="12"/>
  <c r="BF73"/>
  <c r="V79" i="13"/>
  <c r="AY76" i="12"/>
  <c r="T82" i="13"/>
  <c r="AX76" i="12"/>
  <c r="AM11"/>
  <c r="AM10"/>
  <c r="AP10" s="1"/>
  <c r="N16" i="13" s="1"/>
  <c r="L16"/>
  <c r="K21"/>
  <c r="AD53" i="12"/>
  <c r="J58" i="13"/>
  <c r="Y11" i="12"/>
  <c r="Z11" s="1"/>
  <c r="E17" i="13"/>
  <c r="F17" s="1"/>
  <c r="AG13" i="12"/>
  <c r="AH13"/>
  <c r="AD28"/>
  <c r="J33" i="13"/>
  <c r="AN10" i="12"/>
  <c r="M16" i="13" s="1"/>
  <c r="AP11" i="12"/>
  <c r="N17" i="13" s="1"/>
  <c r="AN11" i="12"/>
  <c r="M17" i="13" s="1"/>
  <c r="Y10" i="12"/>
  <c r="E16" i="13"/>
  <c r="F16" s="1"/>
  <c r="AJ12" i="12"/>
  <c r="AK12" s="1"/>
  <c r="AI12"/>
  <c r="AU14"/>
  <c r="S19" i="13"/>
  <c r="X10" i="12"/>
  <c r="P14"/>
  <c r="D20" i="13" s="1"/>
  <c r="R13" i="12"/>
  <c r="S13"/>
  <c r="T12"/>
  <c r="U12"/>
  <c r="V12" s="1"/>
  <c r="X11"/>
  <c r="AL14" i="11"/>
  <c r="AN13"/>
  <c r="AO13"/>
  <c r="AP12"/>
  <c r="AS12" s="1"/>
  <c r="AQ12"/>
  <c r="AR12" s="1"/>
  <c r="AT11"/>
  <c r="BI13"/>
  <c r="T13"/>
  <c r="W13" s="1"/>
  <c r="BZ12"/>
  <c r="BT11"/>
  <c r="V12"/>
  <c r="X12" s="1"/>
  <c r="BS12"/>
  <c r="BQ12"/>
  <c r="BR12" s="1"/>
  <c r="BM14"/>
  <c r="BO13"/>
  <c r="BW13"/>
  <c r="BP13"/>
  <c r="BY13"/>
  <c r="BG13"/>
  <c r="BH13" s="1"/>
  <c r="BJ13" s="1"/>
  <c r="P15"/>
  <c r="DG16"/>
  <c r="R14"/>
  <c r="CZ16"/>
  <c r="BC14"/>
  <c r="S14"/>
  <c r="BF14"/>
  <c r="DB15"/>
  <c r="DH15"/>
  <c r="U13"/>
  <c r="AA12" i="9"/>
  <c r="AD12" s="1"/>
  <c r="Z12"/>
  <c r="Y13"/>
  <c r="AB13"/>
  <c r="AC13" s="1"/>
  <c r="V15"/>
  <c r="W14"/>
  <c r="X14"/>
  <c r="W15" i="10"/>
  <c r="X14"/>
  <c r="AC9"/>
  <c r="AA11"/>
  <c r="Y13"/>
  <c r="Z13" s="1"/>
  <c r="AB10"/>
  <c r="R17" i="15" l="1"/>
  <c r="N11" i="17"/>
  <c r="O11" s="1"/>
  <c r="F16" i="15"/>
  <c r="N10" i="16"/>
  <c r="S16" i="15"/>
  <c r="Y16"/>
  <c r="AO11" i="14"/>
  <c r="AP11" s="1"/>
  <c r="AN11"/>
  <c r="AQ11" s="1"/>
  <c r="N17" i="15" s="1"/>
  <c r="BJ20" i="17"/>
  <c r="F14"/>
  <c r="B15"/>
  <c r="AK12" i="14"/>
  <c r="AL12" s="1"/>
  <c r="AJ12"/>
  <c r="AM12" s="1"/>
  <c r="L18" i="15" s="1"/>
  <c r="AF14" i="14"/>
  <c r="K19" i="15"/>
  <c r="AI13" i="14"/>
  <c r="AH13"/>
  <c r="AA11"/>
  <c r="G17" i="15" s="1"/>
  <c r="E17"/>
  <c r="M17"/>
  <c r="BJ10" i="14"/>
  <c r="BK10" s="1"/>
  <c r="BI10"/>
  <c r="BF11"/>
  <c r="BG11" s="1"/>
  <c r="BD12"/>
  <c r="R14"/>
  <c r="P15"/>
  <c r="D21" i="15" s="1"/>
  <c r="T14" i="14"/>
  <c r="AS11"/>
  <c r="AT11" s="1"/>
  <c r="AR11"/>
  <c r="Y12"/>
  <c r="AW15"/>
  <c r="AZ14"/>
  <c r="AY14"/>
  <c r="Z11"/>
  <c r="U13"/>
  <c r="W13"/>
  <c r="X13" s="1"/>
  <c r="BA13"/>
  <c r="BB13"/>
  <c r="BC13" s="1"/>
  <c r="BE12"/>
  <c r="AN12"/>
  <c r="AQ12" s="1"/>
  <c r="N18" i="15" s="1"/>
  <c r="BE11" i="14"/>
  <c r="BH11" s="1"/>
  <c r="AY77" i="12"/>
  <c r="AX77"/>
  <c r="T83" i="13"/>
  <c r="W80"/>
  <c r="BI74" i="12"/>
  <c r="BJ74" s="1"/>
  <c r="BF74"/>
  <c r="V80" i="13"/>
  <c r="U81"/>
  <c r="BE75" i="12"/>
  <c r="V81" i="13" s="1"/>
  <c r="AZ76" i="12"/>
  <c r="BC76" s="1"/>
  <c r="BA76"/>
  <c r="BB76" s="1"/>
  <c r="BD75"/>
  <c r="BG75" s="1"/>
  <c r="BF75"/>
  <c r="BH74"/>
  <c r="AR10"/>
  <c r="AS10" s="1"/>
  <c r="K22" i="13"/>
  <c r="AQ10" i="12"/>
  <c r="AQ11"/>
  <c r="AR11"/>
  <c r="AS11" s="1"/>
  <c r="AD29"/>
  <c r="J34" i="13"/>
  <c r="AD54" i="12"/>
  <c r="J59" i="13"/>
  <c r="AL12" i="12"/>
  <c r="L18" i="13" s="1"/>
  <c r="AO11" i="12"/>
  <c r="AJ13"/>
  <c r="AK13" s="1"/>
  <c r="AI13"/>
  <c r="AL13" s="1"/>
  <c r="L19" i="13" s="1"/>
  <c r="W12" i="12"/>
  <c r="AU15"/>
  <c r="S20" i="13"/>
  <c r="AA10" i="12"/>
  <c r="AB10" s="1"/>
  <c r="G16" i="13"/>
  <c r="Z10" i="12"/>
  <c r="AG14"/>
  <c r="AH14"/>
  <c r="AA11"/>
  <c r="AB11" s="1"/>
  <c r="G17" i="13"/>
  <c r="AO10" i="12"/>
  <c r="X12"/>
  <c r="P15"/>
  <c r="D21" i="13" s="1"/>
  <c r="R14" i="12"/>
  <c r="S14"/>
  <c r="T13"/>
  <c r="W13" s="1"/>
  <c r="U13"/>
  <c r="V13" s="1"/>
  <c r="AP13" i="11"/>
  <c r="AS13" s="1"/>
  <c r="AQ13"/>
  <c r="AR13" s="1"/>
  <c r="AT13" s="1"/>
  <c r="AL15"/>
  <c r="AN14"/>
  <c r="AO14"/>
  <c r="AT12"/>
  <c r="T14"/>
  <c r="W14" s="1"/>
  <c r="BD14"/>
  <c r="BI14" s="1"/>
  <c r="BZ13"/>
  <c r="BS13"/>
  <c r="BQ13"/>
  <c r="BR13" s="1"/>
  <c r="V13"/>
  <c r="X13" s="1"/>
  <c r="BM15"/>
  <c r="BW14"/>
  <c r="BO14"/>
  <c r="BP14"/>
  <c r="BY14"/>
  <c r="BT12"/>
  <c r="BG14"/>
  <c r="BH14" s="1"/>
  <c r="P16"/>
  <c r="CZ17"/>
  <c r="BC15"/>
  <c r="R15"/>
  <c r="DG17"/>
  <c r="DH17" s="1"/>
  <c r="S15"/>
  <c r="BF15"/>
  <c r="DH16"/>
  <c r="U14"/>
  <c r="DB16"/>
  <c r="AA13" i="9"/>
  <c r="AD13" s="1"/>
  <c r="Z13"/>
  <c r="Y14"/>
  <c r="AB14"/>
  <c r="AC14" s="1"/>
  <c r="V16"/>
  <c r="W15"/>
  <c r="X15"/>
  <c r="W16" i="10"/>
  <c r="X15"/>
  <c r="AB11"/>
  <c r="AC10"/>
  <c r="AA12"/>
  <c r="Y14"/>
  <c r="Z14" s="1"/>
  <c r="R18" i="15" l="1"/>
  <c r="N12" i="17"/>
  <c r="O12" s="1"/>
  <c r="S17" i="15"/>
  <c r="Y17"/>
  <c r="F17"/>
  <c r="N11" i="16"/>
  <c r="BJ21" i="17"/>
  <c r="B16"/>
  <c r="F15"/>
  <c r="AF15" i="14"/>
  <c r="K20" i="15"/>
  <c r="AI14" i="14"/>
  <c r="AH14"/>
  <c r="AO12"/>
  <c r="AP12" s="1"/>
  <c r="AK13"/>
  <c r="AL13" s="1"/>
  <c r="AN13" s="1"/>
  <c r="AQ13" s="1"/>
  <c r="N19" i="15" s="1"/>
  <c r="AJ13" i="14"/>
  <c r="AM13" s="1"/>
  <c r="L19" i="15" s="1"/>
  <c r="AA12" i="14"/>
  <c r="G18" i="15" s="1"/>
  <c r="E18"/>
  <c r="M18"/>
  <c r="Z12" i="14"/>
  <c r="AS12"/>
  <c r="AT12" s="1"/>
  <c r="AR12"/>
  <c r="BD13"/>
  <c r="BE13" s="1"/>
  <c r="BH12"/>
  <c r="BF12"/>
  <c r="BG12" s="1"/>
  <c r="Y13"/>
  <c r="BA14"/>
  <c r="BB14"/>
  <c r="BC14" s="1"/>
  <c r="P16"/>
  <c r="D22" i="15" s="1"/>
  <c r="R15" i="14"/>
  <c r="T15"/>
  <c r="AZ15"/>
  <c r="AY15"/>
  <c r="AW16"/>
  <c r="BJ11"/>
  <c r="BK11" s="1"/>
  <c r="BI11"/>
  <c r="U14"/>
  <c r="W14"/>
  <c r="X14" s="1"/>
  <c r="BA77" i="12"/>
  <c r="BB77" s="1"/>
  <c r="BI75"/>
  <c r="BJ75" s="1"/>
  <c r="W81" i="13"/>
  <c r="AX78" i="12"/>
  <c r="T84" i="13"/>
  <c r="AY78" i="12"/>
  <c r="U82" i="13"/>
  <c r="BE76" i="12"/>
  <c r="BD76"/>
  <c r="BG76" s="1"/>
  <c r="BH75"/>
  <c r="AZ77"/>
  <c r="BC77" s="1"/>
  <c r="K23" i="13"/>
  <c r="AM13" i="12"/>
  <c r="AP13" s="1"/>
  <c r="N19" i="13" s="1"/>
  <c r="AN12" i="12"/>
  <c r="M18" i="13" s="1"/>
  <c r="AD55" i="12"/>
  <c r="J60" i="13"/>
  <c r="AJ14" i="12"/>
  <c r="AK14" s="1"/>
  <c r="AI14"/>
  <c r="AN13"/>
  <c r="M19" i="13" s="1"/>
  <c r="Y12" i="12"/>
  <c r="E18" i="13"/>
  <c r="F18" s="1"/>
  <c r="AD30" i="12"/>
  <c r="J35" i="13"/>
  <c r="AM12" i="12"/>
  <c r="AP12" s="1"/>
  <c r="N18" i="13" s="1"/>
  <c r="Y13" i="12"/>
  <c r="E19" i="13"/>
  <c r="F19" s="1"/>
  <c r="AH15" i="12"/>
  <c r="AG15"/>
  <c r="AU16"/>
  <c r="S21" i="13"/>
  <c r="P16" i="12"/>
  <c r="D22" i="13" s="1"/>
  <c r="R15" i="12"/>
  <c r="S15"/>
  <c r="T14"/>
  <c r="U14"/>
  <c r="V14" s="1"/>
  <c r="X13"/>
  <c r="AL16" i="11"/>
  <c r="AN15"/>
  <c r="AO15"/>
  <c r="AP14"/>
  <c r="AS14" s="1"/>
  <c r="AQ14"/>
  <c r="AR14" s="1"/>
  <c r="BJ14"/>
  <c r="BD15"/>
  <c r="BI15" s="1"/>
  <c r="T15"/>
  <c r="W15" s="1"/>
  <c r="BS14"/>
  <c r="BQ14"/>
  <c r="BR14" s="1"/>
  <c r="V14"/>
  <c r="X14" s="1"/>
  <c r="BM16"/>
  <c r="BW15"/>
  <c r="BO15"/>
  <c r="BP15"/>
  <c r="BY15"/>
  <c r="BZ14"/>
  <c r="BT13"/>
  <c r="P17"/>
  <c r="BC16"/>
  <c r="CZ18"/>
  <c r="DG18"/>
  <c r="R16"/>
  <c r="S16"/>
  <c r="BF16"/>
  <c r="DB17"/>
  <c r="BG15"/>
  <c r="BH15" s="1"/>
  <c r="U15"/>
  <c r="AA14" i="9"/>
  <c r="AD14" s="1"/>
  <c r="Z14"/>
  <c r="Y15"/>
  <c r="AB15"/>
  <c r="AC15" s="1"/>
  <c r="V17"/>
  <c r="W16"/>
  <c r="X16"/>
  <c r="AB12" i="10"/>
  <c r="W17"/>
  <c r="X16"/>
  <c r="AC11"/>
  <c r="Y15"/>
  <c r="Z15" s="1"/>
  <c r="AA13"/>
  <c r="S18" i="15" l="1"/>
  <c r="Y18"/>
  <c r="F18"/>
  <c r="N12" i="16"/>
  <c r="R19" i="15"/>
  <c r="N13" i="17"/>
  <c r="O13" s="1"/>
  <c r="BJ22"/>
  <c r="F16"/>
  <c r="B17"/>
  <c r="AF16" i="14"/>
  <c r="K21" i="15"/>
  <c r="AH15" i="14"/>
  <c r="AI15"/>
  <c r="AJ14"/>
  <c r="AM14" s="1"/>
  <c r="L20" i="15" s="1"/>
  <c r="AK14" i="14"/>
  <c r="AL14" s="1"/>
  <c r="AO13"/>
  <c r="AP13" s="1"/>
  <c r="AA13"/>
  <c r="G19" i="15" s="1"/>
  <c r="E19"/>
  <c r="BD14" i="14"/>
  <c r="BJ12"/>
  <c r="BK12" s="1"/>
  <c r="BI12"/>
  <c r="Y14"/>
  <c r="Z14" s="1"/>
  <c r="AW17"/>
  <c r="AY16"/>
  <c r="AZ16"/>
  <c r="P17"/>
  <c r="D23" i="15" s="1"/>
  <c r="T16" i="14"/>
  <c r="R16"/>
  <c r="BH13"/>
  <c r="BF13"/>
  <c r="BG13" s="1"/>
  <c r="U15"/>
  <c r="W15"/>
  <c r="X15" s="1"/>
  <c r="AS13"/>
  <c r="AT13" s="1"/>
  <c r="AR13"/>
  <c r="BA15"/>
  <c r="BB15"/>
  <c r="BC15" s="1"/>
  <c r="BE14"/>
  <c r="Z13"/>
  <c r="U83" i="13"/>
  <c r="BE77" i="12"/>
  <c r="BF76"/>
  <c r="V82" i="13"/>
  <c r="W82"/>
  <c r="BI76" i="12"/>
  <c r="BJ76" s="1"/>
  <c r="T85" i="13"/>
  <c r="AY79" i="12"/>
  <c r="AX79"/>
  <c r="BA78"/>
  <c r="BB78" s="1"/>
  <c r="AZ78"/>
  <c r="BC78" s="1"/>
  <c r="BD77"/>
  <c r="BG77" s="1"/>
  <c r="BH76"/>
  <c r="K24" i="13"/>
  <c r="AR13" i="12"/>
  <c r="AS13" s="1"/>
  <c r="AQ13"/>
  <c r="AQ12"/>
  <c r="AR12"/>
  <c r="AS12" s="1"/>
  <c r="W14"/>
  <c r="X14" s="1"/>
  <c r="AH16"/>
  <c r="AG16"/>
  <c r="G18" i="13"/>
  <c r="AA12" i="12"/>
  <c r="AB12" s="1"/>
  <c r="Z12"/>
  <c r="Z13"/>
  <c r="AA13"/>
  <c r="AB13" s="1"/>
  <c r="G19" i="13"/>
  <c r="AD31" i="12"/>
  <c r="J36" i="13"/>
  <c r="AL14" i="12"/>
  <c r="AJ15"/>
  <c r="AK15" s="1"/>
  <c r="AI15"/>
  <c r="AL15" s="1"/>
  <c r="L21" i="13" s="1"/>
  <c r="AO12" i="12"/>
  <c r="AU17"/>
  <c r="S22" i="13"/>
  <c r="AO13" i="12"/>
  <c r="AD56"/>
  <c r="J61" i="13"/>
  <c r="T15" i="12"/>
  <c r="W15" s="1"/>
  <c r="U15"/>
  <c r="V15" s="1"/>
  <c r="P17"/>
  <c r="D23" i="13" s="1"/>
  <c r="R16" i="12"/>
  <c r="S16"/>
  <c r="AP15" i="11"/>
  <c r="AS15" s="1"/>
  <c r="AQ15"/>
  <c r="AR15" s="1"/>
  <c r="AT15" s="1"/>
  <c r="AL17"/>
  <c r="AN16"/>
  <c r="AO16"/>
  <c r="AT14"/>
  <c r="BD16"/>
  <c r="BI16" s="1"/>
  <c r="T16"/>
  <c r="W16" s="1"/>
  <c r="BJ15"/>
  <c r="V15"/>
  <c r="X15" s="1"/>
  <c r="BM17"/>
  <c r="BW16"/>
  <c r="BO16"/>
  <c r="BP16"/>
  <c r="BY16"/>
  <c r="BS15"/>
  <c r="BQ15"/>
  <c r="BR15" s="1"/>
  <c r="BZ15"/>
  <c r="BT14"/>
  <c r="U16"/>
  <c r="P18"/>
  <c r="CZ19"/>
  <c r="DG19"/>
  <c r="R17"/>
  <c r="T17" s="1"/>
  <c r="W17" s="1"/>
  <c r="S17"/>
  <c r="BC17"/>
  <c r="BF17"/>
  <c r="BG16"/>
  <c r="BH16" s="1"/>
  <c r="DB18"/>
  <c r="DH18"/>
  <c r="AA15" i="9"/>
  <c r="AD15" s="1"/>
  <c r="Z15"/>
  <c r="Y16"/>
  <c r="AB16"/>
  <c r="AC16" s="1"/>
  <c r="V18"/>
  <c r="W17"/>
  <c r="X17"/>
  <c r="AC12" i="10"/>
  <c r="AB13"/>
  <c r="W18"/>
  <c r="X17"/>
  <c r="AA14"/>
  <c r="Y16"/>
  <c r="Z16" s="1"/>
  <c r="S19" i="15" l="1"/>
  <c r="Y19"/>
  <c r="F19"/>
  <c r="N13" i="16"/>
  <c r="R20" i="15"/>
  <c r="N14" i="17"/>
  <c r="O14" s="1"/>
  <c r="AO14" i="14"/>
  <c r="AN14"/>
  <c r="AQ14" s="1"/>
  <c r="N20" i="15" s="1"/>
  <c r="BJ23" i="17"/>
  <c r="F17"/>
  <c r="B18"/>
  <c r="AF17" i="14"/>
  <c r="K22" i="15"/>
  <c r="AH16" i="14"/>
  <c r="AI16"/>
  <c r="M19" i="15"/>
  <c r="AJ15" i="14"/>
  <c r="AM15" s="1"/>
  <c r="L21" i="15" s="1"/>
  <c r="AK15" i="14"/>
  <c r="AL15" s="1"/>
  <c r="AP14"/>
  <c r="M20" i="15"/>
  <c r="AA14" i="14"/>
  <c r="G20" i="15" s="1"/>
  <c r="E20"/>
  <c r="P18" i="14"/>
  <c r="D24" i="15" s="1"/>
  <c r="R17" i="14"/>
  <c r="T17"/>
  <c r="BA16"/>
  <c r="BB16"/>
  <c r="BC16" s="1"/>
  <c r="BD15"/>
  <c r="BE15" s="1"/>
  <c r="BJ13"/>
  <c r="BK13" s="1"/>
  <c r="BI13"/>
  <c r="AW18"/>
  <c r="AZ17"/>
  <c r="AY17"/>
  <c r="BH14"/>
  <c r="BF14"/>
  <c r="BG14" s="1"/>
  <c r="AO15"/>
  <c r="Y15"/>
  <c r="U16"/>
  <c r="W16"/>
  <c r="X16" s="1"/>
  <c r="W83" i="13"/>
  <c r="BI77" i="12"/>
  <c r="BJ77" s="1"/>
  <c r="BH77"/>
  <c r="U84" i="13"/>
  <c r="BE78" i="12"/>
  <c r="BF77"/>
  <c r="V83" i="13"/>
  <c r="AZ79" i="12"/>
  <c r="BC79" s="1"/>
  <c r="BA79"/>
  <c r="BB79" s="1"/>
  <c r="BD78"/>
  <c r="BG78" s="1"/>
  <c r="AY80"/>
  <c r="AX80"/>
  <c r="T86" i="13"/>
  <c r="AM15" i="12"/>
  <c r="AP15" s="1"/>
  <c r="N21" i="13" s="1"/>
  <c r="K25"/>
  <c r="AM14" i="12"/>
  <c r="AP14" s="1"/>
  <c r="N20" i="13" s="1"/>
  <c r="L20"/>
  <c r="AD32" i="12"/>
  <c r="J37" i="13"/>
  <c r="Y15" i="12"/>
  <c r="E21" i="13"/>
  <c r="F21" s="1"/>
  <c r="J62"/>
  <c r="AD57" i="12"/>
  <c r="AN15"/>
  <c r="M21" i="13" s="1"/>
  <c r="AJ16" i="12"/>
  <c r="AK16" s="1"/>
  <c r="AI16"/>
  <c r="AL16" s="1"/>
  <c r="L22" i="13" s="1"/>
  <c r="AU18" i="12"/>
  <c r="S23" i="13"/>
  <c r="AN14" i="12"/>
  <c r="M20" i="13" s="1"/>
  <c r="Y14" i="12"/>
  <c r="E20" i="13"/>
  <c r="F20" s="1"/>
  <c r="AG17" i="12"/>
  <c r="AH17"/>
  <c r="X15"/>
  <c r="R17"/>
  <c r="P18"/>
  <c r="D24" i="13" s="1"/>
  <c r="S17" i="12"/>
  <c r="T16"/>
  <c r="U16"/>
  <c r="V16" s="1"/>
  <c r="AL18" i="11"/>
  <c r="AN17"/>
  <c r="AO17"/>
  <c r="AP16"/>
  <c r="AS16" s="1"/>
  <c r="AQ16"/>
  <c r="AR16" s="1"/>
  <c r="BJ16"/>
  <c r="BD17"/>
  <c r="BI17" s="1"/>
  <c r="BT15"/>
  <c r="BS16"/>
  <c r="BQ16"/>
  <c r="BR16" s="1"/>
  <c r="BM18"/>
  <c r="BW17"/>
  <c r="BO17"/>
  <c r="BP17"/>
  <c r="BY17"/>
  <c r="V16"/>
  <c r="X16" s="1"/>
  <c r="BZ16"/>
  <c r="P19"/>
  <c r="DG20"/>
  <c r="R18"/>
  <c r="CZ20"/>
  <c r="BC18"/>
  <c r="S18"/>
  <c r="BF18"/>
  <c r="BG17"/>
  <c r="BH17" s="1"/>
  <c r="DB19"/>
  <c r="DH19"/>
  <c r="U17"/>
  <c r="AA16" i="9"/>
  <c r="AD16" s="1"/>
  <c r="Z16"/>
  <c r="Y17"/>
  <c r="AB17"/>
  <c r="AC17" s="1"/>
  <c r="V19"/>
  <c r="W18"/>
  <c r="X18"/>
  <c r="AA15" i="10"/>
  <c r="W19"/>
  <c r="X18"/>
  <c r="AC13"/>
  <c r="Y17"/>
  <c r="Z17" s="1"/>
  <c r="AB14"/>
  <c r="R21" i="15" l="1"/>
  <c r="N15" i="17"/>
  <c r="O15" s="1"/>
  <c r="S20" i="15"/>
  <c r="Y20"/>
  <c r="F20"/>
  <c r="N14" i="16"/>
  <c r="AR14" i="14"/>
  <c r="AS14"/>
  <c r="AT14" s="1"/>
  <c r="AN15"/>
  <c r="AQ15" s="1"/>
  <c r="N21" i="15" s="1"/>
  <c r="BJ24" i="17"/>
  <c r="F18"/>
  <c r="B19"/>
  <c r="AF18" i="14"/>
  <c r="K23" i="15"/>
  <c r="AH17" i="14"/>
  <c r="AI17"/>
  <c r="AK16"/>
  <c r="AL16" s="1"/>
  <c r="AJ16"/>
  <c r="AM16" s="1"/>
  <c r="L22" i="15" s="1"/>
  <c r="AA15" i="14"/>
  <c r="G21" i="15" s="1"/>
  <c r="E21"/>
  <c r="AP15" i="14"/>
  <c r="M21" i="15"/>
  <c r="AS15" i="14"/>
  <c r="AT15" s="1"/>
  <c r="AR15"/>
  <c r="AW19"/>
  <c r="AZ18"/>
  <c r="AY18"/>
  <c r="Y16"/>
  <c r="Z16" s="1"/>
  <c r="BD16"/>
  <c r="BE16" s="1"/>
  <c r="BJ14"/>
  <c r="BK14" s="1"/>
  <c r="BI14"/>
  <c r="BF15"/>
  <c r="BG15" s="1"/>
  <c r="BH15"/>
  <c r="U17"/>
  <c r="W17"/>
  <c r="X17" s="1"/>
  <c r="Z15"/>
  <c r="BA17"/>
  <c r="BB17"/>
  <c r="BC17" s="1"/>
  <c r="P19"/>
  <c r="D25" i="15" s="1"/>
  <c r="T18" i="14"/>
  <c r="R18"/>
  <c r="AY81" i="12"/>
  <c r="AX81"/>
  <c r="T87" i="13"/>
  <c r="U85"/>
  <c r="BE79" i="12"/>
  <c r="V85" i="13" s="1"/>
  <c r="W84"/>
  <c r="BI78" i="12"/>
  <c r="BJ78" s="1"/>
  <c r="BD79"/>
  <c r="BG79" s="1"/>
  <c r="BH79" s="1"/>
  <c r="BF78"/>
  <c r="V84" i="13"/>
  <c r="AZ80" i="12"/>
  <c r="BC80" s="1"/>
  <c r="BA80"/>
  <c r="BB80" s="1"/>
  <c r="BH78"/>
  <c r="K26" i="13"/>
  <c r="AQ15" i="12"/>
  <c r="AR15"/>
  <c r="AS15" s="1"/>
  <c r="W16"/>
  <c r="X16" s="1"/>
  <c r="AH18"/>
  <c r="AG18"/>
  <c r="AN16"/>
  <c r="M22" i="13" s="1"/>
  <c r="AO14" i="12"/>
  <c r="AU19"/>
  <c r="S24" i="13"/>
  <c r="Z15" i="12"/>
  <c r="AA15"/>
  <c r="AB15" s="1"/>
  <c r="G21" i="13"/>
  <c r="AJ17" i="12"/>
  <c r="AK17" s="1"/>
  <c r="AI17"/>
  <c r="G20" i="13"/>
  <c r="AA14" i="12"/>
  <c r="AB14" s="1"/>
  <c r="Z14"/>
  <c r="AO15"/>
  <c r="AM16"/>
  <c r="AP16" s="1"/>
  <c r="N22" i="13" s="1"/>
  <c r="AQ14" i="12"/>
  <c r="AR14"/>
  <c r="AS14" s="1"/>
  <c r="J63" i="13"/>
  <c r="AD58" i="12"/>
  <c r="AD33"/>
  <c r="J38" i="13"/>
  <c r="P19" i="12"/>
  <c r="D25" i="13" s="1"/>
  <c r="R18" i="12"/>
  <c r="S18"/>
  <c r="T17"/>
  <c r="W17" s="1"/>
  <c r="U17"/>
  <c r="V17" s="1"/>
  <c r="AP17" i="11"/>
  <c r="AS17" s="1"/>
  <c r="AQ17"/>
  <c r="AR17" s="1"/>
  <c r="AT17" s="1"/>
  <c r="AL19"/>
  <c r="AN18"/>
  <c r="AO18"/>
  <c r="AT16"/>
  <c r="BJ17"/>
  <c r="BD18"/>
  <c r="BI18" s="1"/>
  <c r="T18"/>
  <c r="W18" s="1"/>
  <c r="BT16"/>
  <c r="V17"/>
  <c r="X17" s="1"/>
  <c r="BM19"/>
  <c r="BO18"/>
  <c r="BW18"/>
  <c r="BP18"/>
  <c r="BY18"/>
  <c r="BS17"/>
  <c r="BQ17"/>
  <c r="BR17" s="1"/>
  <c r="BZ17"/>
  <c r="P20"/>
  <c r="BC19"/>
  <c r="CZ21"/>
  <c r="R19"/>
  <c r="DG21"/>
  <c r="S19"/>
  <c r="BF19"/>
  <c r="DH20"/>
  <c r="U18"/>
  <c r="DB20"/>
  <c r="BG18"/>
  <c r="BH18" s="1"/>
  <c r="AA17" i="9"/>
  <c r="AD17" s="1"/>
  <c r="Z17"/>
  <c r="Y18"/>
  <c r="AB18"/>
  <c r="AC18" s="1"/>
  <c r="V20"/>
  <c r="W19"/>
  <c r="X19"/>
  <c r="W20" i="10"/>
  <c r="X19"/>
  <c r="AA16"/>
  <c r="Y18"/>
  <c r="Z18" s="1"/>
  <c r="AB15"/>
  <c r="AC14"/>
  <c r="F21" i="15" l="1"/>
  <c r="N15" i="16"/>
  <c r="S21" i="15"/>
  <c r="Y21"/>
  <c r="R22"/>
  <c r="N16" i="17"/>
  <c r="O16" s="1"/>
  <c r="BJ25"/>
  <c r="B20"/>
  <c r="F19"/>
  <c r="AF19" i="14"/>
  <c r="K24" i="15"/>
  <c r="AI18" i="14"/>
  <c r="AH18"/>
  <c r="AN16"/>
  <c r="AQ16" s="1"/>
  <c r="N22" i="15" s="1"/>
  <c r="AO16" i="14"/>
  <c r="AP16" s="1"/>
  <c r="AK17"/>
  <c r="AL17" s="1"/>
  <c r="AJ17"/>
  <c r="AM17" s="1"/>
  <c r="L23" i="15" s="1"/>
  <c r="M22"/>
  <c r="AA16" i="14"/>
  <c r="G22" i="15" s="1"/>
  <c r="E22"/>
  <c r="AR16" i="14"/>
  <c r="BH16"/>
  <c r="BF16"/>
  <c r="BG16" s="1"/>
  <c r="BA18"/>
  <c r="BB18"/>
  <c r="BC18" s="1"/>
  <c r="U18"/>
  <c r="W18"/>
  <c r="X18" s="1"/>
  <c r="AO17"/>
  <c r="BJ15"/>
  <c r="BK15" s="1"/>
  <c r="BI15"/>
  <c r="AW20"/>
  <c r="AY19"/>
  <c r="AZ19"/>
  <c r="P20"/>
  <c r="D26" i="15" s="1"/>
  <c r="T19" i="14"/>
  <c r="R19"/>
  <c r="BD17"/>
  <c r="Y17"/>
  <c r="BA81" i="12"/>
  <c r="BB81" s="1"/>
  <c r="T88" i="13"/>
  <c r="AY82" i="12"/>
  <c r="AX82"/>
  <c r="U86" i="13"/>
  <c r="BE80" i="12"/>
  <c r="BI79"/>
  <c r="BJ79" s="1"/>
  <c r="W85" i="13"/>
  <c r="BD80" i="12"/>
  <c r="BG80" s="1"/>
  <c r="BF79"/>
  <c r="AZ81"/>
  <c r="BC81" s="1"/>
  <c r="K27" i="13"/>
  <c r="AD34" i="12"/>
  <c r="J39" i="13"/>
  <c r="AD59" i="12"/>
  <c r="J64" i="13"/>
  <c r="AG19" i="12"/>
  <c r="AH19"/>
  <c r="AQ16"/>
  <c r="AR16"/>
  <c r="AS16" s="1"/>
  <c r="Y17"/>
  <c r="Z17" s="1"/>
  <c r="E23" i="13"/>
  <c r="F23" s="1"/>
  <c r="AL17" i="12"/>
  <c r="L23" i="13" s="1"/>
  <c r="AU20" i="12"/>
  <c r="S25" i="13"/>
  <c r="AJ18" i="12"/>
  <c r="AK18" s="1"/>
  <c r="AI18"/>
  <c r="AL18" s="1"/>
  <c r="L24" i="13" s="1"/>
  <c r="Y16" i="12"/>
  <c r="E22" i="13"/>
  <c r="F22" s="1"/>
  <c r="AO16" i="12"/>
  <c r="R19"/>
  <c r="P20"/>
  <c r="D26" i="13" s="1"/>
  <c r="S19" i="12"/>
  <c r="X17"/>
  <c r="T18"/>
  <c r="U18"/>
  <c r="V18" s="1"/>
  <c r="AL20" i="11"/>
  <c r="AN19"/>
  <c r="AO19"/>
  <c r="AP18"/>
  <c r="AS18" s="1"/>
  <c r="AQ18"/>
  <c r="AR18" s="1"/>
  <c r="BD19"/>
  <c r="BI19" s="1"/>
  <c r="T19"/>
  <c r="W19" s="1"/>
  <c r="BJ18"/>
  <c r="V18"/>
  <c r="X18" s="1"/>
  <c r="BM20"/>
  <c r="BW19"/>
  <c r="BO19"/>
  <c r="BP19"/>
  <c r="BY19"/>
  <c r="BS18"/>
  <c r="BQ18"/>
  <c r="BR18" s="1"/>
  <c r="BT17"/>
  <c r="BZ18"/>
  <c r="P21"/>
  <c r="BC20"/>
  <c r="CZ22"/>
  <c r="DG22"/>
  <c r="S20"/>
  <c r="R20"/>
  <c r="BF20"/>
  <c r="BG19"/>
  <c r="BH19" s="1"/>
  <c r="DB21"/>
  <c r="U19"/>
  <c r="DH21"/>
  <c r="AA18" i="9"/>
  <c r="AD18" s="1"/>
  <c r="Z18"/>
  <c r="Y19"/>
  <c r="AB19"/>
  <c r="AC19" s="1"/>
  <c r="V21"/>
  <c r="W20"/>
  <c r="X20"/>
  <c r="AC15" i="10"/>
  <c r="AB16"/>
  <c r="W21"/>
  <c r="X20"/>
  <c r="AA17"/>
  <c r="Y19"/>
  <c r="Z19" s="1"/>
  <c r="F22" i="15" l="1"/>
  <c r="N16" i="16"/>
  <c r="R23" i="15"/>
  <c r="N17" i="17"/>
  <c r="O17" s="1"/>
  <c r="S22" i="15"/>
  <c r="Y22"/>
  <c r="AN17" i="14"/>
  <c r="AQ17" s="1"/>
  <c r="N23" i="15" s="1"/>
  <c r="AS16" i="14"/>
  <c r="AT16" s="1"/>
  <c r="BJ26" i="17"/>
  <c r="F20"/>
  <c r="B21"/>
  <c r="AF20" i="14"/>
  <c r="K25" i="15"/>
  <c r="AI19" i="14"/>
  <c r="AH19"/>
  <c r="AJ18"/>
  <c r="AM18" s="1"/>
  <c r="L24" i="15" s="1"/>
  <c r="AK18" i="14"/>
  <c r="AL18" s="1"/>
  <c r="AN18" s="1"/>
  <c r="AQ18" s="1"/>
  <c r="N24" i="15" s="1"/>
  <c r="AA17" i="14"/>
  <c r="G23" i="15" s="1"/>
  <c r="E23"/>
  <c r="AP17" i="14"/>
  <c r="M23" i="15"/>
  <c r="Z17" i="14"/>
  <c r="BF17"/>
  <c r="BG17" s="1"/>
  <c r="P21"/>
  <c r="D27" i="15" s="1"/>
  <c r="R20" i="14"/>
  <c r="T20"/>
  <c r="BD18"/>
  <c r="U19"/>
  <c r="W19"/>
  <c r="X19" s="1"/>
  <c r="BA19"/>
  <c r="BB19"/>
  <c r="BC19" s="1"/>
  <c r="Y18"/>
  <c r="Z18" s="1"/>
  <c r="BJ16"/>
  <c r="BK16" s="1"/>
  <c r="BI16"/>
  <c r="BE17"/>
  <c r="BH17" s="1"/>
  <c r="AY20"/>
  <c r="AW21"/>
  <c r="AZ20"/>
  <c r="BE18"/>
  <c r="BD81" i="12"/>
  <c r="BG81" s="1"/>
  <c r="BI81" s="1"/>
  <c r="BJ81" s="1"/>
  <c r="W86" i="13"/>
  <c r="BI80" i="12"/>
  <c r="BJ80" s="1"/>
  <c r="BH80"/>
  <c r="BF80"/>
  <c r="V86" i="13"/>
  <c r="T89"/>
  <c r="AX83" i="12"/>
  <c r="AY83"/>
  <c r="U87" i="13"/>
  <c r="BE81" i="12"/>
  <c r="AZ82"/>
  <c r="BC82" s="1"/>
  <c r="BA82"/>
  <c r="BB82" s="1"/>
  <c r="K28" i="13"/>
  <c r="AM18" i="12"/>
  <c r="AP18" s="1"/>
  <c r="N24" i="13" s="1"/>
  <c r="W18" i="12"/>
  <c r="X18" s="1"/>
  <c r="AN17"/>
  <c r="M23" i="13" s="1"/>
  <c r="AH20" i="12"/>
  <c r="AG20"/>
  <c r="AD60"/>
  <c r="J65" i="13"/>
  <c r="AN18" i="12"/>
  <c r="M24" i="13" s="1"/>
  <c r="AM17" i="12"/>
  <c r="AP17" s="1"/>
  <c r="N23" i="13" s="1"/>
  <c r="AA16" i="12"/>
  <c r="AB16" s="1"/>
  <c r="G22" i="13"/>
  <c r="Z16" i="12"/>
  <c r="AU21"/>
  <c r="S26" i="13"/>
  <c r="G23"/>
  <c r="AA17" i="12"/>
  <c r="AB17" s="1"/>
  <c r="AJ19"/>
  <c r="AK19" s="1"/>
  <c r="AI19"/>
  <c r="AD35"/>
  <c r="J40" i="13"/>
  <c r="T19" i="12"/>
  <c r="W19" s="1"/>
  <c r="U19"/>
  <c r="V19" s="1"/>
  <c r="P21"/>
  <c r="D27" i="13" s="1"/>
  <c r="R20" i="12"/>
  <c r="S20"/>
  <c r="AP19" i="11"/>
  <c r="AS19" s="1"/>
  <c r="AQ19"/>
  <c r="AR19" s="1"/>
  <c r="AT19" s="1"/>
  <c r="AL21"/>
  <c r="AN20"/>
  <c r="AO20"/>
  <c r="AT18"/>
  <c r="BD20"/>
  <c r="BI20" s="1"/>
  <c r="BJ19"/>
  <c r="T20"/>
  <c r="W20" s="1"/>
  <c r="BM21"/>
  <c r="BW20"/>
  <c r="BO20"/>
  <c r="BP20"/>
  <c r="BY20"/>
  <c r="V19"/>
  <c r="X19" s="1"/>
  <c r="BS19"/>
  <c r="BQ19"/>
  <c r="BR19" s="1"/>
  <c r="BZ19"/>
  <c r="BT18"/>
  <c r="P22"/>
  <c r="CZ23"/>
  <c r="DG23"/>
  <c r="R21"/>
  <c r="BC21"/>
  <c r="BD21" s="1"/>
  <c r="S21"/>
  <c r="BF21"/>
  <c r="U20"/>
  <c r="BG20"/>
  <c r="BH20" s="1"/>
  <c r="DB22"/>
  <c r="DH22"/>
  <c r="AA19" i="9"/>
  <c r="AD19" s="1"/>
  <c r="Z19"/>
  <c r="Y20"/>
  <c r="AB20"/>
  <c r="AC20" s="1"/>
  <c r="V22"/>
  <c r="W21"/>
  <c r="X21"/>
  <c r="AB17" i="10"/>
  <c r="W22"/>
  <c r="X21"/>
  <c r="AA18"/>
  <c r="Y20"/>
  <c r="Z20" s="1"/>
  <c r="AC16"/>
  <c r="F23" i="15" l="1"/>
  <c r="N17" i="16"/>
  <c r="S23" i="15"/>
  <c r="Y23"/>
  <c r="R24"/>
  <c r="N18" i="17"/>
  <c r="O18" s="1"/>
  <c r="AS17" i="14"/>
  <c r="AT17" s="1"/>
  <c r="AR17"/>
  <c r="BJ27" i="17"/>
  <c r="B22"/>
  <c r="F21"/>
  <c r="AF21" i="14"/>
  <c r="K26" i="15"/>
  <c r="AH20" i="14"/>
  <c r="AI20"/>
  <c r="AK19"/>
  <c r="AL19" s="1"/>
  <c r="AJ19"/>
  <c r="AM19" s="1"/>
  <c r="L25" i="15" s="1"/>
  <c r="AO18" i="14"/>
  <c r="AP18" s="1"/>
  <c r="AA18"/>
  <c r="G24" i="15" s="1"/>
  <c r="E24"/>
  <c r="M24"/>
  <c r="BJ17" i="14"/>
  <c r="BK17" s="1"/>
  <c r="BI17"/>
  <c r="BD19"/>
  <c r="AS18"/>
  <c r="AT18" s="1"/>
  <c r="AR18"/>
  <c r="Y19"/>
  <c r="BF18"/>
  <c r="BG18" s="1"/>
  <c r="BH18"/>
  <c r="R21"/>
  <c r="P22"/>
  <c r="D28" i="15" s="1"/>
  <c r="T21" i="14"/>
  <c r="U20"/>
  <c r="W20"/>
  <c r="X20" s="1"/>
  <c r="BA20"/>
  <c r="BB20"/>
  <c r="BC20" s="1"/>
  <c r="AY21"/>
  <c r="AW22"/>
  <c r="AZ21"/>
  <c r="W87" i="13"/>
  <c r="BH81" i="12"/>
  <c r="BF81"/>
  <c r="V87" i="13"/>
  <c r="U88"/>
  <c r="BE82" i="12"/>
  <c r="AZ83"/>
  <c r="BC83" s="1"/>
  <c r="BA83"/>
  <c r="BB83" s="1"/>
  <c r="BD82"/>
  <c r="BG82" s="1"/>
  <c r="BH82" s="1"/>
  <c r="T90" i="13"/>
  <c r="AY84" i="12"/>
  <c r="AX84"/>
  <c r="AR18"/>
  <c r="AS18" s="1"/>
  <c r="K29" i="13"/>
  <c r="AQ18" i="12"/>
  <c r="AD36"/>
  <c r="J41" i="13"/>
  <c r="AU22" i="12"/>
  <c r="S27" i="13"/>
  <c r="AQ17" i="12"/>
  <c r="AR17"/>
  <c r="AS17" s="1"/>
  <c r="Y19"/>
  <c r="E25" i="13"/>
  <c r="F25" s="1"/>
  <c r="AL19" i="12"/>
  <c r="AO18"/>
  <c r="AJ20"/>
  <c r="AK20" s="1"/>
  <c r="AI20"/>
  <c r="AL20" s="1"/>
  <c r="L26" i="13" s="1"/>
  <c r="AO17" i="12"/>
  <c r="AD61"/>
  <c r="J67" i="13" s="1"/>
  <c r="J66"/>
  <c r="Y18" i="12"/>
  <c r="E24" i="13"/>
  <c r="F24" s="1"/>
  <c r="AG21" i="12"/>
  <c r="AH21"/>
  <c r="P22"/>
  <c r="D28" i="13" s="1"/>
  <c r="R21" i="12"/>
  <c r="S21"/>
  <c r="X19"/>
  <c r="T20"/>
  <c r="U20"/>
  <c r="V20" s="1"/>
  <c r="AL22" i="11"/>
  <c r="AN21"/>
  <c r="AO21"/>
  <c r="AP20"/>
  <c r="AS20" s="1"/>
  <c r="AQ20"/>
  <c r="AR20" s="1"/>
  <c r="BI21"/>
  <c r="BJ20"/>
  <c r="T21"/>
  <c r="W21" s="1"/>
  <c r="BZ20"/>
  <c r="BS20"/>
  <c r="BQ20"/>
  <c r="BR20" s="1"/>
  <c r="V20"/>
  <c r="X20" s="1"/>
  <c r="BM22"/>
  <c r="BO21"/>
  <c r="BW21"/>
  <c r="BP21"/>
  <c r="BY21"/>
  <c r="BT19"/>
  <c r="U21"/>
  <c r="BG21"/>
  <c r="BH21" s="1"/>
  <c r="P23"/>
  <c r="DG24"/>
  <c r="R22"/>
  <c r="CZ24"/>
  <c r="BC22"/>
  <c r="S22"/>
  <c r="BF22"/>
  <c r="DB23"/>
  <c r="DH23"/>
  <c r="AA20" i="9"/>
  <c r="AD20" s="1"/>
  <c r="Z20"/>
  <c r="Y21"/>
  <c r="AB21"/>
  <c r="AC21" s="1"/>
  <c r="V23"/>
  <c r="W22"/>
  <c r="X22"/>
  <c r="AB18" i="10"/>
  <c r="W23"/>
  <c r="X22"/>
  <c r="AA19"/>
  <c r="Y21"/>
  <c r="Z21" s="1"/>
  <c r="AC17"/>
  <c r="F24" i="15" l="1"/>
  <c r="N18" i="16"/>
  <c r="R25" i="15"/>
  <c r="N19" i="17"/>
  <c r="O19" s="1"/>
  <c r="S24" i="15"/>
  <c r="Y24"/>
  <c r="AN19" i="14"/>
  <c r="AQ19" s="1"/>
  <c r="N25" i="15" s="1"/>
  <c r="BJ28" i="17"/>
  <c r="F22"/>
  <c r="B23"/>
  <c r="AF22" i="14"/>
  <c r="K27" i="15"/>
  <c r="AI21" i="14"/>
  <c r="AH21"/>
  <c r="AJ20"/>
  <c r="AM20" s="1"/>
  <c r="L26" i="15" s="1"/>
  <c r="AK20" i="14"/>
  <c r="AL20" s="1"/>
  <c r="AO19"/>
  <c r="AP19" s="1"/>
  <c r="AA19"/>
  <c r="G25" i="15" s="1"/>
  <c r="E25"/>
  <c r="M25"/>
  <c r="AS19" i="14"/>
  <c r="AT19" s="1"/>
  <c r="AY22"/>
  <c r="AW23"/>
  <c r="AZ22"/>
  <c r="U21"/>
  <c r="W21"/>
  <c r="X21" s="1"/>
  <c r="BF19"/>
  <c r="BG19" s="1"/>
  <c r="BA21"/>
  <c r="BB21"/>
  <c r="BC21" s="1"/>
  <c r="Y20"/>
  <c r="BJ18"/>
  <c r="BK18" s="1"/>
  <c r="BI18"/>
  <c r="Z19"/>
  <c r="BE19"/>
  <c r="BH19" s="1"/>
  <c r="BD20"/>
  <c r="R22"/>
  <c r="P23"/>
  <c r="D29" i="15" s="1"/>
  <c r="T22" i="14"/>
  <c r="AZ84" i="12"/>
  <c r="BC84" s="1"/>
  <c r="BA84"/>
  <c r="BB84" s="1"/>
  <c r="W88" i="13"/>
  <c r="BI82" i="12"/>
  <c r="BJ82" s="1"/>
  <c r="AY85"/>
  <c r="AX85"/>
  <c r="T91" i="13"/>
  <c r="U89"/>
  <c r="BE83" i="12"/>
  <c r="V89" i="13" s="1"/>
  <c r="BD83" i="12"/>
  <c r="BG83" s="1"/>
  <c r="BH83" s="1"/>
  <c r="BF82"/>
  <c r="V88" i="13"/>
  <c r="AM19" i="12"/>
  <c r="AP19" s="1"/>
  <c r="N25" i="13" s="1"/>
  <c r="L25"/>
  <c r="K30"/>
  <c r="AI21" i="12"/>
  <c r="AJ21"/>
  <c r="AK21" s="1"/>
  <c r="AA18"/>
  <c r="AB18" s="1"/>
  <c r="G24" i="13"/>
  <c r="Z18" i="12"/>
  <c r="AU23"/>
  <c r="S28" i="13"/>
  <c r="AD37" i="12"/>
  <c r="J42" i="13"/>
  <c r="Z19" i="12"/>
  <c r="AA19"/>
  <c r="AB19" s="1"/>
  <c r="G25" i="13"/>
  <c r="AN19" i="12"/>
  <c r="M25" i="13" s="1"/>
  <c r="AM20" i="12"/>
  <c r="AP20" s="1"/>
  <c r="N26" i="13" s="1"/>
  <c r="W20" i="12"/>
  <c r="AH22"/>
  <c r="AG22"/>
  <c r="AN20"/>
  <c r="M26" i="13" s="1"/>
  <c r="X20" i="12"/>
  <c r="T21"/>
  <c r="W21" s="1"/>
  <c r="U21"/>
  <c r="V21" s="1"/>
  <c r="R22"/>
  <c r="P23"/>
  <c r="D29" i="13" s="1"/>
  <c r="S22" i="12"/>
  <c r="BD22" i="11"/>
  <c r="AL23"/>
  <c r="AN22"/>
  <c r="AO22"/>
  <c r="AP21"/>
  <c r="AS21" s="1"/>
  <c r="AQ21"/>
  <c r="AR21" s="1"/>
  <c r="AT20"/>
  <c r="BJ21"/>
  <c r="BI22"/>
  <c r="T22"/>
  <c r="W22" s="1"/>
  <c r="BT20"/>
  <c r="BZ21"/>
  <c r="BS21"/>
  <c r="BQ21"/>
  <c r="BR21" s="1"/>
  <c r="V21"/>
  <c r="X21" s="1"/>
  <c r="BM23"/>
  <c r="BW22"/>
  <c r="BO22"/>
  <c r="BP22"/>
  <c r="BY22"/>
  <c r="DB24"/>
  <c r="BG22"/>
  <c r="BH22" s="1"/>
  <c r="P24"/>
  <c r="BC23"/>
  <c r="CZ25"/>
  <c r="R23"/>
  <c r="DG25"/>
  <c r="S23"/>
  <c r="BF23"/>
  <c r="DH24"/>
  <c r="U22"/>
  <c r="AA21" i="9"/>
  <c r="AD21" s="1"/>
  <c r="Z21"/>
  <c r="Y22"/>
  <c r="AB22"/>
  <c r="AC22" s="1"/>
  <c r="V24"/>
  <c r="W23"/>
  <c r="X23"/>
  <c r="AA20" i="10"/>
  <c r="Y22"/>
  <c r="Z22" s="1"/>
  <c r="AC18"/>
  <c r="AB19"/>
  <c r="X23"/>
  <c r="W24"/>
  <c r="W25" s="1"/>
  <c r="F25" i="15" l="1"/>
  <c r="N19" i="16"/>
  <c r="R26" i="15"/>
  <c r="N20" i="17"/>
  <c r="O20" s="1"/>
  <c r="S25" i="15"/>
  <c r="Y25"/>
  <c r="AR19" i="14"/>
  <c r="BJ29" i="17"/>
  <c r="B24"/>
  <c r="F23"/>
  <c r="AF23" i="14"/>
  <c r="K28" i="15"/>
  <c r="AI22" i="14"/>
  <c r="AH22"/>
  <c r="AJ21"/>
  <c r="AM21" s="1"/>
  <c r="L27" i="15" s="1"/>
  <c r="AK21" i="14"/>
  <c r="AL21" s="1"/>
  <c r="AN20"/>
  <c r="AQ20" s="1"/>
  <c r="N26" i="15" s="1"/>
  <c r="AO20" i="14"/>
  <c r="AP20" s="1"/>
  <c r="AA20"/>
  <c r="G26" i="15" s="1"/>
  <c r="E26"/>
  <c r="M26"/>
  <c r="Z20" i="14"/>
  <c r="U22"/>
  <c r="W22"/>
  <c r="X22" s="1"/>
  <c r="BD21"/>
  <c r="BF20"/>
  <c r="BG20" s="1"/>
  <c r="BE21"/>
  <c r="AR20"/>
  <c r="BJ19"/>
  <c r="BK19" s="1"/>
  <c r="BI19"/>
  <c r="BE20"/>
  <c r="BH20" s="1"/>
  <c r="Y21"/>
  <c r="R23"/>
  <c r="P24"/>
  <c r="D30" i="15" s="1"/>
  <c r="T23" i="14"/>
  <c r="BA22"/>
  <c r="BB22"/>
  <c r="BC22" s="1"/>
  <c r="AY23"/>
  <c r="AW24"/>
  <c r="AZ23"/>
  <c r="BA85" i="12"/>
  <c r="BB85" s="1"/>
  <c r="AX86"/>
  <c r="AY86"/>
  <c r="T92" i="13"/>
  <c r="U90"/>
  <c r="BE84" i="12"/>
  <c r="BD84"/>
  <c r="BG84" s="1"/>
  <c r="BI83"/>
  <c r="BJ83" s="1"/>
  <c r="W89" i="13"/>
  <c r="BF83" i="12"/>
  <c r="AZ85"/>
  <c r="BC85" s="1"/>
  <c r="K31" i="13"/>
  <c r="AG23" i="12"/>
  <c r="AH23"/>
  <c r="AO19"/>
  <c r="AU24"/>
  <c r="S29" i="13"/>
  <c r="AQ20" i="12"/>
  <c r="AR20"/>
  <c r="AS20" s="1"/>
  <c r="AI22"/>
  <c r="AL22" s="1"/>
  <c r="L28" i="13" s="1"/>
  <c r="AJ22" i="12"/>
  <c r="AK22" s="1"/>
  <c r="Y21"/>
  <c r="E27" i="13"/>
  <c r="F27" s="1"/>
  <c r="AO20" i="12"/>
  <c r="Y20"/>
  <c r="E26" i="13"/>
  <c r="F26" s="1"/>
  <c r="AD38" i="12"/>
  <c r="J43" i="13"/>
  <c r="AQ19" i="12"/>
  <c r="AR19"/>
  <c r="AS19" s="1"/>
  <c r="AL21"/>
  <c r="L27" i="13" s="1"/>
  <c r="P24" i="12"/>
  <c r="D30" i="13" s="1"/>
  <c r="R23" i="12"/>
  <c r="S23"/>
  <c r="T22"/>
  <c r="U22"/>
  <c r="V22" s="1"/>
  <c r="X21"/>
  <c r="AP22" i="11"/>
  <c r="AS22" s="1"/>
  <c r="AQ22"/>
  <c r="AR22" s="1"/>
  <c r="AL24"/>
  <c r="AN23"/>
  <c r="AO23"/>
  <c r="AT21"/>
  <c r="BJ22"/>
  <c r="BD23"/>
  <c r="BI23" s="1"/>
  <c r="T23"/>
  <c r="W23" s="1"/>
  <c r="BZ22"/>
  <c r="BT21"/>
  <c r="BS22"/>
  <c r="BQ22"/>
  <c r="BR22" s="1"/>
  <c r="V22"/>
  <c r="X22" s="1"/>
  <c r="BM24"/>
  <c r="BW23"/>
  <c r="BO23"/>
  <c r="BP23"/>
  <c r="BY23"/>
  <c r="U23"/>
  <c r="DH25"/>
  <c r="P25"/>
  <c r="BC24"/>
  <c r="CZ26"/>
  <c r="DG26"/>
  <c r="S24"/>
  <c r="R24"/>
  <c r="BF24"/>
  <c r="BG23"/>
  <c r="BH23" s="1"/>
  <c r="DB25"/>
  <c r="AA22" i="9"/>
  <c r="AD22" s="1"/>
  <c r="Z22"/>
  <c r="Y23"/>
  <c r="AB23"/>
  <c r="AC23" s="1"/>
  <c r="V25"/>
  <c r="W24"/>
  <c r="X24"/>
  <c r="W26" i="10"/>
  <c r="X25"/>
  <c r="X24"/>
  <c r="AC19"/>
  <c r="AA21"/>
  <c r="Y23"/>
  <c r="Z23" s="1"/>
  <c r="AB20"/>
  <c r="F26" i="15" l="1"/>
  <c r="N20" i="16"/>
  <c r="R27" i="15"/>
  <c r="N21" i="17"/>
  <c r="O21" s="1"/>
  <c r="S26" i="15"/>
  <c r="Y26"/>
  <c r="AN21" i="14"/>
  <c r="AQ21" s="1"/>
  <c r="N27" i="15" s="1"/>
  <c r="AS20" i="14"/>
  <c r="AT20" s="1"/>
  <c r="BJ30" i="17"/>
  <c r="F24"/>
  <c r="B25"/>
  <c r="AO21" i="14"/>
  <c r="AP21" s="1"/>
  <c r="AF24"/>
  <c r="K29" i="15"/>
  <c r="AH23" i="14"/>
  <c r="AI23"/>
  <c r="AK22"/>
  <c r="AL22" s="1"/>
  <c r="AN22" s="1"/>
  <c r="AQ22" s="1"/>
  <c r="N28" i="15" s="1"/>
  <c r="AJ22" i="14"/>
  <c r="AM22" s="1"/>
  <c r="AA21"/>
  <c r="G27" i="15" s="1"/>
  <c r="E27"/>
  <c r="L28"/>
  <c r="Z21" i="14"/>
  <c r="BJ20"/>
  <c r="BK20" s="1"/>
  <c r="BI20"/>
  <c r="AS21"/>
  <c r="AT21" s="1"/>
  <c r="AR21"/>
  <c r="AY24"/>
  <c r="AW25"/>
  <c r="AZ24"/>
  <c r="AO22"/>
  <c r="Y22"/>
  <c r="Z22" s="1"/>
  <c r="BD22"/>
  <c r="U23"/>
  <c r="W23"/>
  <c r="X23" s="1"/>
  <c r="R24"/>
  <c r="P25"/>
  <c r="D31" i="15" s="1"/>
  <c r="T24" i="14"/>
  <c r="BA23"/>
  <c r="BB23"/>
  <c r="BC23" s="1"/>
  <c r="BH21"/>
  <c r="BF21"/>
  <c r="BG21" s="1"/>
  <c r="W90" i="13"/>
  <c r="BI84" i="12"/>
  <c r="BJ84" s="1"/>
  <c r="BH84"/>
  <c r="T93" i="13"/>
  <c r="AY87" i="12"/>
  <c r="AX87"/>
  <c r="BF84"/>
  <c r="V90" i="13"/>
  <c r="AZ86" i="12"/>
  <c r="BC86" s="1"/>
  <c r="BA86"/>
  <c r="BB86" s="1"/>
  <c r="U91" i="13"/>
  <c r="BE85" i="12"/>
  <c r="BD85"/>
  <c r="BG85" s="1"/>
  <c r="K32" i="13"/>
  <c r="AM22" i="12"/>
  <c r="AP22" s="1"/>
  <c r="N28" i="13" s="1"/>
  <c r="W22" i="12"/>
  <c r="AA20"/>
  <c r="AB20" s="1"/>
  <c r="G26" i="13"/>
  <c r="Z20" i="12"/>
  <c r="AU25"/>
  <c r="S30" i="13"/>
  <c r="AJ23" i="12"/>
  <c r="AK23" s="1"/>
  <c r="AI23"/>
  <c r="Z21"/>
  <c r="G27" i="13"/>
  <c r="AA21" i="12"/>
  <c r="AB21" s="1"/>
  <c r="AD39"/>
  <c r="J44" i="13"/>
  <c r="AG24" i="12"/>
  <c r="AH24"/>
  <c r="AN21"/>
  <c r="M27" i="13" s="1"/>
  <c r="AN22" i="12"/>
  <c r="M28" i="13" s="1"/>
  <c r="AM21" i="12"/>
  <c r="AP21" s="1"/>
  <c r="N27" i="13" s="1"/>
  <c r="T23" i="12"/>
  <c r="W23" s="1"/>
  <c r="U23"/>
  <c r="V23" s="1"/>
  <c r="P25"/>
  <c r="D31" i="13" s="1"/>
  <c r="R24" i="12"/>
  <c r="S24"/>
  <c r="AP23" i="11"/>
  <c r="AS23" s="1"/>
  <c r="AQ23"/>
  <c r="AR23" s="1"/>
  <c r="AL25"/>
  <c r="AN24"/>
  <c r="AO24"/>
  <c r="AT22"/>
  <c r="BD24"/>
  <c r="BI24" s="1"/>
  <c r="BJ23"/>
  <c r="T24"/>
  <c r="W24" s="1"/>
  <c r="DH26"/>
  <c r="BZ23"/>
  <c r="BT22"/>
  <c r="V23"/>
  <c r="X23" s="1"/>
  <c r="BS23"/>
  <c r="BQ23"/>
  <c r="BR23" s="1"/>
  <c r="BM25"/>
  <c r="BW24"/>
  <c r="BO24"/>
  <c r="BP24"/>
  <c r="BY24"/>
  <c r="P26"/>
  <c r="CZ27"/>
  <c r="DG27"/>
  <c r="R25"/>
  <c r="BC25"/>
  <c r="S25"/>
  <c r="BF25"/>
  <c r="U24"/>
  <c r="BG24"/>
  <c r="BH24" s="1"/>
  <c r="DB26"/>
  <c r="AA23" i="9"/>
  <c r="AD23" s="1"/>
  <c r="Z23"/>
  <c r="Y24"/>
  <c r="AB24"/>
  <c r="AC24" s="1"/>
  <c r="V26"/>
  <c r="W25"/>
  <c r="X25"/>
  <c r="Y25" i="10"/>
  <c r="Z25" s="1"/>
  <c r="W27"/>
  <c r="X26"/>
  <c r="AC20"/>
  <c r="AB21"/>
  <c r="Y24"/>
  <c r="Z24" s="1"/>
  <c r="AA22"/>
  <c r="F27" i="15" l="1"/>
  <c r="N21" i="16"/>
  <c r="R28" i="15"/>
  <c r="N22" i="17"/>
  <c r="O22" s="1"/>
  <c r="S27" i="15"/>
  <c r="Y27"/>
  <c r="M27"/>
  <c r="BJ31" i="17"/>
  <c r="F25"/>
  <c r="B26"/>
  <c r="AF25" i="14"/>
  <c r="K30" i="15"/>
  <c r="AI24" i="14"/>
  <c r="AH24"/>
  <c r="AK23"/>
  <c r="AL23" s="1"/>
  <c r="AN23" s="1"/>
  <c r="AQ23" s="1"/>
  <c r="N29" i="15" s="1"/>
  <c r="AJ23" i="14"/>
  <c r="AM23" s="1"/>
  <c r="L29" i="15" s="1"/>
  <c r="AA22" i="14"/>
  <c r="G28" i="15" s="1"/>
  <c r="E28"/>
  <c r="AP22" i="14"/>
  <c r="M28" i="15"/>
  <c r="BD23" i="14"/>
  <c r="BE23" s="1"/>
  <c r="AW26"/>
  <c r="AY25"/>
  <c r="AZ25"/>
  <c r="BF22"/>
  <c r="BG22" s="1"/>
  <c r="AS22"/>
  <c r="AT22" s="1"/>
  <c r="AR22"/>
  <c r="BA24"/>
  <c r="BB24"/>
  <c r="BC24" s="1"/>
  <c r="BE22"/>
  <c r="BH22" s="1"/>
  <c r="U24"/>
  <c r="W24"/>
  <c r="X24" s="1"/>
  <c r="BJ21"/>
  <c r="BK21" s="1"/>
  <c r="BI21"/>
  <c r="P26"/>
  <c r="D32" i="15" s="1"/>
  <c r="R25" i="14"/>
  <c r="T25"/>
  <c r="Y23"/>
  <c r="BF85" i="12"/>
  <c r="V91" i="13"/>
  <c r="W91"/>
  <c r="BI85" i="12"/>
  <c r="BJ85" s="1"/>
  <c r="BH85"/>
  <c r="U92" i="13"/>
  <c r="BE86" i="12"/>
  <c r="BD86"/>
  <c r="BG86" s="1"/>
  <c r="AZ87"/>
  <c r="BC87" s="1"/>
  <c r="BA87"/>
  <c r="BB87" s="1"/>
  <c r="AY88"/>
  <c r="T94" i="13"/>
  <c r="AX88" i="12"/>
  <c r="K33" i="13"/>
  <c r="AQ21" i="12"/>
  <c r="AR21"/>
  <c r="AS21" s="1"/>
  <c r="AQ22"/>
  <c r="AR22"/>
  <c r="AS22" s="1"/>
  <c r="AH25"/>
  <c r="AG25"/>
  <c r="AD40"/>
  <c r="J46" i="13" s="1"/>
  <c r="J45"/>
  <c r="AO22" i="12"/>
  <c r="Y23"/>
  <c r="E29" i="13"/>
  <c r="F29" s="1"/>
  <c r="AL23" i="12"/>
  <c r="L29" i="13" s="1"/>
  <c r="Y22" i="12"/>
  <c r="E28" i="13"/>
  <c r="F28" s="1"/>
  <c r="AO21" i="12"/>
  <c r="AJ24"/>
  <c r="AK24" s="1"/>
  <c r="AI24"/>
  <c r="AL24" s="1"/>
  <c r="L30" i="13" s="1"/>
  <c r="AU26" i="12"/>
  <c r="S31" i="13"/>
  <c r="X22" i="12"/>
  <c r="Z23"/>
  <c r="T24"/>
  <c r="U24"/>
  <c r="V24" s="1"/>
  <c r="P26"/>
  <c r="D32" i="13" s="1"/>
  <c r="S25" i="12"/>
  <c r="R25"/>
  <c r="X23"/>
  <c r="AP24" i="11"/>
  <c r="AS24" s="1"/>
  <c r="AQ24"/>
  <c r="AR24" s="1"/>
  <c r="AL26"/>
  <c r="AN25"/>
  <c r="AO25"/>
  <c r="AT23"/>
  <c r="BD25"/>
  <c r="BI25" s="1"/>
  <c r="BJ24"/>
  <c r="T25"/>
  <c r="W25" s="1"/>
  <c r="BZ24"/>
  <c r="BS24"/>
  <c r="BQ24"/>
  <c r="BR24" s="1"/>
  <c r="V24"/>
  <c r="X24" s="1"/>
  <c r="BM26"/>
  <c r="BO25"/>
  <c r="BW25"/>
  <c r="BP25"/>
  <c r="BY25"/>
  <c r="BT23"/>
  <c r="U25"/>
  <c r="BG25"/>
  <c r="BH25" s="1"/>
  <c r="P27"/>
  <c r="DG28"/>
  <c r="R26"/>
  <c r="BC26"/>
  <c r="CZ28"/>
  <c r="S26"/>
  <c r="BF26"/>
  <c r="DB27"/>
  <c r="DH27"/>
  <c r="AA24" i="9"/>
  <c r="AD24" s="1"/>
  <c r="Z24"/>
  <c r="Y25"/>
  <c r="AB25"/>
  <c r="AC25" s="1"/>
  <c r="W26"/>
  <c r="V27"/>
  <c r="X26"/>
  <c r="AA25" i="10"/>
  <c r="AB25" s="1"/>
  <c r="AC25" s="1"/>
  <c r="W28"/>
  <c r="X27"/>
  <c r="Y26"/>
  <c r="Z26" s="1"/>
  <c r="AB22"/>
  <c r="AC21"/>
  <c r="AA23"/>
  <c r="F28" i="15" l="1"/>
  <c r="N22" i="16"/>
  <c r="S28" i="15"/>
  <c r="Y28"/>
  <c r="R29"/>
  <c r="N23" i="17"/>
  <c r="O23" s="1"/>
  <c r="BJ32"/>
  <c r="B27"/>
  <c r="F26"/>
  <c r="AO23" i="14"/>
  <c r="AP23" s="1"/>
  <c r="AF26"/>
  <c r="K31" i="15"/>
  <c r="AI25" i="14"/>
  <c r="AH25"/>
  <c r="AK24"/>
  <c r="AL24" s="1"/>
  <c r="AN24" s="1"/>
  <c r="AQ24" s="1"/>
  <c r="N30" i="15" s="1"/>
  <c r="AJ24" i="14"/>
  <c r="AM24" s="1"/>
  <c r="AA23"/>
  <c r="G29" i="15" s="1"/>
  <c r="E29"/>
  <c r="L30"/>
  <c r="BJ22" i="14"/>
  <c r="BK22" s="1"/>
  <c r="BI22"/>
  <c r="BA25"/>
  <c r="BB25"/>
  <c r="BC25" s="1"/>
  <c r="U25"/>
  <c r="W25"/>
  <c r="X25" s="1"/>
  <c r="Y24"/>
  <c r="Z24" s="1"/>
  <c r="BD24"/>
  <c r="AW27"/>
  <c r="AY26"/>
  <c r="AZ26"/>
  <c r="R26"/>
  <c r="P27"/>
  <c r="D33" i="15" s="1"/>
  <c r="T26" i="14"/>
  <c r="BF23"/>
  <c r="BG23" s="1"/>
  <c r="BH23"/>
  <c r="AS23"/>
  <c r="AT23" s="1"/>
  <c r="AR23"/>
  <c r="AO24"/>
  <c r="Z23"/>
  <c r="W92" i="13"/>
  <c r="BI86" i="12"/>
  <c r="BJ86" s="1"/>
  <c r="BH86"/>
  <c r="AY89"/>
  <c r="T95" i="13"/>
  <c r="AX89" i="12"/>
  <c r="AZ89" s="1"/>
  <c r="BC89" s="1"/>
  <c r="U93" i="13"/>
  <c r="BE87" i="12"/>
  <c r="V93" i="13" s="1"/>
  <c r="BF86" i="12"/>
  <c r="V92" i="13"/>
  <c r="AZ88" i="12"/>
  <c r="BC88" s="1"/>
  <c r="BA88"/>
  <c r="BB88" s="1"/>
  <c r="BD87"/>
  <c r="BG87" s="1"/>
  <c r="BF87"/>
  <c r="K34" i="13"/>
  <c r="AG26" i="12"/>
  <c r="AH26"/>
  <c r="AM24"/>
  <c r="AP24" s="1"/>
  <c r="N30" i="13" s="1"/>
  <c r="W24" i="12"/>
  <c r="X24" s="1"/>
  <c r="AU27"/>
  <c r="S32" i="13"/>
  <c r="G29"/>
  <c r="AA23" i="12"/>
  <c r="AB23" s="1"/>
  <c r="AJ25"/>
  <c r="AK25" s="1"/>
  <c r="AI25"/>
  <c r="AN23"/>
  <c r="M29" i="13" s="1"/>
  <c r="AN24" i="12"/>
  <c r="M30" i="13" s="1"/>
  <c r="AA22" i="12"/>
  <c r="AB22" s="1"/>
  <c r="G28" i="13"/>
  <c r="Z22" i="12"/>
  <c r="AM23"/>
  <c r="AP23" s="1"/>
  <c r="N29" i="13" s="1"/>
  <c r="T25" i="12"/>
  <c r="W25" s="1"/>
  <c r="U25"/>
  <c r="V25" s="1"/>
  <c r="R26"/>
  <c r="P27"/>
  <c r="D33" i="13" s="1"/>
  <c r="S26" i="12"/>
  <c r="AP25" i="11"/>
  <c r="AS25" s="1"/>
  <c r="AQ25"/>
  <c r="AR25" s="1"/>
  <c r="AL27"/>
  <c r="AN26"/>
  <c r="AO26"/>
  <c r="AT24"/>
  <c r="BJ25"/>
  <c r="BD26"/>
  <c r="BI26" s="1"/>
  <c r="T26"/>
  <c r="W26" s="1"/>
  <c r="BT24"/>
  <c r="BZ25"/>
  <c r="BS25"/>
  <c r="BQ25"/>
  <c r="BR25" s="1"/>
  <c r="V25"/>
  <c r="X25" s="1"/>
  <c r="BM27"/>
  <c r="BW26"/>
  <c r="BO26"/>
  <c r="BP26"/>
  <c r="BY26"/>
  <c r="P28"/>
  <c r="CZ29"/>
  <c r="BC27"/>
  <c r="DG29"/>
  <c r="R27"/>
  <c r="S27"/>
  <c r="BF27"/>
  <c r="DH28"/>
  <c r="U26"/>
  <c r="BG26"/>
  <c r="BH26" s="1"/>
  <c r="DB28"/>
  <c r="AA25" i="9"/>
  <c r="AD25" s="1"/>
  <c r="Z25"/>
  <c r="Y26"/>
  <c r="AB26"/>
  <c r="AC26" s="1"/>
  <c r="V28"/>
  <c r="W27"/>
  <c r="X27"/>
  <c r="AA26" i="10"/>
  <c r="AB26" s="1"/>
  <c r="AC26" s="1"/>
  <c r="Y27"/>
  <c r="Z27" s="1"/>
  <c r="W29"/>
  <c r="X28"/>
  <c r="AB23"/>
  <c r="AA24"/>
  <c r="AC22"/>
  <c r="M29" i="15" l="1"/>
  <c r="R30"/>
  <c r="N24" i="17"/>
  <c r="O24" s="1"/>
  <c r="S29" i="15"/>
  <c r="Y29"/>
  <c r="F29"/>
  <c r="N23" i="16"/>
  <c r="BJ33" i="17"/>
  <c r="B28"/>
  <c r="F27"/>
  <c r="AF27" i="14"/>
  <c r="K32" i="15"/>
  <c r="AI26" i="14"/>
  <c r="AH26"/>
  <c r="AK25"/>
  <c r="AL25" s="1"/>
  <c r="AJ25"/>
  <c r="AM25" s="1"/>
  <c r="L31" i="15" s="1"/>
  <c r="AA24" i="14"/>
  <c r="G30" i="15" s="1"/>
  <c r="E30"/>
  <c r="AP24" i="14"/>
  <c r="M30" i="15"/>
  <c r="BF24" i="14"/>
  <c r="BG24" s="1"/>
  <c r="R27"/>
  <c r="P28"/>
  <c r="D34" i="15" s="1"/>
  <c r="T27" i="14"/>
  <c r="BA26"/>
  <c r="BB26"/>
  <c r="BC26" s="1"/>
  <c r="AS24"/>
  <c r="AT24" s="1"/>
  <c r="AR24"/>
  <c r="BD25"/>
  <c r="BJ23"/>
  <c r="BK23" s="1"/>
  <c r="BI23"/>
  <c r="U26"/>
  <c r="W26"/>
  <c r="X26" s="1"/>
  <c r="AY27"/>
  <c r="AW28"/>
  <c r="AZ27"/>
  <c r="Y25"/>
  <c r="BE24"/>
  <c r="BH24" s="1"/>
  <c r="BD88" i="12"/>
  <c r="BG88" s="1"/>
  <c r="BI87"/>
  <c r="BJ87" s="1"/>
  <c r="W93" i="13"/>
  <c r="U95"/>
  <c r="BE89" i="12"/>
  <c r="U94" i="13"/>
  <c r="BE88" i="12"/>
  <c r="BH87"/>
  <c r="BA89"/>
  <c r="BB89" s="1"/>
  <c r="K35" i="13"/>
  <c r="AQ23" i="12"/>
  <c r="AR23"/>
  <c r="AS23" s="1"/>
  <c r="AQ24"/>
  <c r="AR24"/>
  <c r="AS24" s="1"/>
  <c r="AL25"/>
  <c r="L31" i="13" s="1"/>
  <c r="AO23" i="12"/>
  <c r="AU28"/>
  <c r="S33" i="13"/>
  <c r="Y24" i="12"/>
  <c r="E30" i="13"/>
  <c r="F30" s="1"/>
  <c r="AI26" i="12"/>
  <c r="AL26" s="1"/>
  <c r="L32" i="13" s="1"/>
  <c r="AJ26" i="12"/>
  <c r="AK26" s="1"/>
  <c r="Y25"/>
  <c r="Z25" s="1"/>
  <c r="E31" i="13"/>
  <c r="F31" s="1"/>
  <c r="AH27" i="12"/>
  <c r="AG27"/>
  <c r="AO24"/>
  <c r="T26"/>
  <c r="U26"/>
  <c r="V26" s="1"/>
  <c r="X25"/>
  <c r="P28"/>
  <c r="D34" i="13" s="1"/>
  <c r="R27" i="12"/>
  <c r="S27"/>
  <c r="T27" i="11"/>
  <c r="W27" s="1"/>
  <c r="BJ26"/>
  <c r="AP26"/>
  <c r="AS26" s="1"/>
  <c r="AQ26"/>
  <c r="AR26" s="1"/>
  <c r="AL28"/>
  <c r="AN27"/>
  <c r="AO27"/>
  <c r="AT25"/>
  <c r="BD27"/>
  <c r="BI27" s="1"/>
  <c r="BZ26"/>
  <c r="BT25"/>
  <c r="V26"/>
  <c r="X26" s="1"/>
  <c r="BS26"/>
  <c r="BQ26"/>
  <c r="BR26" s="1"/>
  <c r="BM28"/>
  <c r="BW27"/>
  <c r="BO27"/>
  <c r="BP27"/>
  <c r="BY27"/>
  <c r="P29"/>
  <c r="BC28"/>
  <c r="CZ30"/>
  <c r="DG30"/>
  <c r="S28"/>
  <c r="R28"/>
  <c r="BF28"/>
  <c r="DB29"/>
  <c r="BG27"/>
  <c r="BH27" s="1"/>
  <c r="DH29"/>
  <c r="U27"/>
  <c r="AA26" i="9"/>
  <c r="AD26" s="1"/>
  <c r="Z26"/>
  <c r="Y27"/>
  <c r="AB27"/>
  <c r="AC27" s="1"/>
  <c r="V29"/>
  <c r="W28"/>
  <c r="X28"/>
  <c r="AA27" i="10"/>
  <c r="AB27" s="1"/>
  <c r="AC27" s="1"/>
  <c r="W30"/>
  <c r="X29"/>
  <c r="Y28"/>
  <c r="Z28" s="1"/>
  <c r="AC23"/>
  <c r="AB24"/>
  <c r="R31" i="15" l="1"/>
  <c r="N25" i="17"/>
  <c r="O25" s="1"/>
  <c r="F30" i="15"/>
  <c r="N24" i="16"/>
  <c r="S30" i="15"/>
  <c r="Y30"/>
  <c r="AN25" i="14"/>
  <c r="AQ25" s="1"/>
  <c r="N31" i="15" s="1"/>
  <c r="BJ34" i="17"/>
  <c r="F28"/>
  <c r="B29"/>
  <c r="AF28" i="14"/>
  <c r="K33" i="15"/>
  <c r="AI27" i="14"/>
  <c r="AH27"/>
  <c r="AK26"/>
  <c r="AL26" s="1"/>
  <c r="AN26" s="1"/>
  <c r="AQ26" s="1"/>
  <c r="N32" i="15" s="1"/>
  <c r="AJ26" i="14"/>
  <c r="AM26" s="1"/>
  <c r="L32" i="15" s="1"/>
  <c r="AO25" i="14"/>
  <c r="AP25" s="1"/>
  <c r="AA25"/>
  <c r="G31" i="15" s="1"/>
  <c r="E31"/>
  <c r="M31"/>
  <c r="Z25" i="14"/>
  <c r="AS25"/>
  <c r="AT25" s="1"/>
  <c r="AR25"/>
  <c r="BJ24"/>
  <c r="BK24" s="1"/>
  <c r="BI24"/>
  <c r="AW29"/>
  <c r="AY28"/>
  <c r="AZ28"/>
  <c r="BA27"/>
  <c r="BB27"/>
  <c r="BC27" s="1"/>
  <c r="U27"/>
  <c r="W27"/>
  <c r="X27" s="1"/>
  <c r="P29"/>
  <c r="D35" i="15" s="1"/>
  <c r="R28" i="14"/>
  <c r="T28"/>
  <c r="Y26"/>
  <c r="BF25"/>
  <c r="BG25" s="1"/>
  <c r="BD26"/>
  <c r="BE26" s="1"/>
  <c r="BE25"/>
  <c r="BH25" s="1"/>
  <c r="W94" i="13"/>
  <c r="BI88" i="12"/>
  <c r="BJ88" s="1"/>
  <c r="BH88"/>
  <c r="BF88"/>
  <c r="V94" i="13"/>
  <c r="BF89" i="12"/>
  <c r="V95" i="13"/>
  <c r="BD89" i="12"/>
  <c r="BG89" s="1"/>
  <c r="K36" i="13"/>
  <c r="AM26" i="12"/>
  <c r="AP26" s="1"/>
  <c r="AR26" s="1"/>
  <c r="AS26" s="1"/>
  <c r="AN25"/>
  <c r="M31" i="13" s="1"/>
  <c r="AA24" i="12"/>
  <c r="AB24" s="1"/>
  <c r="G30" i="13"/>
  <c r="Z24" i="12"/>
  <c r="AJ27"/>
  <c r="AK27" s="1"/>
  <c r="AI27"/>
  <c r="AA25"/>
  <c r="AB25" s="1"/>
  <c r="G31" i="13"/>
  <c r="AN26" i="12"/>
  <c r="M32" i="13" s="1"/>
  <c r="AU29" i="12"/>
  <c r="S34" i="13"/>
  <c r="AH28" i="12"/>
  <c r="AG28"/>
  <c r="W26"/>
  <c r="AM25"/>
  <c r="AP25" s="1"/>
  <c r="N31" i="13" s="1"/>
  <c r="P29" i="12"/>
  <c r="D35" i="13" s="1"/>
  <c r="R28" i="12"/>
  <c r="S28"/>
  <c r="T27"/>
  <c r="W27" s="1"/>
  <c r="U27"/>
  <c r="V27" s="1"/>
  <c r="X26"/>
  <c r="AP27" i="11"/>
  <c r="AS27" s="1"/>
  <c r="AQ27"/>
  <c r="AR27" s="1"/>
  <c r="AL29"/>
  <c r="AN28"/>
  <c r="AO28"/>
  <c r="AT26"/>
  <c r="BD28"/>
  <c r="BI28" s="1"/>
  <c r="BJ27"/>
  <c r="T28"/>
  <c r="W28" s="1"/>
  <c r="BZ27"/>
  <c r="BS27"/>
  <c r="BQ27"/>
  <c r="BR27" s="1"/>
  <c r="V27"/>
  <c r="X27" s="1"/>
  <c r="BM29"/>
  <c r="BW28"/>
  <c r="BO28"/>
  <c r="BP28"/>
  <c r="BY28"/>
  <c r="BT26"/>
  <c r="DH30"/>
  <c r="U28"/>
  <c r="BG28"/>
  <c r="BH28" s="1"/>
  <c r="P30"/>
  <c r="CZ31"/>
  <c r="DG31"/>
  <c r="R29"/>
  <c r="BC29"/>
  <c r="S29"/>
  <c r="BF29"/>
  <c r="DB30"/>
  <c r="AA27" i="9"/>
  <c r="AD27" s="1"/>
  <c r="Z27"/>
  <c r="Y28"/>
  <c r="AB28"/>
  <c r="AC28" s="1"/>
  <c r="V30"/>
  <c r="W29"/>
  <c r="X29"/>
  <c r="AA28" i="10"/>
  <c r="AB28" s="1"/>
  <c r="AC28" s="1"/>
  <c r="Y29"/>
  <c r="Z29" s="1"/>
  <c r="W31"/>
  <c r="X30"/>
  <c r="AC24"/>
  <c r="R32" i="15" l="1"/>
  <c r="N26" i="17"/>
  <c r="O26" s="1"/>
  <c r="S31" i="15"/>
  <c r="Y31"/>
  <c r="F31"/>
  <c r="N25" i="16"/>
  <c r="BJ35" i="17"/>
  <c r="B30"/>
  <c r="F29"/>
  <c r="AF29" i="14"/>
  <c r="K34" i="15"/>
  <c r="AH28" i="14"/>
  <c r="AI28"/>
  <c r="AO26"/>
  <c r="AP26" s="1"/>
  <c r="AK27"/>
  <c r="AL27" s="1"/>
  <c r="AN27" s="1"/>
  <c r="AQ27" s="1"/>
  <c r="N33" i="15" s="1"/>
  <c r="AJ27" i="14"/>
  <c r="AM27" s="1"/>
  <c r="AO27" s="1"/>
  <c r="AA26"/>
  <c r="G32" i="15" s="1"/>
  <c r="E32"/>
  <c r="L33"/>
  <c r="AS26" i="14"/>
  <c r="AT26" s="1"/>
  <c r="AR26"/>
  <c r="BJ25"/>
  <c r="BK25" s="1"/>
  <c r="BI25"/>
  <c r="P30"/>
  <c r="D36" i="15" s="1"/>
  <c r="R29" i="14"/>
  <c r="T29"/>
  <c r="U28"/>
  <c r="W28"/>
  <c r="X28" s="1"/>
  <c r="BD27"/>
  <c r="BA28"/>
  <c r="BB28"/>
  <c r="BC28" s="1"/>
  <c r="BE27"/>
  <c r="Y27"/>
  <c r="AW30"/>
  <c r="AY29"/>
  <c r="AZ29"/>
  <c r="Z27"/>
  <c r="BH26"/>
  <c r="BF26"/>
  <c r="BG26" s="1"/>
  <c r="Z26"/>
  <c r="W95" i="13"/>
  <c r="BI89" i="12"/>
  <c r="BJ89" s="1"/>
  <c r="BH89"/>
  <c r="K37" i="13"/>
  <c r="AQ26" i="12"/>
  <c r="N32" i="13"/>
  <c r="AQ25" i="12"/>
  <c r="AR25"/>
  <c r="AS25" s="1"/>
  <c r="AH29"/>
  <c r="AG29"/>
  <c r="AO25"/>
  <c r="AJ28"/>
  <c r="AK28" s="1"/>
  <c r="AI28"/>
  <c r="AL28" s="1"/>
  <c r="L34" i="13" s="1"/>
  <c r="AO26" i="12"/>
  <c r="AL27"/>
  <c r="L33" i="13" s="1"/>
  <c r="Y27" i="12"/>
  <c r="E33" i="13"/>
  <c r="F33" s="1"/>
  <c r="Y26" i="12"/>
  <c r="E32" i="13"/>
  <c r="F32" s="1"/>
  <c r="AU30" i="12"/>
  <c r="S35" i="13"/>
  <c r="T28" i="12"/>
  <c r="U28"/>
  <c r="V28" s="1"/>
  <c r="R29"/>
  <c r="P30"/>
  <c r="D36" i="13" s="1"/>
  <c r="S29" i="12"/>
  <c r="X27"/>
  <c r="AP28" i="11"/>
  <c r="AS28" s="1"/>
  <c r="AQ28"/>
  <c r="AR28" s="1"/>
  <c r="AT28" s="1"/>
  <c r="AL30"/>
  <c r="AN29"/>
  <c r="AO29"/>
  <c r="AT27"/>
  <c r="BJ28"/>
  <c r="T29"/>
  <c r="W29" s="1"/>
  <c r="BD29"/>
  <c r="BI29" s="1"/>
  <c r="BZ28"/>
  <c r="BT27"/>
  <c r="BS28"/>
  <c r="BQ28"/>
  <c r="BR28" s="1"/>
  <c r="V28"/>
  <c r="X28" s="1"/>
  <c r="BM30"/>
  <c r="BO29"/>
  <c r="BW29"/>
  <c r="BP29"/>
  <c r="BY29"/>
  <c r="P31"/>
  <c r="DG32"/>
  <c r="R30"/>
  <c r="BC30"/>
  <c r="CZ32"/>
  <c r="S30"/>
  <c r="BF30"/>
  <c r="DB31"/>
  <c r="DH31"/>
  <c r="U29"/>
  <c r="BG29"/>
  <c r="BH29" s="1"/>
  <c r="AA28" i="9"/>
  <c r="AD28" s="1"/>
  <c r="Z28"/>
  <c r="Y29"/>
  <c r="AB29"/>
  <c r="AC29" s="1"/>
  <c r="V31"/>
  <c r="W30"/>
  <c r="X30"/>
  <c r="AA29" i="10"/>
  <c r="AB29" s="1"/>
  <c r="AC29" s="1"/>
  <c r="W32"/>
  <c r="X31"/>
  <c r="Y30"/>
  <c r="Z30" s="1"/>
  <c r="M32" i="15" l="1"/>
  <c r="R33"/>
  <c r="N27" i="17"/>
  <c r="O27" s="1"/>
  <c r="S32" i="15"/>
  <c r="Y32"/>
  <c r="F32"/>
  <c r="N26" i="16"/>
  <c r="BJ36" i="17"/>
  <c r="B31"/>
  <c r="F30"/>
  <c r="AJ28" i="14"/>
  <c r="AM28" s="1"/>
  <c r="L34" i="15" s="1"/>
  <c r="AK28" i="14"/>
  <c r="AL28" s="1"/>
  <c r="AN28" s="1"/>
  <c r="AQ28" s="1"/>
  <c r="N34" i="15" s="1"/>
  <c r="AF30" i="14"/>
  <c r="K35" i="15"/>
  <c r="AI29" i="14"/>
  <c r="AH29"/>
  <c r="AP27"/>
  <c r="M33" i="15"/>
  <c r="AA27" i="14"/>
  <c r="G33" i="15" s="1"/>
  <c r="E33"/>
  <c r="BA29" i="14"/>
  <c r="BB29"/>
  <c r="BC29" s="1"/>
  <c r="BH27"/>
  <c r="BF27"/>
  <c r="BG27" s="1"/>
  <c r="U29"/>
  <c r="W29"/>
  <c r="X29" s="1"/>
  <c r="AS27"/>
  <c r="AT27" s="1"/>
  <c r="AR27"/>
  <c r="AW31"/>
  <c r="AY30"/>
  <c r="AZ30"/>
  <c r="P31"/>
  <c r="D37" i="15" s="1"/>
  <c r="R30" i="14"/>
  <c r="T30"/>
  <c r="BJ26"/>
  <c r="BK26" s="1"/>
  <c r="BI26"/>
  <c r="BD28"/>
  <c r="BE28" s="1"/>
  <c r="Y28"/>
  <c r="AM28" i="12"/>
  <c r="AP28" s="1"/>
  <c r="N34" i="13" s="1"/>
  <c r="K38"/>
  <c r="Z27" i="12"/>
  <c r="AA27"/>
  <c r="AB27" s="1"/>
  <c r="G33" i="13"/>
  <c r="AG30" i="12"/>
  <c r="AH30"/>
  <c r="AJ29"/>
  <c r="AK29" s="1"/>
  <c r="AI29"/>
  <c r="G32" i="13"/>
  <c r="AA26" i="12"/>
  <c r="AB26" s="1"/>
  <c r="Z26"/>
  <c r="AN27"/>
  <c r="M33" i="13" s="1"/>
  <c r="W28" i="12"/>
  <c r="X28" s="1"/>
  <c r="AN28"/>
  <c r="M34" i="13" s="1"/>
  <c r="AM27" i="12"/>
  <c r="AP27" s="1"/>
  <c r="N33" i="13" s="1"/>
  <c r="AU31" i="12"/>
  <c r="S36" i="13"/>
  <c r="T29" i="12"/>
  <c r="W29" s="1"/>
  <c r="U29"/>
  <c r="V29" s="1"/>
  <c r="P31"/>
  <c r="D37" i="13" s="1"/>
  <c r="R30" i="12"/>
  <c r="S30"/>
  <c r="AL31" i="11"/>
  <c r="AN30"/>
  <c r="AO30"/>
  <c r="AP29"/>
  <c r="AS29" s="1"/>
  <c r="AQ29"/>
  <c r="AR29" s="1"/>
  <c r="BJ29"/>
  <c r="BD30"/>
  <c r="BI30" s="1"/>
  <c r="T30"/>
  <c r="W30" s="1"/>
  <c r="BT28"/>
  <c r="BZ29"/>
  <c r="BS29"/>
  <c r="BQ29"/>
  <c r="BR29" s="1"/>
  <c r="V29"/>
  <c r="X29" s="1"/>
  <c r="BM31"/>
  <c r="BW30"/>
  <c r="BO30"/>
  <c r="BP30"/>
  <c r="BY30"/>
  <c r="BG30"/>
  <c r="BH30" s="1"/>
  <c r="P32"/>
  <c r="BC31"/>
  <c r="CZ33"/>
  <c r="R31"/>
  <c r="DG33"/>
  <c r="S31"/>
  <c r="BF31"/>
  <c r="DB32"/>
  <c r="DH32"/>
  <c r="U30"/>
  <c r="AA29" i="9"/>
  <c r="AD29" s="1"/>
  <c r="Z29"/>
  <c r="Y30"/>
  <c r="AB30"/>
  <c r="AC30" s="1"/>
  <c r="V32"/>
  <c r="W31"/>
  <c r="X31"/>
  <c r="AA30" i="10"/>
  <c r="AB30" s="1"/>
  <c r="AC30" s="1"/>
  <c r="Y31"/>
  <c r="Z31" s="1"/>
  <c r="W33"/>
  <c r="X32"/>
  <c r="S33" i="15" l="1"/>
  <c r="Y33"/>
  <c r="R34"/>
  <c r="N28" i="17"/>
  <c r="O28" s="1"/>
  <c r="F33" i="15"/>
  <c r="N27" i="16"/>
  <c r="BJ37" i="17"/>
  <c r="B32"/>
  <c r="F31"/>
  <c r="AF31" i="14"/>
  <c r="K36" i="15"/>
  <c r="AH30" i="14"/>
  <c r="AI30"/>
  <c r="AK29"/>
  <c r="AL29" s="1"/>
  <c r="AN29" s="1"/>
  <c r="AQ29" s="1"/>
  <c r="N35" i="15" s="1"/>
  <c r="AJ29" i="14"/>
  <c r="AM29" s="1"/>
  <c r="AO29" s="1"/>
  <c r="AO28"/>
  <c r="AA28"/>
  <c r="G34" i="15" s="1"/>
  <c r="E34"/>
  <c r="AP28" i="14"/>
  <c r="M34" i="15"/>
  <c r="L35"/>
  <c r="AS28" i="14"/>
  <c r="AT28" s="1"/>
  <c r="AR28"/>
  <c r="P32"/>
  <c r="D38" i="15" s="1"/>
  <c r="R31" i="14"/>
  <c r="T31"/>
  <c r="U30"/>
  <c r="W30"/>
  <c r="X30" s="1"/>
  <c r="AW32"/>
  <c r="AY31"/>
  <c r="AZ31"/>
  <c r="BJ27"/>
  <c r="BK27" s="1"/>
  <c r="BI27"/>
  <c r="Z28"/>
  <c r="Y29"/>
  <c r="BD29"/>
  <c r="BH28"/>
  <c r="BF28"/>
  <c r="BG28" s="1"/>
  <c r="Z29"/>
  <c r="BA30"/>
  <c r="BB30"/>
  <c r="BC30" s="1"/>
  <c r="K39" i="13"/>
  <c r="AQ27" i="12"/>
  <c r="AR27"/>
  <c r="AS27" s="1"/>
  <c r="Y29"/>
  <c r="E35" i="13"/>
  <c r="F35" s="1"/>
  <c r="AO28" i="12"/>
  <c r="AO27"/>
  <c r="AJ30"/>
  <c r="AK30" s="1"/>
  <c r="AI30"/>
  <c r="AL30" s="1"/>
  <c r="L36" i="13" s="1"/>
  <c r="AU32" i="12"/>
  <c r="S37" i="13"/>
  <c r="AQ28" i="12"/>
  <c r="AR28"/>
  <c r="AS28" s="1"/>
  <c r="AL29"/>
  <c r="L35" i="13" s="1"/>
  <c r="AH31" i="12"/>
  <c r="AG31"/>
  <c r="Y28"/>
  <c r="E34" i="13"/>
  <c r="F34" s="1"/>
  <c r="X29" i="12"/>
  <c r="Z29"/>
  <c r="T30"/>
  <c r="U30"/>
  <c r="V30" s="1"/>
  <c r="R31"/>
  <c r="P32"/>
  <c r="D38" i="13" s="1"/>
  <c r="S31" i="12"/>
  <c r="AP30" i="11"/>
  <c r="AS30" s="1"/>
  <c r="AQ30"/>
  <c r="AR30" s="1"/>
  <c r="AL32"/>
  <c r="AN31"/>
  <c r="AO31"/>
  <c r="AT29"/>
  <c r="BJ30"/>
  <c r="BD31"/>
  <c r="BI31" s="1"/>
  <c r="T31"/>
  <c r="W31" s="1"/>
  <c r="DH33"/>
  <c r="BZ30"/>
  <c r="BT29"/>
  <c r="BS30"/>
  <c r="BQ30"/>
  <c r="BR30" s="1"/>
  <c r="V30"/>
  <c r="X30" s="1"/>
  <c r="BM32"/>
  <c r="BW31"/>
  <c r="BO31"/>
  <c r="BP31"/>
  <c r="BY31"/>
  <c r="U31"/>
  <c r="P33"/>
  <c r="BC32"/>
  <c r="CZ34"/>
  <c r="DG34"/>
  <c r="R32"/>
  <c r="S32"/>
  <c r="BF32"/>
  <c r="BG31"/>
  <c r="BH31" s="1"/>
  <c r="DB33"/>
  <c r="AA30" i="9"/>
  <c r="AD30" s="1"/>
  <c r="Z30"/>
  <c r="Y31"/>
  <c r="AB31"/>
  <c r="AC31" s="1"/>
  <c r="V33"/>
  <c r="W32"/>
  <c r="X32"/>
  <c r="AA31" i="10"/>
  <c r="AB31" s="1"/>
  <c r="AC31" s="1"/>
  <c r="W34"/>
  <c r="X33"/>
  <c r="Y32"/>
  <c r="Z32" s="1"/>
  <c r="R35" i="15" l="1"/>
  <c r="N29" i="17"/>
  <c r="O29" s="1"/>
  <c r="F34" i="15"/>
  <c r="N28" i="16"/>
  <c r="S34" i="15"/>
  <c r="Y34"/>
  <c r="BJ38" i="17"/>
  <c r="F32"/>
  <c r="B33"/>
  <c r="AJ30" i="14"/>
  <c r="AM30" s="1"/>
  <c r="L36" i="15" s="1"/>
  <c r="AK30" i="14"/>
  <c r="AL30" s="1"/>
  <c r="AF32"/>
  <c r="K37" i="15"/>
  <c r="AI31" i="14"/>
  <c r="AH31"/>
  <c r="AA29"/>
  <c r="G35" i="15" s="1"/>
  <c r="E35"/>
  <c r="AP29" i="14"/>
  <c r="M35" i="15"/>
  <c r="BA31" i="14"/>
  <c r="BB31"/>
  <c r="BC31" s="1"/>
  <c r="Y30"/>
  <c r="Z30" s="1"/>
  <c r="BJ28"/>
  <c r="BK28" s="1"/>
  <c r="BI28"/>
  <c r="P33"/>
  <c r="D39" i="15" s="1"/>
  <c r="R32" i="14"/>
  <c r="T32"/>
  <c r="BD30"/>
  <c r="BE30" s="1"/>
  <c r="BF29"/>
  <c r="BG29" s="1"/>
  <c r="AW33"/>
  <c r="AY32"/>
  <c r="AZ32"/>
  <c r="AS29"/>
  <c r="AT29" s="1"/>
  <c r="AR29"/>
  <c r="U31"/>
  <c r="W31"/>
  <c r="X31" s="1"/>
  <c r="BE29"/>
  <c r="BH29" s="1"/>
  <c r="K40" i="13"/>
  <c r="AJ31" i="12"/>
  <c r="AK31" s="1"/>
  <c r="AI31"/>
  <c r="AN30"/>
  <c r="M36" i="13" s="1"/>
  <c r="AH32" i="12"/>
  <c r="AG32"/>
  <c r="AU33"/>
  <c r="S38" i="13"/>
  <c r="AA28" i="12"/>
  <c r="AB28" s="1"/>
  <c r="G34" i="13"/>
  <c r="Z28" i="12"/>
  <c r="AM30"/>
  <c r="AP30" s="1"/>
  <c r="N36" i="13" s="1"/>
  <c r="W30" i="12"/>
  <c r="X30" s="1"/>
  <c r="AN29"/>
  <c r="M35" i="13" s="1"/>
  <c r="AA29" i="12"/>
  <c r="AB29" s="1"/>
  <c r="G35" i="13"/>
  <c r="AM29" i="12"/>
  <c r="AP29" s="1"/>
  <c r="N35" i="13" s="1"/>
  <c r="P33" i="12"/>
  <c r="D39" i="13" s="1"/>
  <c r="R32" i="12"/>
  <c r="S32"/>
  <c r="T31"/>
  <c r="W31" s="1"/>
  <c r="U31"/>
  <c r="V31" s="1"/>
  <c r="AL33" i="11"/>
  <c r="AN32"/>
  <c r="AO32"/>
  <c r="AP31"/>
  <c r="AS31" s="1"/>
  <c r="AQ31"/>
  <c r="AR31" s="1"/>
  <c r="AT30"/>
  <c r="BJ31"/>
  <c r="T32"/>
  <c r="W32" s="1"/>
  <c r="BD32"/>
  <c r="BI32" s="1"/>
  <c r="BZ31"/>
  <c r="BT30"/>
  <c r="V31"/>
  <c r="X31" s="1"/>
  <c r="U32"/>
  <c r="BS31"/>
  <c r="BQ31"/>
  <c r="BR31" s="1"/>
  <c r="BM33"/>
  <c r="BO32"/>
  <c r="BW32"/>
  <c r="BP32"/>
  <c r="BY32"/>
  <c r="DH34"/>
  <c r="P34"/>
  <c r="CZ35"/>
  <c r="DG35"/>
  <c r="R33"/>
  <c r="S33"/>
  <c r="BC33"/>
  <c r="BF33"/>
  <c r="BG32"/>
  <c r="BH32" s="1"/>
  <c r="BJ32" s="1"/>
  <c r="DB34"/>
  <c r="AA31" i="9"/>
  <c r="AD31" s="1"/>
  <c r="Z31"/>
  <c r="Y32"/>
  <c r="AB32"/>
  <c r="AC32" s="1"/>
  <c r="V34"/>
  <c r="W33"/>
  <c r="X33"/>
  <c r="AA32" i="10"/>
  <c r="AB32" s="1"/>
  <c r="AC32" s="1"/>
  <c r="Y33"/>
  <c r="Z33" s="1"/>
  <c r="W35"/>
  <c r="X34"/>
  <c r="F35" i="15" l="1"/>
  <c r="N29" i="16"/>
  <c r="S35" i="15"/>
  <c r="Y35"/>
  <c r="R36"/>
  <c r="N30" i="17"/>
  <c r="O30" s="1"/>
  <c r="AN30" i="14"/>
  <c r="AQ30" s="1"/>
  <c r="N36" i="15" s="1"/>
  <c r="BJ39" i="17"/>
  <c r="F33"/>
  <c r="B34"/>
  <c r="AF33" i="14"/>
  <c r="K38" i="15"/>
  <c r="AH32" i="14"/>
  <c r="AI32"/>
  <c r="AJ31"/>
  <c r="AM31" s="1"/>
  <c r="L37" i="15" s="1"/>
  <c r="AK31" i="14"/>
  <c r="AL31" s="1"/>
  <c r="AO30"/>
  <c r="AP30" s="1"/>
  <c r="AA30"/>
  <c r="G36" i="15" s="1"/>
  <c r="E36"/>
  <c r="BJ29" i="14"/>
  <c r="BK29" s="1"/>
  <c r="BI29"/>
  <c r="AY33"/>
  <c r="AW34"/>
  <c r="AZ33"/>
  <c r="BA32"/>
  <c r="BB32"/>
  <c r="BC32" s="1"/>
  <c r="R33"/>
  <c r="P34"/>
  <c r="D40" i="15" s="1"/>
  <c r="T33" i="14"/>
  <c r="U32"/>
  <c r="W32"/>
  <c r="X32" s="1"/>
  <c r="BF30"/>
  <c r="BG30" s="1"/>
  <c r="BH30"/>
  <c r="Y31"/>
  <c r="AS30"/>
  <c r="AT30" s="1"/>
  <c r="AR30"/>
  <c r="BD31"/>
  <c r="BE31" s="1"/>
  <c r="K41" i="13"/>
  <c r="Y31" i="12"/>
  <c r="E37" i="13"/>
  <c r="F37" s="1"/>
  <c r="AQ29" i="12"/>
  <c r="AR29"/>
  <c r="AS29" s="1"/>
  <c r="AJ32"/>
  <c r="AK32" s="1"/>
  <c r="AI32"/>
  <c r="AL32" s="1"/>
  <c r="L38" i="13" s="1"/>
  <c r="AO29" i="12"/>
  <c r="AQ30"/>
  <c r="AR30"/>
  <c r="AS30" s="1"/>
  <c r="AG33"/>
  <c r="AH33"/>
  <c r="AL31"/>
  <c r="L37" i="13" s="1"/>
  <c r="Y30" i="12"/>
  <c r="E36" i="13"/>
  <c r="F36" s="1"/>
  <c r="AU34" i="12"/>
  <c r="S39" i="13"/>
  <c r="AO30" i="12"/>
  <c r="R33"/>
  <c r="P34"/>
  <c r="D40" i="13" s="1"/>
  <c r="S33" i="12"/>
  <c r="X31"/>
  <c r="T32"/>
  <c r="U32"/>
  <c r="V32" s="1"/>
  <c r="AP32" i="11"/>
  <c r="AS32" s="1"/>
  <c r="AQ32"/>
  <c r="AR32" s="1"/>
  <c r="AT32" s="1"/>
  <c r="AL34"/>
  <c r="AN33"/>
  <c r="AO33"/>
  <c r="AT31"/>
  <c r="T33"/>
  <c r="W33" s="1"/>
  <c r="BD33"/>
  <c r="BI33" s="1"/>
  <c r="BT31"/>
  <c r="BM34"/>
  <c r="BW33"/>
  <c r="BO33"/>
  <c r="BP33"/>
  <c r="BY33"/>
  <c r="V32"/>
  <c r="X32" s="1"/>
  <c r="BS32"/>
  <c r="BQ32"/>
  <c r="BR32" s="1"/>
  <c r="BZ32"/>
  <c r="DH35"/>
  <c r="P35"/>
  <c r="DG36"/>
  <c r="R34"/>
  <c r="CZ36"/>
  <c r="BC34"/>
  <c r="BD34" s="1"/>
  <c r="S34"/>
  <c r="BF34"/>
  <c r="BG33"/>
  <c r="BH33" s="1"/>
  <c r="DB35"/>
  <c r="U33"/>
  <c r="AA32" i="9"/>
  <c r="AD32" s="1"/>
  <c r="Z32"/>
  <c r="Y33"/>
  <c r="AB33"/>
  <c r="AC33" s="1"/>
  <c r="V35"/>
  <c r="W34"/>
  <c r="X34"/>
  <c r="AA33" i="10"/>
  <c r="AB33" s="1"/>
  <c r="AC33" s="1"/>
  <c r="W36"/>
  <c r="X35"/>
  <c r="Y34"/>
  <c r="Z34" s="1"/>
  <c r="M36" i="15" l="1"/>
  <c r="S36"/>
  <c r="Y36"/>
  <c r="F36"/>
  <c r="N30" i="16"/>
  <c r="R37" i="15"/>
  <c r="N31" i="17"/>
  <c r="O31" s="1"/>
  <c r="AN31" i="14"/>
  <c r="AQ31" s="1"/>
  <c r="N37" i="15" s="1"/>
  <c r="BJ40" i="17"/>
  <c r="F34"/>
  <c r="B35"/>
  <c r="AF34" i="14"/>
  <c r="K39" i="15"/>
  <c r="AI33" i="14"/>
  <c r="AH33"/>
  <c r="AJ32"/>
  <c r="AM32" s="1"/>
  <c r="AO32" s="1"/>
  <c r="AK32"/>
  <c r="AL32" s="1"/>
  <c r="AO31"/>
  <c r="M37" i="15" s="1"/>
  <c r="AA31" i="14"/>
  <c r="G37" i="15" s="1"/>
  <c r="E37"/>
  <c r="AP31" i="14"/>
  <c r="AS31"/>
  <c r="AT31" s="1"/>
  <c r="AR31"/>
  <c r="Y32"/>
  <c r="P35"/>
  <c r="D41" i="15" s="1"/>
  <c r="R34" i="14"/>
  <c r="T34"/>
  <c r="AW35"/>
  <c r="AY34"/>
  <c r="AZ34"/>
  <c r="BD32"/>
  <c r="BE32" s="1"/>
  <c r="Z31"/>
  <c r="U33"/>
  <c r="W33"/>
  <c r="X33" s="1"/>
  <c r="BA33"/>
  <c r="BB33"/>
  <c r="BC33" s="1"/>
  <c r="BJ30"/>
  <c r="BK30" s="1"/>
  <c r="BI30"/>
  <c r="BF31"/>
  <c r="BG31" s="1"/>
  <c r="BH31"/>
  <c r="K42" i="13"/>
  <c r="AN31" i="12"/>
  <c r="M37" i="13" s="1"/>
  <c r="W32" i="12"/>
  <c r="AA30"/>
  <c r="AB30" s="1"/>
  <c r="G36" i="13"/>
  <c r="Z30" i="12"/>
  <c r="AJ33"/>
  <c r="AK33" s="1"/>
  <c r="AI33"/>
  <c r="AM31"/>
  <c r="AP31" s="1"/>
  <c r="N37" i="13" s="1"/>
  <c r="AU35" i="12"/>
  <c r="S40" i="13"/>
  <c r="AN32" i="12"/>
  <c r="M38" i="13" s="1"/>
  <c r="AH34" i="12"/>
  <c r="AG34"/>
  <c r="Z31"/>
  <c r="AA31"/>
  <c r="AB31" s="1"/>
  <c r="G37" i="13"/>
  <c r="AM32" i="12"/>
  <c r="AP32" s="1"/>
  <c r="N38" i="13" s="1"/>
  <c r="T33" i="12"/>
  <c r="W33" s="1"/>
  <c r="U33"/>
  <c r="V33" s="1"/>
  <c r="P35"/>
  <c r="D41" i="13" s="1"/>
  <c r="R34" i="12"/>
  <c r="S34"/>
  <c r="AL35" i="11"/>
  <c r="AN34"/>
  <c r="AO34"/>
  <c r="AP33"/>
  <c r="AS33" s="1"/>
  <c r="AQ33"/>
  <c r="AR33" s="1"/>
  <c r="BI34"/>
  <c r="BJ33"/>
  <c r="T34"/>
  <c r="W34" s="1"/>
  <c r="BZ33"/>
  <c r="BS33"/>
  <c r="BQ33"/>
  <c r="BR33" s="1"/>
  <c r="V33"/>
  <c r="X33" s="1"/>
  <c r="BM35"/>
  <c r="BO34"/>
  <c r="BW34"/>
  <c r="BP34"/>
  <c r="BY34"/>
  <c r="BT32"/>
  <c r="P36"/>
  <c r="CZ37"/>
  <c r="BC35"/>
  <c r="DG37"/>
  <c r="R35"/>
  <c r="S35"/>
  <c r="BF35"/>
  <c r="DH36"/>
  <c r="U34"/>
  <c r="DB36"/>
  <c r="BG34"/>
  <c r="BH34" s="1"/>
  <c r="AA33" i="9"/>
  <c r="AD33" s="1"/>
  <c r="Z33"/>
  <c r="AB34"/>
  <c r="AC34" s="1"/>
  <c r="W35"/>
  <c r="V36"/>
  <c r="X35"/>
  <c r="Y34"/>
  <c r="AA34" i="10"/>
  <c r="AB34" s="1"/>
  <c r="AC34" s="1"/>
  <c r="Y35"/>
  <c r="Z35" s="1"/>
  <c r="W37"/>
  <c r="X36"/>
  <c r="S37" i="15" l="1"/>
  <c r="Y37"/>
  <c r="F37"/>
  <c r="N31" i="16"/>
  <c r="AN32" i="14"/>
  <c r="AQ32" s="1"/>
  <c r="N38" i="15" s="1"/>
  <c r="L38"/>
  <c r="BJ41" i="17"/>
  <c r="B36"/>
  <c r="F35"/>
  <c r="AF35" i="14"/>
  <c r="K40" i="15"/>
  <c r="AH34" i="14"/>
  <c r="AI34"/>
  <c r="AK33"/>
  <c r="AL33" s="1"/>
  <c r="AN33" s="1"/>
  <c r="AQ33" s="1"/>
  <c r="N39" i="15" s="1"/>
  <c r="AJ33" i="14"/>
  <c r="AM33" s="1"/>
  <c r="L39" i="15" s="1"/>
  <c r="AA32" i="14"/>
  <c r="G38" i="15" s="1"/>
  <c r="E38"/>
  <c r="Z32" i="14"/>
  <c r="AP32"/>
  <c r="M38" i="15"/>
  <c r="BD33" i="14"/>
  <c r="BE33" s="1"/>
  <c r="BA34"/>
  <c r="BB34"/>
  <c r="BC34" s="1"/>
  <c r="BJ31"/>
  <c r="BK31" s="1"/>
  <c r="BI31"/>
  <c r="AS32"/>
  <c r="AT32" s="1"/>
  <c r="AR32"/>
  <c r="U34"/>
  <c r="W34"/>
  <c r="X34" s="1"/>
  <c r="Y33"/>
  <c r="P36"/>
  <c r="D42" i="15" s="1"/>
  <c r="R35" i="14"/>
  <c r="T35"/>
  <c r="BF32"/>
  <c r="BG32" s="1"/>
  <c r="BH32"/>
  <c r="AW36"/>
  <c r="AY35"/>
  <c r="AZ35"/>
  <c r="K43" i="13"/>
  <c r="AQ32" i="12"/>
  <c r="AR32"/>
  <c r="AS32" s="1"/>
  <c r="AG35"/>
  <c r="AH35"/>
  <c r="AU36"/>
  <c r="S41" i="13"/>
  <c r="AQ31" i="12"/>
  <c r="AR31"/>
  <c r="AS31" s="1"/>
  <c r="AJ34"/>
  <c r="AK34" s="1"/>
  <c r="AI34"/>
  <c r="AL34" s="1"/>
  <c r="L40" i="13" s="1"/>
  <c r="AO31" i="12"/>
  <c r="Y33"/>
  <c r="E39" i="13"/>
  <c r="F39" s="1"/>
  <c r="AO32" i="12"/>
  <c r="Y32"/>
  <c r="E38" i="13"/>
  <c r="F38" s="1"/>
  <c r="AL33" i="12"/>
  <c r="X32"/>
  <c r="T34"/>
  <c r="U34"/>
  <c r="V34" s="1"/>
  <c r="R35"/>
  <c r="P36"/>
  <c r="D42" i="13" s="1"/>
  <c r="S35" i="12"/>
  <c r="X33"/>
  <c r="AP34" i="11"/>
  <c r="AS34" s="1"/>
  <c r="AQ34"/>
  <c r="AR34" s="1"/>
  <c r="AL36"/>
  <c r="AN35"/>
  <c r="AO35"/>
  <c r="AT33"/>
  <c r="BJ34"/>
  <c r="BD35"/>
  <c r="BI35" s="1"/>
  <c r="T35"/>
  <c r="W35" s="1"/>
  <c r="BT33"/>
  <c r="BZ34"/>
  <c r="BS34"/>
  <c r="BQ34"/>
  <c r="BR34" s="1"/>
  <c r="V34"/>
  <c r="X34" s="1"/>
  <c r="BM36"/>
  <c r="BW35"/>
  <c r="BO35"/>
  <c r="BP35"/>
  <c r="BY35"/>
  <c r="DH37"/>
  <c r="U35"/>
  <c r="P37"/>
  <c r="BC36"/>
  <c r="CZ38"/>
  <c r="DG38"/>
  <c r="DH38" s="1"/>
  <c r="S36"/>
  <c r="R36"/>
  <c r="BF36"/>
  <c r="DB37"/>
  <c r="BG35"/>
  <c r="BH35" s="1"/>
  <c r="AB35" i="9"/>
  <c r="AC35" s="1"/>
  <c r="AA34"/>
  <c r="AD34" s="1"/>
  <c r="Z34"/>
  <c r="V37"/>
  <c r="W36"/>
  <c r="X36"/>
  <c r="Y35"/>
  <c r="AA35" i="10"/>
  <c r="AB35" s="1"/>
  <c r="AC35" s="1"/>
  <c r="W38"/>
  <c r="X37"/>
  <c r="Y36"/>
  <c r="Z36" s="1"/>
  <c r="F38" i="15" l="1"/>
  <c r="N32" i="16"/>
  <c r="R38" i="15"/>
  <c r="N32" i="17"/>
  <c r="O32" s="1"/>
  <c r="R39" i="15"/>
  <c r="N33" i="17"/>
  <c r="O33" s="1"/>
  <c r="AO33" i="14"/>
  <c r="M39" i="15" s="1"/>
  <c r="BJ42" i="17"/>
  <c r="F36"/>
  <c r="B37"/>
  <c r="AF36" i="14"/>
  <c r="K41" i="15"/>
  <c r="AH35" i="14"/>
  <c r="AI35"/>
  <c r="AK34"/>
  <c r="AL34" s="1"/>
  <c r="AN34" s="1"/>
  <c r="AQ34" s="1"/>
  <c r="N40" i="15" s="1"/>
  <c r="AJ34" i="14"/>
  <c r="AM34" s="1"/>
  <c r="L40" i="15" s="1"/>
  <c r="AA33" i="14"/>
  <c r="G39" i="15" s="1"/>
  <c r="E39"/>
  <c r="AP33" i="14"/>
  <c r="Y34"/>
  <c r="Z34" s="1"/>
  <c r="P37"/>
  <c r="D43" i="15" s="1"/>
  <c r="R36" i="14"/>
  <c r="T36"/>
  <c r="BF33"/>
  <c r="BG33" s="1"/>
  <c r="BH33"/>
  <c r="AW37"/>
  <c r="AY36"/>
  <c r="AZ36"/>
  <c r="U35"/>
  <c r="W35"/>
  <c r="X35" s="1"/>
  <c r="BD34"/>
  <c r="BJ32"/>
  <c r="BK32" s="1"/>
  <c r="BI32"/>
  <c r="BA35"/>
  <c r="BB35"/>
  <c r="BC35" s="1"/>
  <c r="AS33"/>
  <c r="AT33" s="1"/>
  <c r="AR33"/>
  <c r="AO34"/>
  <c r="BE34"/>
  <c r="Z33"/>
  <c r="AM33" i="12"/>
  <c r="AP33" s="1"/>
  <c r="N39" i="13" s="1"/>
  <c r="L39"/>
  <c r="K44"/>
  <c r="G38"/>
  <c r="AA32" i="12"/>
  <c r="AB32" s="1"/>
  <c r="Z32"/>
  <c r="Z33"/>
  <c r="AA33"/>
  <c r="AB33" s="1"/>
  <c r="G39" i="13"/>
  <c r="AU37" i="12"/>
  <c r="S42" i="13"/>
  <c r="AN33" i="12"/>
  <c r="M39" i="13" s="1"/>
  <c r="AG36" i="12"/>
  <c r="AH36"/>
  <c r="W34"/>
  <c r="AI35"/>
  <c r="AJ35"/>
  <c r="AK35" s="1"/>
  <c r="AM34"/>
  <c r="AP34" s="1"/>
  <c r="N40" i="13" s="1"/>
  <c r="AN34" i="12"/>
  <c r="M40" i="13" s="1"/>
  <c r="T35" i="12"/>
  <c r="W35" s="1"/>
  <c r="U35"/>
  <c r="V35" s="1"/>
  <c r="P37"/>
  <c r="D43" i="13" s="1"/>
  <c r="R36" i="12"/>
  <c r="S36"/>
  <c r="AP35" i="11"/>
  <c r="AS35" s="1"/>
  <c r="AQ35"/>
  <c r="AR35" s="1"/>
  <c r="AL37"/>
  <c r="AN36"/>
  <c r="AO36"/>
  <c r="AT34"/>
  <c r="BJ35"/>
  <c r="T36"/>
  <c r="W36" s="1"/>
  <c r="BD36"/>
  <c r="BI36" s="1"/>
  <c r="BZ35"/>
  <c r="BT34"/>
  <c r="V35"/>
  <c r="X35" s="1"/>
  <c r="BS35"/>
  <c r="BQ35"/>
  <c r="BR35" s="1"/>
  <c r="BM37"/>
  <c r="BW36"/>
  <c r="BO36"/>
  <c r="BP36"/>
  <c r="BY36"/>
  <c r="P38"/>
  <c r="CZ39"/>
  <c r="DG39"/>
  <c r="R37"/>
  <c r="BC37"/>
  <c r="BD37" s="1"/>
  <c r="S37"/>
  <c r="BF37"/>
  <c r="U36"/>
  <c r="BG36"/>
  <c r="BH36" s="1"/>
  <c r="BJ36" s="1"/>
  <c r="DB38"/>
  <c r="AA35" i="9"/>
  <c r="AD35" s="1"/>
  <c r="Z35"/>
  <c r="Y36"/>
  <c r="AB36"/>
  <c r="AC36" s="1"/>
  <c r="V38"/>
  <c r="W37"/>
  <c r="X37"/>
  <c r="AA36" i="10"/>
  <c r="AB36" s="1"/>
  <c r="AC36" s="1"/>
  <c r="Y37"/>
  <c r="Z37" s="1"/>
  <c r="W39"/>
  <c r="X38"/>
  <c r="R40" i="15" l="1"/>
  <c r="N34" i="17"/>
  <c r="O34" s="1"/>
  <c r="S39" i="15"/>
  <c r="Y39"/>
  <c r="F39"/>
  <c r="N33" i="16"/>
  <c r="S38" i="15"/>
  <c r="Y38"/>
  <c r="BJ43" i="17"/>
  <c r="F37"/>
  <c r="B38"/>
  <c r="AF37" i="14"/>
  <c r="K42" i="15"/>
  <c r="AI36" i="14"/>
  <c r="AH36"/>
  <c r="AK35"/>
  <c r="AL35" s="1"/>
  <c r="AN35" s="1"/>
  <c r="AJ35"/>
  <c r="AM35" s="1"/>
  <c r="AO35" s="1"/>
  <c r="AP34"/>
  <c r="M40" i="15"/>
  <c r="AA34" i="14"/>
  <c r="G40" i="15" s="1"/>
  <c r="E40"/>
  <c r="U36" i="14"/>
  <c r="W36"/>
  <c r="X36" s="1"/>
  <c r="Y35"/>
  <c r="AS34"/>
  <c r="AT34" s="1"/>
  <c r="AR34"/>
  <c r="AY37"/>
  <c r="AW38"/>
  <c r="AZ37"/>
  <c r="BJ33"/>
  <c r="BK33" s="1"/>
  <c r="BI33"/>
  <c r="BD35"/>
  <c r="BE35" s="1"/>
  <c r="BF34"/>
  <c r="BG34" s="1"/>
  <c r="BH34"/>
  <c r="BA36"/>
  <c r="BB36"/>
  <c r="BC36" s="1"/>
  <c r="R37"/>
  <c r="P38"/>
  <c r="D44" i="15" s="1"/>
  <c r="T37" i="14"/>
  <c r="K45" i="13"/>
  <c r="AQ33" i="12"/>
  <c r="AR33"/>
  <c r="AS33" s="1"/>
  <c r="AG37"/>
  <c r="AH37"/>
  <c r="AO34"/>
  <c r="Y34"/>
  <c r="E40" i="13"/>
  <c r="F40" s="1"/>
  <c r="AQ34" i="12"/>
  <c r="AR34"/>
  <c r="AS34" s="1"/>
  <c r="AI36"/>
  <c r="AL36" s="1"/>
  <c r="L42" i="13" s="1"/>
  <c r="AJ36" i="12"/>
  <c r="AK36" s="1"/>
  <c r="AO33"/>
  <c r="AL35"/>
  <c r="L41" i="13" s="1"/>
  <c r="AU38" i="12"/>
  <c r="S43" i="13"/>
  <c r="X34" i="12"/>
  <c r="Y35"/>
  <c r="E41" i="13"/>
  <c r="F41" s="1"/>
  <c r="T36" i="12"/>
  <c r="U36"/>
  <c r="V36" s="1"/>
  <c r="X35"/>
  <c r="R37"/>
  <c r="P38"/>
  <c r="D44" i="13" s="1"/>
  <c r="S37" i="12"/>
  <c r="AP36" i="11"/>
  <c r="AS36" s="1"/>
  <c r="AQ36"/>
  <c r="AR36" s="1"/>
  <c r="AL38"/>
  <c r="AN37"/>
  <c r="AO37"/>
  <c r="AT35"/>
  <c r="T37"/>
  <c r="W37" s="1"/>
  <c r="BI37"/>
  <c r="BZ36"/>
  <c r="V36"/>
  <c r="X36" s="1"/>
  <c r="BS36"/>
  <c r="BQ36"/>
  <c r="BR36" s="1"/>
  <c r="BM38"/>
  <c r="BW37"/>
  <c r="BO37"/>
  <c r="BP37"/>
  <c r="BY37"/>
  <c r="BT35"/>
  <c r="U37"/>
  <c r="BG37"/>
  <c r="BH37" s="1"/>
  <c r="BJ37" s="1"/>
  <c r="P39"/>
  <c r="DG40"/>
  <c r="R38"/>
  <c r="CZ40"/>
  <c r="BC38"/>
  <c r="S38"/>
  <c r="BF38"/>
  <c r="DB39"/>
  <c r="DH39"/>
  <c r="AA36" i="9"/>
  <c r="AD36" s="1"/>
  <c r="Z36"/>
  <c r="Y37"/>
  <c r="AB37"/>
  <c r="AC37" s="1"/>
  <c r="V39"/>
  <c r="W38"/>
  <c r="X38"/>
  <c r="AA37" i="10"/>
  <c r="AB37" s="1"/>
  <c r="AC37" s="1"/>
  <c r="W40"/>
  <c r="X39"/>
  <c r="Y38"/>
  <c r="Z38" s="1"/>
  <c r="F40" i="15" l="1"/>
  <c r="N34" i="16"/>
  <c r="S40" i="15"/>
  <c r="Y40"/>
  <c r="BJ44" i="17"/>
  <c r="F38"/>
  <c r="B39"/>
  <c r="L41" i="15"/>
  <c r="AQ35" i="14"/>
  <c r="N41" i="15" s="1"/>
  <c r="AF38" i="14"/>
  <c r="K43" i="15"/>
  <c r="AI37" i="14"/>
  <c r="AH37"/>
  <c r="AK36"/>
  <c r="AL36" s="1"/>
  <c r="AJ36"/>
  <c r="AM36" s="1"/>
  <c r="L42" i="15" s="1"/>
  <c r="AP35" i="14"/>
  <c r="M41" i="15"/>
  <c r="AA35" i="14"/>
  <c r="G41" i="15" s="1"/>
  <c r="E41"/>
  <c r="BJ34" i="14"/>
  <c r="BK34" s="1"/>
  <c r="BI34"/>
  <c r="BF35"/>
  <c r="BG35" s="1"/>
  <c r="BH35"/>
  <c r="AY38"/>
  <c r="AW39"/>
  <c r="AZ38"/>
  <c r="R38"/>
  <c r="P39"/>
  <c r="D45" i="15" s="1"/>
  <c r="T38" i="14"/>
  <c r="BD36"/>
  <c r="BE36" s="1"/>
  <c r="BA37"/>
  <c r="BB37"/>
  <c r="BC37" s="1"/>
  <c r="Y36"/>
  <c r="U37"/>
  <c r="W37"/>
  <c r="X37" s="1"/>
  <c r="Z35"/>
  <c r="K46" i="13"/>
  <c r="AN35" i="12"/>
  <c r="M41" i="13" s="1"/>
  <c r="AN36" i="12"/>
  <c r="M42" i="13" s="1"/>
  <c r="G40"/>
  <c r="AA34" i="12"/>
  <c r="AB34" s="1"/>
  <c r="Z34"/>
  <c r="W36"/>
  <c r="AH38"/>
  <c r="AG38"/>
  <c r="Z35"/>
  <c r="AA35"/>
  <c r="AB35" s="1"/>
  <c r="G41" i="13"/>
  <c r="AU39" i="12"/>
  <c r="S44" i="13"/>
  <c r="AJ37" i="12"/>
  <c r="AK37" s="1"/>
  <c r="AI37"/>
  <c r="AM36"/>
  <c r="AP36" s="1"/>
  <c r="N42" i="13" s="1"/>
  <c r="AM35" i="12"/>
  <c r="AP35" s="1"/>
  <c r="N41" i="13" s="1"/>
  <c r="U37" i="12"/>
  <c r="V37" s="1"/>
  <c r="T37"/>
  <c r="W37" s="1"/>
  <c r="P39"/>
  <c r="D45" i="13" s="1"/>
  <c r="R38" i="12"/>
  <c r="S38"/>
  <c r="AP37" i="11"/>
  <c r="AS37" s="1"/>
  <c r="AQ37"/>
  <c r="AR37" s="1"/>
  <c r="AL39"/>
  <c r="AN38"/>
  <c r="AO38"/>
  <c r="AT36"/>
  <c r="BD38"/>
  <c r="BI38" s="1"/>
  <c r="BZ37"/>
  <c r="T38"/>
  <c r="W38" s="1"/>
  <c r="V37"/>
  <c r="X37" s="1"/>
  <c r="BS37"/>
  <c r="BQ37"/>
  <c r="BR37" s="1"/>
  <c r="BM39"/>
  <c r="BW38"/>
  <c r="BO38"/>
  <c r="BP38"/>
  <c r="BY38"/>
  <c r="BT36"/>
  <c r="P40"/>
  <c r="BC39"/>
  <c r="CZ41"/>
  <c r="R39"/>
  <c r="DG41"/>
  <c r="S39"/>
  <c r="BF39"/>
  <c r="DH40"/>
  <c r="U38"/>
  <c r="DB40"/>
  <c r="BG38"/>
  <c r="BH38" s="1"/>
  <c r="AA37" i="9"/>
  <c r="AD37" s="1"/>
  <c r="Z37"/>
  <c r="Y38"/>
  <c r="AB38"/>
  <c r="AC38" s="1"/>
  <c r="V40"/>
  <c r="W39"/>
  <c r="X39"/>
  <c r="AA38" i="10"/>
  <c r="AB38" s="1"/>
  <c r="AC38" s="1"/>
  <c r="Y39"/>
  <c r="Z39" s="1"/>
  <c r="W41"/>
  <c r="X40"/>
  <c r="R41" i="15" l="1"/>
  <c r="N35" i="17"/>
  <c r="O35" s="1"/>
  <c r="F41" i="15"/>
  <c r="N35" i="16"/>
  <c r="R42" i="15"/>
  <c r="N36" i="17"/>
  <c r="O36" s="1"/>
  <c r="AO36" i="14"/>
  <c r="M42" i="15" s="1"/>
  <c r="AN36" i="14"/>
  <c r="AQ36" s="1"/>
  <c r="N42" i="15" s="1"/>
  <c r="BJ45" i="17"/>
  <c r="B40"/>
  <c r="F39"/>
  <c r="AF39" i="14"/>
  <c r="K44" i="15"/>
  <c r="AH38" i="14"/>
  <c r="AI38"/>
  <c r="AS35"/>
  <c r="AT35" s="1"/>
  <c r="AJ37"/>
  <c r="AM37" s="1"/>
  <c r="L43" i="15" s="1"/>
  <c r="AK37" i="14"/>
  <c r="AL37" s="1"/>
  <c r="AN37" s="1"/>
  <c r="AQ37" s="1"/>
  <c r="N43" i="15" s="1"/>
  <c r="AR35" i="14"/>
  <c r="AA36"/>
  <c r="G42" i="15" s="1"/>
  <c r="E42"/>
  <c r="BA38" i="14"/>
  <c r="BB38"/>
  <c r="BC38" s="1"/>
  <c r="U38"/>
  <c r="W38"/>
  <c r="X38" s="1"/>
  <c r="BF36"/>
  <c r="BG36" s="1"/>
  <c r="BH36"/>
  <c r="R39"/>
  <c r="P40"/>
  <c r="D46" i="15" s="1"/>
  <c r="T39" i="14"/>
  <c r="AY39"/>
  <c r="AW40"/>
  <c r="AZ39"/>
  <c r="AO37"/>
  <c r="Y37"/>
  <c r="BD37"/>
  <c r="BE37" s="1"/>
  <c r="BJ35"/>
  <c r="BK35" s="1"/>
  <c r="BI35"/>
  <c r="Z36"/>
  <c r="K47" i="13"/>
  <c r="AL37" i="12"/>
  <c r="L43" i="13" s="1"/>
  <c r="Y36" i="12"/>
  <c r="E42" i="13"/>
  <c r="F42" s="1"/>
  <c r="Y37" i="12"/>
  <c r="E43" i="13"/>
  <c r="F43" s="1"/>
  <c r="AU40" i="12"/>
  <c r="S45" i="13"/>
  <c r="AH39" i="12"/>
  <c r="AG39"/>
  <c r="AQ36"/>
  <c r="AR36"/>
  <c r="AS36" s="1"/>
  <c r="AO36"/>
  <c r="AJ38"/>
  <c r="AK38" s="1"/>
  <c r="AI38"/>
  <c r="AL38" s="1"/>
  <c r="L44" i="13" s="1"/>
  <c r="AO35" i="12"/>
  <c r="AQ35"/>
  <c r="AR35"/>
  <c r="AS35" s="1"/>
  <c r="X36"/>
  <c r="Z37"/>
  <c r="R39"/>
  <c r="P40"/>
  <c r="D46" i="13" s="1"/>
  <c r="S39" i="12"/>
  <c r="T38"/>
  <c r="U38"/>
  <c r="V38" s="1"/>
  <c r="X37"/>
  <c r="AP38" i="11"/>
  <c r="AS38" s="1"/>
  <c r="AQ38"/>
  <c r="AR38" s="1"/>
  <c r="AL40"/>
  <c r="AN39"/>
  <c r="AO39"/>
  <c r="AT37"/>
  <c r="BJ38"/>
  <c r="BD39"/>
  <c r="BI39" s="1"/>
  <c r="T39"/>
  <c r="W39" s="1"/>
  <c r="BZ38"/>
  <c r="BS38"/>
  <c r="BQ38"/>
  <c r="BR38" s="1"/>
  <c r="V38"/>
  <c r="X38" s="1"/>
  <c r="BM40"/>
  <c r="BW39"/>
  <c r="BO39"/>
  <c r="BP39"/>
  <c r="BY39"/>
  <c r="BT37"/>
  <c r="P41"/>
  <c r="BC40"/>
  <c r="CZ42"/>
  <c r="DG42"/>
  <c r="S40"/>
  <c r="R40"/>
  <c r="BF40"/>
  <c r="BG39"/>
  <c r="BH39" s="1"/>
  <c r="DB41"/>
  <c r="U39"/>
  <c r="DH41"/>
  <c r="AA38" i="9"/>
  <c r="AD38" s="1"/>
  <c r="Z38"/>
  <c r="Y39"/>
  <c r="AB39"/>
  <c r="AC39" s="1"/>
  <c r="V41"/>
  <c r="W40"/>
  <c r="X40"/>
  <c r="AA39" i="10"/>
  <c r="AB39" s="1"/>
  <c r="AC39" s="1"/>
  <c r="W42"/>
  <c r="X41"/>
  <c r="Y40"/>
  <c r="Z40" s="1"/>
  <c r="F42" i="15" l="1"/>
  <c r="N36" i="16"/>
  <c r="R43" i="15"/>
  <c r="N37" i="17"/>
  <c r="O37" s="1"/>
  <c r="S42" i="15"/>
  <c r="Y42"/>
  <c r="S41"/>
  <c r="Y41"/>
  <c r="AS36" i="14"/>
  <c r="AT36" s="1"/>
  <c r="AP36"/>
  <c r="AR36"/>
  <c r="BJ46" i="17"/>
  <c r="F40"/>
  <c r="B41"/>
  <c r="AK38" i="14"/>
  <c r="AL38" s="1"/>
  <c r="AJ38"/>
  <c r="AM38" s="1"/>
  <c r="L44" i="15" s="1"/>
  <c r="AF40" i="14"/>
  <c r="K45" i="15"/>
  <c r="AH39" i="14"/>
  <c r="AI39"/>
  <c r="AA37"/>
  <c r="G43" i="15" s="1"/>
  <c r="E43"/>
  <c r="AP37" i="14"/>
  <c r="M43" i="15"/>
  <c r="AS37" i="14"/>
  <c r="AT37" s="1"/>
  <c r="AR37"/>
  <c r="U39"/>
  <c r="W39"/>
  <c r="X39" s="1"/>
  <c r="P41"/>
  <c r="D47" i="15" s="1"/>
  <c r="R40" i="14"/>
  <c r="T40"/>
  <c r="Y38"/>
  <c r="Z38" s="1"/>
  <c r="Z37"/>
  <c r="AY40"/>
  <c r="AW41"/>
  <c r="AZ40"/>
  <c r="BJ36"/>
  <c r="BK36" s="1"/>
  <c r="BI36"/>
  <c r="BD38"/>
  <c r="BE38" s="1"/>
  <c r="BF37"/>
  <c r="BG37" s="1"/>
  <c r="BH37"/>
  <c r="BA39"/>
  <c r="BB39"/>
  <c r="BC39" s="1"/>
  <c r="AM37" i="12"/>
  <c r="AP37" s="1"/>
  <c r="N43" i="13" s="1"/>
  <c r="K48"/>
  <c r="AA36" i="12"/>
  <c r="AB36" s="1"/>
  <c r="G42" i="13"/>
  <c r="Z36" i="12"/>
  <c r="AJ39"/>
  <c r="AK39" s="1"/>
  <c r="AI39"/>
  <c r="G43" i="13"/>
  <c r="AA37" i="12"/>
  <c r="AB37" s="1"/>
  <c r="AN37"/>
  <c r="M43" i="13" s="1"/>
  <c r="W38" i="12"/>
  <c r="AH40"/>
  <c r="AG40"/>
  <c r="AM38"/>
  <c r="AP38" s="1"/>
  <c r="N44" i="13" s="1"/>
  <c r="AN38" i="12"/>
  <c r="M44" i="13" s="1"/>
  <c r="AU41" i="12"/>
  <c r="S46" i="13"/>
  <c r="P41" i="12"/>
  <c r="D47" i="13" s="1"/>
  <c r="R40" i="12"/>
  <c r="S40"/>
  <c r="T39"/>
  <c r="W39" s="1"/>
  <c r="U39"/>
  <c r="V39" s="1"/>
  <c r="AP39" i="11"/>
  <c r="AS39" s="1"/>
  <c r="AQ39"/>
  <c r="AR39" s="1"/>
  <c r="AT39" s="1"/>
  <c r="AL41"/>
  <c r="AN40"/>
  <c r="AO40"/>
  <c r="AT38"/>
  <c r="BD40"/>
  <c r="BI40" s="1"/>
  <c r="DH42"/>
  <c r="BJ39"/>
  <c r="T40"/>
  <c r="W40" s="1"/>
  <c r="BZ39"/>
  <c r="BT38"/>
  <c r="BS39"/>
  <c r="BQ39"/>
  <c r="BR39" s="1"/>
  <c r="V39"/>
  <c r="X39" s="1"/>
  <c r="BM41"/>
  <c r="BW40"/>
  <c r="BO40"/>
  <c r="BP40"/>
  <c r="BY40"/>
  <c r="U40"/>
  <c r="BG40"/>
  <c r="BH40" s="1"/>
  <c r="P42"/>
  <c r="CZ43"/>
  <c r="DG43"/>
  <c r="R41"/>
  <c r="BC41"/>
  <c r="S41"/>
  <c r="BF41"/>
  <c r="DB42"/>
  <c r="AA39" i="9"/>
  <c r="AD39" s="1"/>
  <c r="Z39"/>
  <c r="Y40"/>
  <c r="AB40"/>
  <c r="AC40" s="1"/>
  <c r="V42"/>
  <c r="W41"/>
  <c r="X41"/>
  <c r="AA40" i="10"/>
  <c r="AB40" s="1"/>
  <c r="AC40" s="1"/>
  <c r="Y41"/>
  <c r="Z41" s="1"/>
  <c r="W43"/>
  <c r="X42"/>
  <c r="R44" i="15" l="1"/>
  <c r="N38" i="17"/>
  <c r="O38" s="1"/>
  <c r="F43" i="15"/>
  <c r="N37" i="16"/>
  <c r="S43" i="15"/>
  <c r="Y43"/>
  <c r="AN38" i="14"/>
  <c r="AQ38" s="1"/>
  <c r="N44" i="15" s="1"/>
  <c r="BJ47" i="17"/>
  <c r="B42"/>
  <c r="F41"/>
  <c r="AF41" i="14"/>
  <c r="K46" i="15"/>
  <c r="AH40" i="14"/>
  <c r="AI40"/>
  <c r="AJ39"/>
  <c r="AM39" s="1"/>
  <c r="L45" i="15" s="1"/>
  <c r="AK39" i="14"/>
  <c r="AL39" s="1"/>
  <c r="AO38"/>
  <c r="AP38" s="1"/>
  <c r="AA38"/>
  <c r="G44" i="15" s="1"/>
  <c r="E44"/>
  <c r="U40" i="14"/>
  <c r="W40"/>
  <c r="X40" s="1"/>
  <c r="AY41"/>
  <c r="AW42"/>
  <c r="AZ41"/>
  <c r="BD39"/>
  <c r="BA40"/>
  <c r="BB40"/>
  <c r="BC40" s="1"/>
  <c r="Y39"/>
  <c r="BJ37"/>
  <c r="BK37" s="1"/>
  <c r="BI37"/>
  <c r="BF38"/>
  <c r="BG38" s="1"/>
  <c r="BH38"/>
  <c r="P42"/>
  <c r="D48" i="15" s="1"/>
  <c r="R41" i="14"/>
  <c r="T41"/>
  <c r="AR37" i="12"/>
  <c r="AS37" s="1"/>
  <c r="AQ37"/>
  <c r="K49" i="13"/>
  <c r="AU42" i="12"/>
  <c r="S47" i="13"/>
  <c r="Y39" i="12"/>
  <c r="E45" i="13"/>
  <c r="F45" s="1"/>
  <c r="AQ38" i="12"/>
  <c r="AR38"/>
  <c r="AS38" s="1"/>
  <c r="AO37"/>
  <c r="AL39"/>
  <c r="L45" i="13" s="1"/>
  <c r="AJ40" i="12"/>
  <c r="AK40" s="1"/>
  <c r="AI40"/>
  <c r="AL40" s="1"/>
  <c r="L46" i="13" s="1"/>
  <c r="Y38" i="12"/>
  <c r="E44" i="13"/>
  <c r="F44" s="1"/>
  <c r="AO38" i="12"/>
  <c r="AH41"/>
  <c r="AG41"/>
  <c r="AM39"/>
  <c r="X38"/>
  <c r="X39"/>
  <c r="T40"/>
  <c r="U40"/>
  <c r="V40" s="1"/>
  <c r="P42"/>
  <c r="D48" i="13" s="1"/>
  <c r="R41" i="12"/>
  <c r="S41"/>
  <c r="AL42" i="11"/>
  <c r="AN41"/>
  <c r="AO41"/>
  <c r="AP40"/>
  <c r="AS40" s="1"/>
  <c r="AQ40"/>
  <c r="AR40" s="1"/>
  <c r="BJ40"/>
  <c r="BZ40"/>
  <c r="T41"/>
  <c r="W41" s="1"/>
  <c r="BD41"/>
  <c r="BI41" s="1"/>
  <c r="BT39"/>
  <c r="BS40"/>
  <c r="BQ40"/>
  <c r="BR40" s="1"/>
  <c r="BM42"/>
  <c r="BO41"/>
  <c r="BW41"/>
  <c r="BP41"/>
  <c r="BY41"/>
  <c r="V40"/>
  <c r="X40" s="1"/>
  <c r="P43"/>
  <c r="DG44"/>
  <c r="R42"/>
  <c r="BC42"/>
  <c r="CZ44"/>
  <c r="S42"/>
  <c r="BF42"/>
  <c r="DB43"/>
  <c r="DH43"/>
  <c r="U41"/>
  <c r="BG41"/>
  <c r="BH41" s="1"/>
  <c r="BJ41" s="1"/>
  <c r="AA40" i="9"/>
  <c r="AD40" s="1"/>
  <c r="Z40"/>
  <c r="Y41"/>
  <c r="AB41"/>
  <c r="AC41" s="1"/>
  <c r="V43"/>
  <c r="W42"/>
  <c r="X42"/>
  <c r="AA41" i="10"/>
  <c r="AB41" s="1"/>
  <c r="AC41" s="1"/>
  <c r="W44"/>
  <c r="X43"/>
  <c r="Y42"/>
  <c r="Z42" s="1"/>
  <c r="M44" i="15" l="1"/>
  <c r="F44"/>
  <c r="N38" i="16"/>
  <c r="S44" i="15"/>
  <c r="Y44"/>
  <c r="R45"/>
  <c r="N39" i="17"/>
  <c r="O39" s="1"/>
  <c r="AS38" i="14"/>
  <c r="AT38" s="1"/>
  <c r="AN39"/>
  <c r="AQ39" s="1"/>
  <c r="N45" i="15" s="1"/>
  <c r="AR38" i="14"/>
  <c r="BJ48" i="17"/>
  <c r="F42"/>
  <c r="B43"/>
  <c r="AF42" i="14"/>
  <c r="K47" i="15"/>
  <c r="AI41" i="14"/>
  <c r="AH41"/>
  <c r="AJ40"/>
  <c r="AM40" s="1"/>
  <c r="AO40" s="1"/>
  <c r="AK40"/>
  <c r="AL40" s="1"/>
  <c r="AO39"/>
  <c r="AP39" s="1"/>
  <c r="AA39"/>
  <c r="G45" i="15" s="1"/>
  <c r="E45"/>
  <c r="M45"/>
  <c r="L46"/>
  <c r="R42" i="14"/>
  <c r="P43"/>
  <c r="D49" i="15" s="1"/>
  <c r="T42" i="14"/>
  <c r="BF39"/>
  <c r="BG39" s="1"/>
  <c r="Y40"/>
  <c r="Z40" s="1"/>
  <c r="BA41"/>
  <c r="BB41"/>
  <c r="BC41" s="1"/>
  <c r="BD40"/>
  <c r="AY42"/>
  <c r="AW43"/>
  <c r="AZ42"/>
  <c r="Z39"/>
  <c r="U41"/>
  <c r="W41"/>
  <c r="X41" s="1"/>
  <c r="BJ38"/>
  <c r="BK38" s="1"/>
  <c r="BI38"/>
  <c r="BE40"/>
  <c r="BE39"/>
  <c r="BH39" s="1"/>
  <c r="K50" i="13"/>
  <c r="AA38" i="12"/>
  <c r="AB38" s="1"/>
  <c r="G44" i="13"/>
  <c r="Z38" i="12"/>
  <c r="AN39"/>
  <c r="M45" i="13" s="1"/>
  <c r="AP39" i="12"/>
  <c r="N45" i="13" s="1"/>
  <c r="AG42" i="12"/>
  <c r="AH42"/>
  <c r="G45" i="13"/>
  <c r="AA39" i="12"/>
  <c r="AB39" s="1"/>
  <c r="W40"/>
  <c r="AM40"/>
  <c r="AP40" s="1"/>
  <c r="N46" i="13" s="1"/>
  <c r="AJ41" i="12"/>
  <c r="AK41" s="1"/>
  <c r="AI41"/>
  <c r="AN40"/>
  <c r="M46" i="13" s="1"/>
  <c r="AU43" i="12"/>
  <c r="S48" i="13"/>
  <c r="Z39" i="12"/>
  <c r="P43"/>
  <c r="D49" i="13" s="1"/>
  <c r="R42" i="12"/>
  <c r="S42"/>
  <c r="T41"/>
  <c r="W41" s="1"/>
  <c r="U41"/>
  <c r="V41" s="1"/>
  <c r="AP41" i="11"/>
  <c r="AS41" s="1"/>
  <c r="AQ41"/>
  <c r="AR41" s="1"/>
  <c r="AT41" s="1"/>
  <c r="AL43"/>
  <c r="AN42"/>
  <c r="AO42"/>
  <c r="AT40"/>
  <c r="BD42"/>
  <c r="BI42" s="1"/>
  <c r="T42"/>
  <c r="W42" s="1"/>
  <c r="BZ41"/>
  <c r="BM43"/>
  <c r="BW42"/>
  <c r="BO42"/>
  <c r="BP42"/>
  <c r="BY42"/>
  <c r="BT40"/>
  <c r="V41"/>
  <c r="X41" s="1"/>
  <c r="BS41"/>
  <c r="BQ41"/>
  <c r="BR41" s="1"/>
  <c r="P44"/>
  <c r="CZ45"/>
  <c r="BC43"/>
  <c r="DG45"/>
  <c r="R43"/>
  <c r="S43"/>
  <c r="BF43"/>
  <c r="DH44"/>
  <c r="U42"/>
  <c r="BG42"/>
  <c r="BH42" s="1"/>
  <c r="DB44"/>
  <c r="AA41" i="9"/>
  <c r="AD41" s="1"/>
  <c r="Z41"/>
  <c r="Y42"/>
  <c r="AB42"/>
  <c r="AC42" s="1"/>
  <c r="V44"/>
  <c r="W43"/>
  <c r="X43"/>
  <c r="AA42" i="10"/>
  <c r="AB42" s="1"/>
  <c r="AC42" s="1"/>
  <c r="Y43"/>
  <c r="Z43" s="1"/>
  <c r="W45"/>
  <c r="X44"/>
  <c r="F45" i="15" l="1"/>
  <c r="N39" i="16"/>
  <c r="S45" i="15"/>
  <c r="Y45"/>
  <c r="R46"/>
  <c r="N40" i="17"/>
  <c r="O40" s="1"/>
  <c r="AR39" i="14"/>
  <c r="AN40"/>
  <c r="AQ40" s="1"/>
  <c r="N46" i="15" s="1"/>
  <c r="AS39" i="14"/>
  <c r="AT39" s="1"/>
  <c r="BJ49" i="17"/>
  <c r="B44"/>
  <c r="F43"/>
  <c r="AF43" i="14"/>
  <c r="K48" i="15"/>
  <c r="AH42" i="14"/>
  <c r="AI42"/>
  <c r="AK41"/>
  <c r="AL41" s="1"/>
  <c r="AJ41"/>
  <c r="AM41" s="1"/>
  <c r="L47" i="15" s="1"/>
  <c r="AP40" i="14"/>
  <c r="M46" i="15"/>
  <c r="AA40" i="14"/>
  <c r="G46" i="15" s="1"/>
  <c r="E46"/>
  <c r="Y41" i="14"/>
  <c r="BJ39"/>
  <c r="BK39" s="1"/>
  <c r="BI39"/>
  <c r="R43"/>
  <c r="P44"/>
  <c r="D50" i="15" s="1"/>
  <c r="T43" i="14"/>
  <c r="AY43"/>
  <c r="AW44"/>
  <c r="AZ43"/>
  <c r="BD41"/>
  <c r="BE41" s="1"/>
  <c r="BF40"/>
  <c r="BG40" s="1"/>
  <c r="BH40"/>
  <c r="U42"/>
  <c r="W42"/>
  <c r="X42" s="1"/>
  <c r="BA42"/>
  <c r="BB42"/>
  <c r="BC42" s="1"/>
  <c r="AS40"/>
  <c r="AT40" s="1"/>
  <c r="K51" i="13"/>
  <c r="Y40" i="12"/>
  <c r="E46" i="13"/>
  <c r="F46" s="1"/>
  <c r="AG43" i="12"/>
  <c r="AH43"/>
  <c r="AO39"/>
  <c r="AU44"/>
  <c r="S49" i="13"/>
  <c r="AJ42" i="12"/>
  <c r="AK42" s="1"/>
  <c r="AI42"/>
  <c r="AL42" s="1"/>
  <c r="L48" i="13" s="1"/>
  <c r="AQ39" i="12"/>
  <c r="AR39"/>
  <c r="AS39" s="1"/>
  <c r="Y41"/>
  <c r="E47" i="13"/>
  <c r="F47" s="1"/>
  <c r="AL41" i="12"/>
  <c r="L47" i="13" s="1"/>
  <c r="AQ40" i="12"/>
  <c r="AR40"/>
  <c r="AS40" s="1"/>
  <c r="AO40"/>
  <c r="X40"/>
  <c r="P44"/>
  <c r="D50" i="13" s="1"/>
  <c r="R43" i="12"/>
  <c r="S43"/>
  <c r="X41"/>
  <c r="T42"/>
  <c r="U42"/>
  <c r="V42" s="1"/>
  <c r="AL44" i="11"/>
  <c r="AN43"/>
  <c r="AO43"/>
  <c r="AP42"/>
  <c r="AS42" s="1"/>
  <c r="AQ42"/>
  <c r="AR42" s="1"/>
  <c r="BJ42"/>
  <c r="BD43"/>
  <c r="BI43" s="1"/>
  <c r="T43"/>
  <c r="W43" s="1"/>
  <c r="BM44"/>
  <c r="BW43"/>
  <c r="BO43"/>
  <c r="BP43"/>
  <c r="BY43"/>
  <c r="V42"/>
  <c r="X42" s="1"/>
  <c r="BS42"/>
  <c r="BQ42"/>
  <c r="BR42" s="1"/>
  <c r="BT41"/>
  <c r="BZ42"/>
  <c r="P45"/>
  <c r="BC44"/>
  <c r="CZ46"/>
  <c r="DG46"/>
  <c r="S44"/>
  <c r="R44"/>
  <c r="BF44"/>
  <c r="DB45"/>
  <c r="BG43"/>
  <c r="BH43" s="1"/>
  <c r="DH45"/>
  <c r="U43"/>
  <c r="AA42" i="9"/>
  <c r="AD42" s="1"/>
  <c r="Z42"/>
  <c r="Y43"/>
  <c r="AB43"/>
  <c r="AC43" s="1"/>
  <c r="V45"/>
  <c r="W44"/>
  <c r="X44"/>
  <c r="AA43" i="10"/>
  <c r="AB43" s="1"/>
  <c r="AC43" s="1"/>
  <c r="W46"/>
  <c r="X45"/>
  <c r="Y44"/>
  <c r="Z44" s="1"/>
  <c r="S46" i="15" l="1"/>
  <c r="Y46"/>
  <c r="F46"/>
  <c r="N40" i="16"/>
  <c r="R47" i="15"/>
  <c r="N41" i="17"/>
  <c r="O41" s="1"/>
  <c r="AR40" i="14"/>
  <c r="AN41"/>
  <c r="AQ41" s="1"/>
  <c r="N47" i="15" s="1"/>
  <c r="BJ50" i="17"/>
  <c r="F44"/>
  <c r="B45"/>
  <c r="AF44" i="14"/>
  <c r="K49" i="15"/>
  <c r="AI43" i="14"/>
  <c r="AH43"/>
  <c r="AJ42"/>
  <c r="AM42" s="1"/>
  <c r="L48" i="15" s="1"/>
  <c r="AK42" i="14"/>
  <c r="AL42" s="1"/>
  <c r="AN42" s="1"/>
  <c r="AQ42" s="1"/>
  <c r="N48" i="15" s="1"/>
  <c r="AO41" i="14"/>
  <c r="M47" i="15" s="1"/>
  <c r="AA41" i="14"/>
  <c r="G47" i="15" s="1"/>
  <c r="E47"/>
  <c r="AS41" i="14"/>
  <c r="AT41" s="1"/>
  <c r="BJ40"/>
  <c r="BK40" s="1"/>
  <c r="BI40"/>
  <c r="R44"/>
  <c r="P45"/>
  <c r="D51" i="15" s="1"/>
  <c r="T44" i="14"/>
  <c r="Y42"/>
  <c r="BF41"/>
  <c r="BG41" s="1"/>
  <c r="BH41"/>
  <c r="BA43"/>
  <c r="BB43"/>
  <c r="BC43" s="1"/>
  <c r="BD42"/>
  <c r="BE42" s="1"/>
  <c r="AO42"/>
  <c r="AY44"/>
  <c r="AW45"/>
  <c r="AZ44"/>
  <c r="U43"/>
  <c r="W43"/>
  <c r="X43" s="1"/>
  <c r="Z41"/>
  <c r="K52" i="13"/>
  <c r="AN41" i="12"/>
  <c r="M47" i="13" s="1"/>
  <c r="AI43" i="12"/>
  <c r="AL43" s="1"/>
  <c r="L49" i="13" s="1"/>
  <c r="AJ43" i="12"/>
  <c r="AK43" s="1"/>
  <c r="AA40"/>
  <c r="AB40" s="1"/>
  <c r="G46" i="13"/>
  <c r="Z40" i="12"/>
  <c r="AM42"/>
  <c r="AP42" s="1"/>
  <c r="N48" i="13" s="1"/>
  <c r="Z41" i="12"/>
  <c r="AA41"/>
  <c r="AB41" s="1"/>
  <c r="G47" i="13"/>
  <c r="AN42" i="12"/>
  <c r="M48" i="13" s="1"/>
  <c r="AG44" i="12"/>
  <c r="AH44"/>
  <c r="W42"/>
  <c r="X42" s="1"/>
  <c r="AU45"/>
  <c r="S50" i="13"/>
  <c r="AM41" i="12"/>
  <c r="AP41" s="1"/>
  <c r="N47" i="13" s="1"/>
  <c r="T43" i="12"/>
  <c r="W43" s="1"/>
  <c r="U43"/>
  <c r="V43" s="1"/>
  <c r="P45"/>
  <c r="D51" i="13" s="1"/>
  <c r="R44" i="12"/>
  <c r="S44"/>
  <c r="AP43" i="11"/>
  <c r="AS43" s="1"/>
  <c r="AQ43"/>
  <c r="AR43" s="1"/>
  <c r="AT43" s="1"/>
  <c r="AL45"/>
  <c r="AN44"/>
  <c r="AO44"/>
  <c r="AT42"/>
  <c r="BD44"/>
  <c r="BI44" s="1"/>
  <c r="BJ43"/>
  <c r="T44"/>
  <c r="W44" s="1"/>
  <c r="DH46"/>
  <c r="BM45"/>
  <c r="BW44"/>
  <c r="BO44"/>
  <c r="BP44"/>
  <c r="BY44"/>
  <c r="V43"/>
  <c r="X43" s="1"/>
  <c r="BS43"/>
  <c r="BQ43"/>
  <c r="BR43" s="1"/>
  <c r="BT42"/>
  <c r="BZ43"/>
  <c r="U44"/>
  <c r="BG44"/>
  <c r="BH44" s="1"/>
  <c r="P46"/>
  <c r="CZ47"/>
  <c r="DG47"/>
  <c r="R45"/>
  <c r="BC45"/>
  <c r="S45"/>
  <c r="BF45"/>
  <c r="DB46"/>
  <c r="AA43" i="9"/>
  <c r="AD43" s="1"/>
  <c r="Z43"/>
  <c r="Y44"/>
  <c r="AB44"/>
  <c r="AC44" s="1"/>
  <c r="V46"/>
  <c r="W45"/>
  <c r="X45"/>
  <c r="AA44" i="10"/>
  <c r="AB44" s="1"/>
  <c r="AC44" s="1"/>
  <c r="W47"/>
  <c r="X46"/>
  <c r="Y45"/>
  <c r="Z45" s="1"/>
  <c r="F47" i="15" l="1"/>
  <c r="N41" i="16"/>
  <c r="R48" i="15"/>
  <c r="N42" i="17"/>
  <c r="O42" s="1"/>
  <c r="S47" i="15"/>
  <c r="Y47"/>
  <c r="AP41" i="14"/>
  <c r="AR41"/>
  <c r="BJ51" i="17"/>
  <c r="B46"/>
  <c r="F45"/>
  <c r="AF45" i="14"/>
  <c r="K50" i="15"/>
  <c r="AH44" i="14"/>
  <c r="AI44"/>
  <c r="AK43"/>
  <c r="AL43" s="1"/>
  <c r="AJ43"/>
  <c r="AM43" s="1"/>
  <c r="L49" i="15" s="1"/>
  <c r="AA42" i="14"/>
  <c r="G48" i="15" s="1"/>
  <c r="E48"/>
  <c r="AP42" i="14"/>
  <c r="M48" i="15"/>
  <c r="Z42" i="14"/>
  <c r="Y43"/>
  <c r="Z43" s="1"/>
  <c r="AS42"/>
  <c r="AT42" s="1"/>
  <c r="AR42"/>
  <c r="BA44"/>
  <c r="BB44"/>
  <c r="BC44" s="1"/>
  <c r="AY45"/>
  <c r="AW46"/>
  <c r="AZ45"/>
  <c r="BJ41"/>
  <c r="BK41" s="1"/>
  <c r="BI41"/>
  <c r="BF42"/>
  <c r="BG42" s="1"/>
  <c r="BH42"/>
  <c r="U44"/>
  <c r="W44"/>
  <c r="X44" s="1"/>
  <c r="R45"/>
  <c r="P46"/>
  <c r="D52" i="15" s="1"/>
  <c r="T45" i="14"/>
  <c r="BD43"/>
  <c r="AN43"/>
  <c r="AQ43" s="1"/>
  <c r="N49" i="15" s="1"/>
  <c r="K53" i="13"/>
  <c r="AI44" i="12"/>
  <c r="AJ44"/>
  <c r="AK44" s="1"/>
  <c r="AN43"/>
  <c r="M49" i="13" s="1"/>
  <c r="AU46" i="12"/>
  <c r="S51" i="13"/>
  <c r="Y43" i="12"/>
  <c r="E49" i="13"/>
  <c r="F49" s="1"/>
  <c r="AO42" i="12"/>
  <c r="AQ41"/>
  <c r="AR41"/>
  <c r="AS41" s="1"/>
  <c r="AR42"/>
  <c r="AS42" s="1"/>
  <c r="AM43"/>
  <c r="AP43" s="1"/>
  <c r="N49" i="13" s="1"/>
  <c r="AO41" i="12"/>
  <c r="Y42"/>
  <c r="E48" i="13"/>
  <c r="F48" s="1"/>
  <c r="AG45" i="12"/>
  <c r="AH45"/>
  <c r="AQ42"/>
  <c r="T44"/>
  <c r="U44"/>
  <c r="V44" s="1"/>
  <c r="P46"/>
  <c r="D52" i="13" s="1"/>
  <c r="R45" i="12"/>
  <c r="S45"/>
  <c r="X43"/>
  <c r="AL46" i="11"/>
  <c r="AN45"/>
  <c r="AO45"/>
  <c r="AP44"/>
  <c r="AS44" s="1"/>
  <c r="AQ44"/>
  <c r="AR44" s="1"/>
  <c r="BJ44"/>
  <c r="T45"/>
  <c r="W45" s="1"/>
  <c r="BD45"/>
  <c r="BI45" s="1"/>
  <c r="BT43"/>
  <c r="BM46"/>
  <c r="BW45"/>
  <c r="BO45"/>
  <c r="BP45"/>
  <c r="BY45"/>
  <c r="BS44"/>
  <c r="BQ44"/>
  <c r="BR44" s="1"/>
  <c r="BZ44"/>
  <c r="V44"/>
  <c r="X44" s="1"/>
  <c r="P47"/>
  <c r="DG48"/>
  <c r="R46"/>
  <c r="CZ48"/>
  <c r="BC46"/>
  <c r="S46"/>
  <c r="BF46"/>
  <c r="DB47"/>
  <c r="DH47"/>
  <c r="U45"/>
  <c r="BG45"/>
  <c r="BH45" s="1"/>
  <c r="AA44" i="9"/>
  <c r="AD44" s="1"/>
  <c r="Z44"/>
  <c r="Y45"/>
  <c r="AB45"/>
  <c r="AC45" s="1"/>
  <c r="V47"/>
  <c r="W46"/>
  <c r="X46"/>
  <c r="AA45" i="10"/>
  <c r="AB45" s="1"/>
  <c r="AC45" s="1"/>
  <c r="W48"/>
  <c r="X47"/>
  <c r="Y46"/>
  <c r="Z46" s="1"/>
  <c r="R49" i="15" l="1"/>
  <c r="N43" i="17"/>
  <c r="O43" s="1"/>
  <c r="F48" i="15"/>
  <c r="N42" i="16"/>
  <c r="S48" i="15"/>
  <c r="Y48"/>
  <c r="BJ52" i="17"/>
  <c r="F46"/>
  <c r="B47"/>
  <c r="AK44" i="14"/>
  <c r="AL44" s="1"/>
  <c r="AN44" s="1"/>
  <c r="AQ44" s="1"/>
  <c r="N50" i="15" s="1"/>
  <c r="AJ44" i="14"/>
  <c r="AM44" s="1"/>
  <c r="L50" i="15" s="1"/>
  <c r="AO43" i="14"/>
  <c r="AF46"/>
  <c r="K51" i="15"/>
  <c r="AH45" i="14"/>
  <c r="AI45"/>
  <c r="AP43"/>
  <c r="M49" i="15"/>
  <c r="AA43" i="14"/>
  <c r="G49" i="15" s="1"/>
  <c r="E49"/>
  <c r="AS43" i="14"/>
  <c r="AT43" s="1"/>
  <c r="AR43"/>
  <c r="BF43"/>
  <c r="BG43" s="1"/>
  <c r="AY46"/>
  <c r="AW47"/>
  <c r="AZ46"/>
  <c r="U45"/>
  <c r="W45"/>
  <c r="X45" s="1"/>
  <c r="BD44"/>
  <c r="BE44" s="1"/>
  <c r="R46"/>
  <c r="P47"/>
  <c r="D53" i="15" s="1"/>
  <c r="T46" i="14"/>
  <c r="BJ42"/>
  <c r="BK42" s="1"/>
  <c r="BI42"/>
  <c r="Y44"/>
  <c r="BA45"/>
  <c r="BB45"/>
  <c r="BC45" s="1"/>
  <c r="BE43"/>
  <c r="BH43" s="1"/>
  <c r="K54" i="13"/>
  <c r="AJ45" i="12"/>
  <c r="AK45" s="1"/>
  <c r="AR43"/>
  <c r="AS43" s="1"/>
  <c r="AQ43"/>
  <c r="G48" i="13"/>
  <c r="AA42" i="12"/>
  <c r="AB42" s="1"/>
  <c r="Z42"/>
  <c r="AO43"/>
  <c r="W44"/>
  <c r="AU47"/>
  <c r="S52" i="13"/>
  <c r="AL44" i="12"/>
  <c r="AG46"/>
  <c r="AH46"/>
  <c r="Z43"/>
  <c r="AA43"/>
  <c r="AB43" s="1"/>
  <c r="G49" i="13"/>
  <c r="AI45" i="12"/>
  <c r="AL45" s="1"/>
  <c r="L51" i="13" s="1"/>
  <c r="P47" i="12"/>
  <c r="D53" i="13" s="1"/>
  <c r="R46" i="12"/>
  <c r="S46"/>
  <c r="U45"/>
  <c r="V45" s="1"/>
  <c r="T45"/>
  <c r="W45" s="1"/>
  <c r="X44"/>
  <c r="AL47" i="11"/>
  <c r="AN46"/>
  <c r="AO46"/>
  <c r="AP45"/>
  <c r="AS45" s="1"/>
  <c r="AQ45"/>
  <c r="AR45" s="1"/>
  <c r="AT44"/>
  <c r="BJ45"/>
  <c r="T46"/>
  <c r="W46" s="1"/>
  <c r="BD46"/>
  <c r="BI46" s="1"/>
  <c r="BZ45"/>
  <c r="BM47"/>
  <c r="BW46"/>
  <c r="BO46"/>
  <c r="BP46"/>
  <c r="BY46"/>
  <c r="BS45"/>
  <c r="BQ45"/>
  <c r="BR45" s="1"/>
  <c r="V45"/>
  <c r="X45" s="1"/>
  <c r="BT44"/>
  <c r="P48"/>
  <c r="BC47"/>
  <c r="CZ49"/>
  <c r="R47"/>
  <c r="DG49"/>
  <c r="S47"/>
  <c r="BF47"/>
  <c r="DH48"/>
  <c r="U46"/>
  <c r="DB48"/>
  <c r="BG46"/>
  <c r="BH46" s="1"/>
  <c r="AA45" i="9"/>
  <c r="AD45" s="1"/>
  <c r="Z45"/>
  <c r="Y46"/>
  <c r="AB46"/>
  <c r="AC46" s="1"/>
  <c r="V48"/>
  <c r="W47"/>
  <c r="X47"/>
  <c r="AA46" i="10"/>
  <c r="AB46" s="1"/>
  <c r="AC46" s="1"/>
  <c r="W49"/>
  <c r="X48"/>
  <c r="Y47"/>
  <c r="Z47" s="1"/>
  <c r="F49" i="15" l="1"/>
  <c r="N43" i="16"/>
  <c r="S49" i="15"/>
  <c r="Y49"/>
  <c r="R50"/>
  <c r="N44" i="17"/>
  <c r="O44" s="1"/>
  <c r="BJ53"/>
  <c r="B48"/>
  <c r="F47"/>
  <c r="AK45" i="14"/>
  <c r="AL45" s="1"/>
  <c r="AN45" s="1"/>
  <c r="AJ45"/>
  <c r="AM45" s="1"/>
  <c r="AF47"/>
  <c r="K52" i="15"/>
  <c r="AI46" i="14"/>
  <c r="AH46"/>
  <c r="AO44"/>
  <c r="AP44" s="1"/>
  <c r="M50" i="15"/>
  <c r="AA44" i="14"/>
  <c r="G50" i="15" s="1"/>
  <c r="E50"/>
  <c r="L51"/>
  <c r="BJ43" i="14"/>
  <c r="BK43" s="1"/>
  <c r="BI43"/>
  <c r="BH44"/>
  <c r="BF44"/>
  <c r="BG44" s="1"/>
  <c r="Y45"/>
  <c r="AS44"/>
  <c r="AT44" s="1"/>
  <c r="AR44"/>
  <c r="BA46"/>
  <c r="BB46"/>
  <c r="BC46" s="1"/>
  <c r="AW48"/>
  <c r="AY47"/>
  <c r="AZ47"/>
  <c r="U46"/>
  <c r="W46"/>
  <c r="X46" s="1"/>
  <c r="BD45"/>
  <c r="BE45" s="1"/>
  <c r="P48"/>
  <c r="D54" i="15" s="1"/>
  <c r="R47" i="14"/>
  <c r="T47"/>
  <c r="Z44"/>
  <c r="AM44" i="12"/>
  <c r="L50" i="13"/>
  <c r="K55"/>
  <c r="AG47" i="12"/>
  <c r="AH47"/>
  <c r="AU48"/>
  <c r="S53" i="13"/>
  <c r="Y44" i="12"/>
  <c r="E50" i="13"/>
  <c r="F50" s="1"/>
  <c r="AN45" i="12"/>
  <c r="M51" i="13" s="1"/>
  <c r="Y45" i="12"/>
  <c r="E51" i="13"/>
  <c r="F51" s="1"/>
  <c r="AJ46" i="12"/>
  <c r="AK46" s="1"/>
  <c r="AI46"/>
  <c r="AL46" s="1"/>
  <c r="L52" i="13" s="1"/>
  <c r="AN44" i="12"/>
  <c r="M50" i="13" s="1"/>
  <c r="AP44" i="12"/>
  <c r="N50" i="13" s="1"/>
  <c r="AM45" i="12"/>
  <c r="AP45" s="1"/>
  <c r="N51" i="13" s="1"/>
  <c r="Z45" i="12"/>
  <c r="P48"/>
  <c r="D54" i="13" s="1"/>
  <c r="R47" i="12"/>
  <c r="S47"/>
  <c r="T46"/>
  <c r="U46"/>
  <c r="V46" s="1"/>
  <c r="X45"/>
  <c r="AP46" i="11"/>
  <c r="AS46" s="1"/>
  <c r="AQ46"/>
  <c r="AR46" s="1"/>
  <c r="AL48"/>
  <c r="AN47"/>
  <c r="AO47"/>
  <c r="AT45"/>
  <c r="BJ46"/>
  <c r="BD47"/>
  <c r="BI47" s="1"/>
  <c r="T47"/>
  <c r="W47" s="1"/>
  <c r="BM48"/>
  <c r="BW47"/>
  <c r="BO47"/>
  <c r="BP47"/>
  <c r="BY47"/>
  <c r="V46"/>
  <c r="X46" s="1"/>
  <c r="BS46"/>
  <c r="BQ46"/>
  <c r="BR46" s="1"/>
  <c r="BZ46"/>
  <c r="BT45"/>
  <c r="P49"/>
  <c r="BC48"/>
  <c r="CZ50"/>
  <c r="DG50"/>
  <c r="R48"/>
  <c r="S48"/>
  <c r="BF48"/>
  <c r="BG47"/>
  <c r="BH47" s="1"/>
  <c r="DB49"/>
  <c r="U47"/>
  <c r="DH49"/>
  <c r="AA46" i="9"/>
  <c r="AD46" s="1"/>
  <c r="Z46"/>
  <c r="Y47"/>
  <c r="AB47"/>
  <c r="AC47" s="1"/>
  <c r="V49"/>
  <c r="W48"/>
  <c r="X48"/>
  <c r="AA47" i="10"/>
  <c r="AB47" s="1"/>
  <c r="AC47" s="1"/>
  <c r="Y48"/>
  <c r="Z48" s="1"/>
  <c r="W50"/>
  <c r="X49"/>
  <c r="F50" i="15" l="1"/>
  <c r="N44" i="16"/>
  <c r="R51" i="15"/>
  <c r="N45" i="17"/>
  <c r="O45" s="1"/>
  <c r="S50" i="15"/>
  <c r="Y50"/>
  <c r="BJ54" i="17"/>
  <c r="F48"/>
  <c r="B49"/>
  <c r="AQ45" i="14"/>
  <c r="N51" i="15" s="1"/>
  <c r="AK46" i="14"/>
  <c r="AL46" s="1"/>
  <c r="AN46" s="1"/>
  <c r="AQ46" s="1"/>
  <c r="N52" i="15" s="1"/>
  <c r="AJ46" i="14"/>
  <c r="AM46" s="1"/>
  <c r="L52" i="15" s="1"/>
  <c r="AF48" i="14"/>
  <c r="K53" i="15"/>
  <c r="AI47" i="14"/>
  <c r="AH47"/>
  <c r="AO45"/>
  <c r="AP45" s="1"/>
  <c r="AA45"/>
  <c r="G51" i="15" s="1"/>
  <c r="E51"/>
  <c r="Z45" i="14"/>
  <c r="P49"/>
  <c r="D55" i="15" s="1"/>
  <c r="R48" i="14"/>
  <c r="T48"/>
  <c r="BA47"/>
  <c r="BB47"/>
  <c r="BC47" s="1"/>
  <c r="U47"/>
  <c r="W47"/>
  <c r="X47" s="1"/>
  <c r="Y46"/>
  <c r="BJ44"/>
  <c r="BK44" s="1"/>
  <c r="BI44"/>
  <c r="BH45"/>
  <c r="BF45"/>
  <c r="BG45" s="1"/>
  <c r="AO46"/>
  <c r="AW49"/>
  <c r="AY48"/>
  <c r="AZ48"/>
  <c r="BD46"/>
  <c r="BE46" s="1"/>
  <c r="K56" i="13"/>
  <c r="AR45" i="12"/>
  <c r="AS45" s="1"/>
  <c r="AQ45"/>
  <c r="AN46"/>
  <c r="M52" i="13" s="1"/>
  <c r="AO45" i="12"/>
  <c r="AA44"/>
  <c r="AB44" s="1"/>
  <c r="G50" i="13"/>
  <c r="Z44" i="12"/>
  <c r="AI47"/>
  <c r="AL47" s="1"/>
  <c r="L53" i="13" s="1"/>
  <c r="AJ47" i="12"/>
  <c r="AK47" s="1"/>
  <c r="AA45"/>
  <c r="AB45" s="1"/>
  <c r="G51" i="13"/>
  <c r="AO44" i="12"/>
  <c r="AU49"/>
  <c r="S54" i="13"/>
  <c r="AG48" i="12"/>
  <c r="AH48"/>
  <c r="W46"/>
  <c r="AR44"/>
  <c r="AS44" s="1"/>
  <c r="AQ44"/>
  <c r="AM46"/>
  <c r="AP46" s="1"/>
  <c r="X46"/>
  <c r="P49"/>
  <c r="D55" i="13" s="1"/>
  <c r="R48" i="12"/>
  <c r="S48"/>
  <c r="T47"/>
  <c r="W47" s="1"/>
  <c r="U47"/>
  <c r="V47" s="1"/>
  <c r="AP47" i="11"/>
  <c r="AS47" s="1"/>
  <c r="AQ47"/>
  <c r="AR47" s="1"/>
  <c r="AT47" s="1"/>
  <c r="AL49"/>
  <c r="AN48"/>
  <c r="AO48"/>
  <c r="AT46"/>
  <c r="BD48"/>
  <c r="BI48" s="1"/>
  <c r="T48"/>
  <c r="W48" s="1"/>
  <c r="BJ47"/>
  <c r="BM49"/>
  <c r="BO48"/>
  <c r="BW48"/>
  <c r="BP48"/>
  <c r="BY48"/>
  <c r="V47"/>
  <c r="X47" s="1"/>
  <c r="BS47"/>
  <c r="BQ47"/>
  <c r="BR47" s="1"/>
  <c r="BT46"/>
  <c r="BZ47"/>
  <c r="P50"/>
  <c r="CZ51"/>
  <c r="DG51"/>
  <c r="R49"/>
  <c r="S49"/>
  <c r="BC49"/>
  <c r="BF49"/>
  <c r="BG48"/>
  <c r="BH48" s="1"/>
  <c r="BJ48" s="1"/>
  <c r="DB50"/>
  <c r="DH50"/>
  <c r="U48"/>
  <c r="AA47" i="9"/>
  <c r="AD47" s="1"/>
  <c r="Z47"/>
  <c r="Y48"/>
  <c r="AB48"/>
  <c r="AC48" s="1"/>
  <c r="W49"/>
  <c r="V50"/>
  <c r="X49"/>
  <c r="AA48" i="10"/>
  <c r="AB48" s="1"/>
  <c r="AC48" s="1"/>
  <c r="W51"/>
  <c r="X50"/>
  <c r="Y49"/>
  <c r="Z49" s="1"/>
  <c r="M51" i="15" l="1"/>
  <c r="R52"/>
  <c r="N46" i="17"/>
  <c r="O46" s="1"/>
  <c r="F51" i="15"/>
  <c r="N45" i="16"/>
  <c r="S51" i="15"/>
  <c r="Y51"/>
  <c r="BJ55" i="17"/>
  <c r="B50"/>
  <c r="F49"/>
  <c r="AJ47" i="14"/>
  <c r="AM47" s="1"/>
  <c r="L53" i="15" s="1"/>
  <c r="AK47" i="14"/>
  <c r="AL47" s="1"/>
  <c r="AN47" s="1"/>
  <c r="AQ47" s="1"/>
  <c r="N53" i="15" s="1"/>
  <c r="AR45" i="14"/>
  <c r="AF49"/>
  <c r="K54" i="15"/>
  <c r="AI48" i="14"/>
  <c r="AH48"/>
  <c r="AS45"/>
  <c r="AT45" s="1"/>
  <c r="AA46"/>
  <c r="G52" i="15" s="1"/>
  <c r="E52"/>
  <c r="AP46" i="14"/>
  <c r="M52" i="15"/>
  <c r="AY49" i="14"/>
  <c r="AW50"/>
  <c r="AZ49"/>
  <c r="AS46"/>
  <c r="AT46" s="1"/>
  <c r="AR46"/>
  <c r="BJ45"/>
  <c r="BK45" s="1"/>
  <c r="BI45"/>
  <c r="Y47"/>
  <c r="BA48"/>
  <c r="BB48"/>
  <c r="BC48" s="1"/>
  <c r="R49"/>
  <c r="P50"/>
  <c r="D56" i="15" s="1"/>
  <c r="T49" i="14"/>
  <c r="BH46"/>
  <c r="BF46"/>
  <c r="BG46" s="1"/>
  <c r="BD47"/>
  <c r="U48"/>
  <c r="W48"/>
  <c r="X48" s="1"/>
  <c r="Z46"/>
  <c r="K57" i="13"/>
  <c r="AQ46" i="12"/>
  <c r="N52" i="13"/>
  <c r="AI48" i="12"/>
  <c r="AJ48"/>
  <c r="AK48" s="1"/>
  <c r="AU50"/>
  <c r="S55" i="13"/>
  <c r="AN47" i="12"/>
  <c r="M53" i="13" s="1"/>
  <c r="AG49" i="12"/>
  <c r="AH49"/>
  <c r="AM47"/>
  <c r="AP47" s="1"/>
  <c r="Y47"/>
  <c r="E53" i="13"/>
  <c r="F53" s="1"/>
  <c r="AO46" i="12"/>
  <c r="Y46"/>
  <c r="E52" i="13"/>
  <c r="F52" s="1"/>
  <c r="AR46" i="12"/>
  <c r="AS46" s="1"/>
  <c r="P50"/>
  <c r="D56" i="13" s="1"/>
  <c r="R49" i="12"/>
  <c r="S49"/>
  <c r="X47"/>
  <c r="T48"/>
  <c r="U48"/>
  <c r="V48" s="1"/>
  <c r="AL50" i="11"/>
  <c r="AN49"/>
  <c r="AO49"/>
  <c r="AP48"/>
  <c r="AS48" s="1"/>
  <c r="AQ48"/>
  <c r="AR48" s="1"/>
  <c r="BD49"/>
  <c r="BI49" s="1"/>
  <c r="T49"/>
  <c r="W49" s="1"/>
  <c r="BM50"/>
  <c r="BW49"/>
  <c r="BO49"/>
  <c r="BP49"/>
  <c r="BY49"/>
  <c r="V48"/>
  <c r="X48" s="1"/>
  <c r="BS48"/>
  <c r="BQ48"/>
  <c r="BR48" s="1"/>
  <c r="BT47"/>
  <c r="BZ48"/>
  <c r="BG49"/>
  <c r="BH49" s="1"/>
  <c r="BJ49" s="1"/>
  <c r="DH51"/>
  <c r="U49"/>
  <c r="P51"/>
  <c r="DG52"/>
  <c r="R50"/>
  <c r="CZ52"/>
  <c r="BC50"/>
  <c r="S50"/>
  <c r="BF50"/>
  <c r="DB51"/>
  <c r="AA48" i="9"/>
  <c r="AD48" s="1"/>
  <c r="Z48"/>
  <c r="Y49"/>
  <c r="AB49"/>
  <c r="AC49" s="1"/>
  <c r="V51"/>
  <c r="W50"/>
  <c r="X50"/>
  <c r="AA49" i="10"/>
  <c r="AB49" s="1"/>
  <c r="AC49" s="1"/>
  <c r="Y50"/>
  <c r="Z50" s="1"/>
  <c r="W52"/>
  <c r="X51"/>
  <c r="S52" i="15" l="1"/>
  <c r="Y52"/>
  <c r="R53"/>
  <c r="N47" i="17"/>
  <c r="O47" s="1"/>
  <c r="F52" i="15"/>
  <c r="N46" i="16"/>
  <c r="BJ56" i="17"/>
  <c r="F50"/>
  <c r="B51"/>
  <c r="AK48" i="14"/>
  <c r="AL48" s="1"/>
  <c r="AJ48"/>
  <c r="AM48" s="1"/>
  <c r="L54" i="15" s="1"/>
  <c r="AF50" i="14"/>
  <c r="K55" i="15"/>
  <c r="AH49" i="14"/>
  <c r="AI49"/>
  <c r="AO47"/>
  <c r="AA47"/>
  <c r="G53" i="15" s="1"/>
  <c r="E53"/>
  <c r="AP47" i="14"/>
  <c r="M53" i="15"/>
  <c r="Z47" i="14"/>
  <c r="U49"/>
  <c r="W49"/>
  <c r="X49" s="1"/>
  <c r="BD48"/>
  <c r="BA49"/>
  <c r="BB49"/>
  <c r="BC49" s="1"/>
  <c r="BF47"/>
  <c r="BG47" s="1"/>
  <c r="P51"/>
  <c r="D57" i="15" s="1"/>
  <c r="R50" i="14"/>
  <c r="T50"/>
  <c r="BE48"/>
  <c r="AW51"/>
  <c r="AY50"/>
  <c r="AZ50"/>
  <c r="AS47"/>
  <c r="AT47" s="1"/>
  <c r="AR47"/>
  <c r="Y48"/>
  <c r="BJ46"/>
  <c r="BK46" s="1"/>
  <c r="BI46"/>
  <c r="BE47"/>
  <c r="BH47" s="1"/>
  <c r="AQ47" i="12"/>
  <c r="N53" i="13"/>
  <c r="K58"/>
  <c r="AI49" i="12"/>
  <c r="AL49" s="1"/>
  <c r="L55" i="13" s="1"/>
  <c r="AA46" i="12"/>
  <c r="AB46" s="1"/>
  <c r="G52" i="13"/>
  <c r="Z46" i="12"/>
  <c r="AL48"/>
  <c r="L54" i="13" s="1"/>
  <c r="W48" i="12"/>
  <c r="X48" s="1"/>
  <c r="Z47"/>
  <c r="AA47"/>
  <c r="AB47" s="1"/>
  <c r="G53" i="13"/>
  <c r="AO47" i="12"/>
  <c r="AU51"/>
  <c r="S56" i="13"/>
  <c r="AJ49" i="12"/>
  <c r="AK49" s="1"/>
  <c r="AR47"/>
  <c r="AS47" s="1"/>
  <c r="AG50"/>
  <c r="AH50"/>
  <c r="T49"/>
  <c r="W49" s="1"/>
  <c r="U49"/>
  <c r="V49" s="1"/>
  <c r="P51"/>
  <c r="D57" i="13" s="1"/>
  <c r="R50" i="12"/>
  <c r="S50"/>
  <c r="AP49" i="11"/>
  <c r="AS49" s="1"/>
  <c r="AQ49"/>
  <c r="AR49" s="1"/>
  <c r="AL51"/>
  <c r="AN50"/>
  <c r="AO50"/>
  <c r="AT48"/>
  <c r="BD50"/>
  <c r="BI50" s="1"/>
  <c r="T50"/>
  <c r="W50" s="1"/>
  <c r="BM51"/>
  <c r="BW50"/>
  <c r="BO50"/>
  <c r="BP50"/>
  <c r="BY50"/>
  <c r="V49"/>
  <c r="X49" s="1"/>
  <c r="BS49"/>
  <c r="BQ49"/>
  <c r="BR49" s="1"/>
  <c r="BT48"/>
  <c r="BZ49"/>
  <c r="P52"/>
  <c r="CZ53"/>
  <c r="BC51"/>
  <c r="DG53"/>
  <c r="R51"/>
  <c r="S51"/>
  <c r="BF51"/>
  <c r="DH52"/>
  <c r="U50"/>
  <c r="DB52"/>
  <c r="BG50"/>
  <c r="BH50" s="1"/>
  <c r="AA49" i="9"/>
  <c r="AD49" s="1"/>
  <c r="Z49"/>
  <c r="Y50"/>
  <c r="AB50"/>
  <c r="AC50" s="1"/>
  <c r="V52"/>
  <c r="W51"/>
  <c r="X51"/>
  <c r="AA50" i="10"/>
  <c r="AB50" s="1"/>
  <c r="AC50" s="1"/>
  <c r="W53"/>
  <c r="X52"/>
  <c r="Y51"/>
  <c r="Z51" s="1"/>
  <c r="F53" i="15" l="1"/>
  <c r="N47" i="16"/>
  <c r="R54" i="15"/>
  <c r="N48" i="17"/>
  <c r="O48" s="1"/>
  <c r="S53" i="15"/>
  <c r="Y53"/>
  <c r="AN48" i="14"/>
  <c r="AQ48" s="1"/>
  <c r="N54" i="15" s="1"/>
  <c r="BJ57" i="17"/>
  <c r="B52"/>
  <c r="F51"/>
  <c r="AF51" i="14"/>
  <c r="K56" i="15"/>
  <c r="AI50" i="14"/>
  <c r="AH50"/>
  <c r="AO48"/>
  <c r="M54" i="15" s="1"/>
  <c r="AJ49" i="14"/>
  <c r="AM49" s="1"/>
  <c r="L55" i="15" s="1"/>
  <c r="AK49" i="14"/>
  <c r="AL49" s="1"/>
  <c r="AA48"/>
  <c r="G54" i="15" s="1"/>
  <c r="E54"/>
  <c r="Z48" i="14"/>
  <c r="BJ47"/>
  <c r="BK47" s="1"/>
  <c r="BI47"/>
  <c r="BA50"/>
  <c r="BB50"/>
  <c r="BC50" s="1"/>
  <c r="P52"/>
  <c r="D58" i="15" s="1"/>
  <c r="R51" i="14"/>
  <c r="T51"/>
  <c r="BD49"/>
  <c r="BE49" s="1"/>
  <c r="U50"/>
  <c r="W50"/>
  <c r="X50" s="1"/>
  <c r="Y49"/>
  <c r="AS48"/>
  <c r="AT48" s="1"/>
  <c r="AR48"/>
  <c r="AW52"/>
  <c r="AY51"/>
  <c r="AZ51"/>
  <c r="BF48"/>
  <c r="BG48" s="1"/>
  <c r="BH48"/>
  <c r="AN49"/>
  <c r="AQ49" s="1"/>
  <c r="N55" i="15" s="1"/>
  <c r="K59" i="13"/>
  <c r="AM48" i="12"/>
  <c r="AP48" s="1"/>
  <c r="N54" i="13" s="1"/>
  <c r="AN49" i="12"/>
  <c r="M55" i="13" s="1"/>
  <c r="AM49" i="12"/>
  <c r="AP49" s="1"/>
  <c r="N55" i="13" s="1"/>
  <c r="AG51" i="12"/>
  <c r="AH51"/>
  <c r="AN48"/>
  <c r="M54" i="13" s="1"/>
  <c r="AJ50" i="12"/>
  <c r="AK50" s="1"/>
  <c r="AI50"/>
  <c r="AL50" s="1"/>
  <c r="L56" i="13" s="1"/>
  <c r="AU52" i="12"/>
  <c r="S57" i="13"/>
  <c r="Y49" i="12"/>
  <c r="Z49" s="1"/>
  <c r="E55" i="13"/>
  <c r="F55" s="1"/>
  <c r="Y48" i="12"/>
  <c r="E54" i="13"/>
  <c r="F54" s="1"/>
  <c r="T50" i="12"/>
  <c r="U50"/>
  <c r="V50" s="1"/>
  <c r="X49"/>
  <c r="P52"/>
  <c r="D58" i="13" s="1"/>
  <c r="R51" i="12"/>
  <c r="S51"/>
  <c r="AL52" i="11"/>
  <c r="AN51"/>
  <c r="AO51"/>
  <c r="AP50"/>
  <c r="AS50" s="1"/>
  <c r="AQ50"/>
  <c r="AR50" s="1"/>
  <c r="AT49"/>
  <c r="BD51"/>
  <c r="BI51" s="1"/>
  <c r="T51"/>
  <c r="W51" s="1"/>
  <c r="BJ50"/>
  <c r="BT49"/>
  <c r="BM52"/>
  <c r="BW51"/>
  <c r="BO51"/>
  <c r="BP51"/>
  <c r="BY51"/>
  <c r="BS50"/>
  <c r="BQ50"/>
  <c r="BR50" s="1"/>
  <c r="V50"/>
  <c r="X50" s="1"/>
  <c r="BZ50"/>
  <c r="U51"/>
  <c r="DH53"/>
  <c r="P53"/>
  <c r="BC52"/>
  <c r="CZ54"/>
  <c r="DG54"/>
  <c r="S52"/>
  <c r="R52"/>
  <c r="BF52"/>
  <c r="DB53"/>
  <c r="BG51"/>
  <c r="BH51" s="1"/>
  <c r="AA50" i="9"/>
  <c r="AD50" s="1"/>
  <c r="Z50"/>
  <c r="Y51"/>
  <c r="AB51"/>
  <c r="AC51" s="1"/>
  <c r="V53"/>
  <c r="W52"/>
  <c r="X52"/>
  <c r="AA51" i="10"/>
  <c r="AB51" s="1"/>
  <c r="AC51" s="1"/>
  <c r="Y52"/>
  <c r="Z52" s="1"/>
  <c r="W54"/>
  <c r="X53"/>
  <c r="F54" i="15" l="1"/>
  <c r="N48" i="16"/>
  <c r="S54" i="15"/>
  <c r="Y54"/>
  <c r="R55"/>
  <c r="N49" i="17"/>
  <c r="O49" s="1"/>
  <c r="AO49" i="14"/>
  <c r="AP49" s="1"/>
  <c r="BJ58" i="17"/>
  <c r="F52"/>
  <c r="B53"/>
  <c r="AP48" i="14"/>
  <c r="AF52"/>
  <c r="K57" i="15"/>
  <c r="AH51" i="14"/>
  <c r="AI51"/>
  <c r="AK50"/>
  <c r="AL50" s="1"/>
  <c r="AN50" s="1"/>
  <c r="AQ50" s="1"/>
  <c r="N56" i="15" s="1"/>
  <c r="AJ50" i="14"/>
  <c r="AM50" s="1"/>
  <c r="AA49"/>
  <c r="G55" i="15" s="1"/>
  <c r="E55"/>
  <c r="L56"/>
  <c r="M55"/>
  <c r="Z49" i="14"/>
  <c r="AS49"/>
  <c r="AT49" s="1"/>
  <c r="AR49"/>
  <c r="BJ48"/>
  <c r="BK48" s="1"/>
  <c r="BI48"/>
  <c r="AW53"/>
  <c r="AY52"/>
  <c r="AZ52"/>
  <c r="AO50"/>
  <c r="BH49"/>
  <c r="BF49"/>
  <c r="BG49" s="1"/>
  <c r="P53"/>
  <c r="D59" i="15" s="1"/>
  <c r="R52" i="14"/>
  <c r="T52"/>
  <c r="BD50"/>
  <c r="BA51"/>
  <c r="BB51"/>
  <c r="BC51" s="1"/>
  <c r="Y50"/>
  <c r="U51"/>
  <c r="W51"/>
  <c r="X51" s="1"/>
  <c r="AQ49" i="12"/>
  <c r="K60" i="13"/>
  <c r="AO49" i="12"/>
  <c r="AN50"/>
  <c r="M56" i="13" s="1"/>
  <c r="AG52" i="12"/>
  <c r="AH52"/>
  <c r="AU53"/>
  <c r="S58" i="13"/>
  <c r="AO48" i="12"/>
  <c r="AR48"/>
  <c r="AS48" s="1"/>
  <c r="AQ48"/>
  <c r="AI51"/>
  <c r="AL51" s="1"/>
  <c r="L57" i="13" s="1"/>
  <c r="AJ51" i="12"/>
  <c r="AK51" s="1"/>
  <c r="W50"/>
  <c r="X50" s="1"/>
  <c r="G54" i="13"/>
  <c r="AA48" i="12"/>
  <c r="AB48" s="1"/>
  <c r="Z48"/>
  <c r="AA49"/>
  <c r="AB49" s="1"/>
  <c r="G55" i="13"/>
  <c r="AM50" i="12"/>
  <c r="AP50" s="1"/>
  <c r="AR49"/>
  <c r="AS49" s="1"/>
  <c r="T51"/>
  <c r="W51" s="1"/>
  <c r="U51"/>
  <c r="V51" s="1"/>
  <c r="P53"/>
  <c r="D59" i="13" s="1"/>
  <c r="R52" i="12"/>
  <c r="S52"/>
  <c r="AT50" i="11"/>
  <c r="AL53"/>
  <c r="AN52"/>
  <c r="AO52"/>
  <c r="AP51"/>
  <c r="AS51" s="1"/>
  <c r="AQ51"/>
  <c r="AR51" s="1"/>
  <c r="BD52"/>
  <c r="BI52" s="1"/>
  <c r="BJ51"/>
  <c r="T52"/>
  <c r="W52" s="1"/>
  <c r="DH54"/>
  <c r="BZ51"/>
  <c r="BM53"/>
  <c r="BW52"/>
  <c r="BO52"/>
  <c r="BP52"/>
  <c r="BY52"/>
  <c r="V51"/>
  <c r="X51" s="1"/>
  <c r="BS51"/>
  <c r="BQ51"/>
  <c r="BR51" s="1"/>
  <c r="BT50"/>
  <c r="P54"/>
  <c r="CZ55"/>
  <c r="DG55"/>
  <c r="R53"/>
  <c r="BC53"/>
  <c r="S53"/>
  <c r="BF53"/>
  <c r="U52"/>
  <c r="BG52"/>
  <c r="BH52" s="1"/>
  <c r="DB54"/>
  <c r="AA51" i="9"/>
  <c r="AD51" s="1"/>
  <c r="Z51"/>
  <c r="Y52"/>
  <c r="AB52"/>
  <c r="AC52" s="1"/>
  <c r="V54"/>
  <c r="W53"/>
  <c r="X53"/>
  <c r="AA52" i="10"/>
  <c r="AB52" s="1"/>
  <c r="AC52" s="1"/>
  <c r="W55"/>
  <c r="X54"/>
  <c r="Y53"/>
  <c r="Z53" s="1"/>
  <c r="S55" i="15" l="1"/>
  <c r="Y55"/>
  <c r="F55"/>
  <c r="N49" i="16"/>
  <c r="R56" i="15"/>
  <c r="N50" i="17"/>
  <c r="O50" s="1"/>
  <c r="BJ59"/>
  <c r="F53"/>
  <c r="B54"/>
  <c r="AF53" i="14"/>
  <c r="K58" i="15"/>
  <c r="AH52" i="14"/>
  <c r="AI52"/>
  <c r="AK51"/>
  <c r="AL51" s="1"/>
  <c r="AJ51"/>
  <c r="AM51" s="1"/>
  <c r="L57" i="15" s="1"/>
  <c r="AA50" i="14"/>
  <c r="G56" i="15" s="1"/>
  <c r="E56"/>
  <c r="AP50" i="14"/>
  <c r="M56" i="15"/>
  <c r="Y51" i="14"/>
  <c r="BD51"/>
  <c r="BE51" s="1"/>
  <c r="U52"/>
  <c r="W52"/>
  <c r="X52" s="1"/>
  <c r="AS50"/>
  <c r="AT50" s="1"/>
  <c r="AR50"/>
  <c r="BJ49"/>
  <c r="BK49" s="1"/>
  <c r="BI49"/>
  <c r="AY53"/>
  <c r="AW54"/>
  <c r="AZ53"/>
  <c r="BF50"/>
  <c r="BG50" s="1"/>
  <c r="BA52"/>
  <c r="BB52"/>
  <c r="BC52" s="1"/>
  <c r="R53"/>
  <c r="P54"/>
  <c r="D60" i="15" s="1"/>
  <c r="T53" i="14"/>
  <c r="BE50"/>
  <c r="BH50" s="1"/>
  <c r="Z50"/>
  <c r="K61" i="13"/>
  <c r="AQ50" i="12"/>
  <c r="N56" i="13"/>
  <c r="AM51" i="12"/>
  <c r="AP51" s="1"/>
  <c r="N57" i="13" s="1"/>
  <c r="AI52" i="12"/>
  <c r="AJ52"/>
  <c r="AK52" s="1"/>
  <c r="Y51"/>
  <c r="Z51" s="1"/>
  <c r="E57" i="13"/>
  <c r="F57" s="1"/>
  <c r="Y50" i="12"/>
  <c r="E56" i="13"/>
  <c r="F56" s="1"/>
  <c r="AO50" i="12"/>
  <c r="AU54"/>
  <c r="S59" i="13"/>
  <c r="AG53" i="12"/>
  <c r="AH53"/>
  <c r="AR50"/>
  <c r="AS50" s="1"/>
  <c r="AN51"/>
  <c r="M57" i="13" s="1"/>
  <c r="T52" i="12"/>
  <c r="U52"/>
  <c r="V52" s="1"/>
  <c r="P54"/>
  <c r="D60" i="13" s="1"/>
  <c r="R53" i="12"/>
  <c r="S53"/>
  <c r="X51"/>
  <c r="AL54" i="11"/>
  <c r="AN53"/>
  <c r="AO53"/>
  <c r="AP52"/>
  <c r="AS52" s="1"/>
  <c r="AQ52"/>
  <c r="AR52" s="1"/>
  <c r="AT51"/>
  <c r="BJ52"/>
  <c r="BD53"/>
  <c r="BI53" s="1"/>
  <c r="BZ52"/>
  <c r="T53"/>
  <c r="W53" s="1"/>
  <c r="BT51"/>
  <c r="V52"/>
  <c r="X52" s="1"/>
  <c r="BM54"/>
  <c r="BO53"/>
  <c r="BW53"/>
  <c r="BP53"/>
  <c r="BY53"/>
  <c r="BS52"/>
  <c r="BQ52"/>
  <c r="BR52" s="1"/>
  <c r="BG53"/>
  <c r="BH53" s="1"/>
  <c r="BJ53" s="1"/>
  <c r="U53"/>
  <c r="P55"/>
  <c r="DG56"/>
  <c r="R54"/>
  <c r="CZ56"/>
  <c r="BC54"/>
  <c r="S54"/>
  <c r="BF54"/>
  <c r="DB55"/>
  <c r="DH55"/>
  <c r="AA52" i="9"/>
  <c r="AD52" s="1"/>
  <c r="Z52"/>
  <c r="Y53"/>
  <c r="AB53"/>
  <c r="AC53" s="1"/>
  <c r="V55"/>
  <c r="W54"/>
  <c r="X54"/>
  <c r="AA53" i="10"/>
  <c r="AB53" s="1"/>
  <c r="AC53" s="1"/>
  <c r="W56"/>
  <c r="X55"/>
  <c r="Y54"/>
  <c r="Z54" s="1"/>
  <c r="F56" i="15" l="1"/>
  <c r="N50" i="16"/>
  <c r="R57" i="15"/>
  <c r="N51" i="17"/>
  <c r="O51" s="1"/>
  <c r="S56" i="15"/>
  <c r="Y56"/>
  <c r="AO51" i="14"/>
  <c r="AN51"/>
  <c r="AQ51" s="1"/>
  <c r="N57" i="15" s="1"/>
  <c r="BJ60" i="17"/>
  <c r="F54"/>
  <c r="B55"/>
  <c r="AF54" i="14"/>
  <c r="K59" i="15"/>
  <c r="AI53" i="14"/>
  <c r="AH53"/>
  <c r="AK52"/>
  <c r="AL52" s="1"/>
  <c r="AN52" s="1"/>
  <c r="AQ52" s="1"/>
  <c r="N58" i="15" s="1"/>
  <c r="AJ52" i="14"/>
  <c r="AM52" s="1"/>
  <c r="L58" i="15" s="1"/>
  <c r="AP51" i="14"/>
  <c r="M57" i="15"/>
  <c r="AA51" i="14"/>
  <c r="G57" i="15" s="1"/>
  <c r="E57"/>
  <c r="BJ50" i="14"/>
  <c r="BK50" s="1"/>
  <c r="BI50"/>
  <c r="BA53"/>
  <c r="BB53"/>
  <c r="BC53" s="1"/>
  <c r="Y52"/>
  <c r="BD52"/>
  <c r="AW55"/>
  <c r="AY54"/>
  <c r="AZ54"/>
  <c r="U53"/>
  <c r="W53"/>
  <c r="X53" s="1"/>
  <c r="BE52"/>
  <c r="P55"/>
  <c r="D61" i="15" s="1"/>
  <c r="R54" i="14"/>
  <c r="T54"/>
  <c r="BF51"/>
  <c r="BG51" s="1"/>
  <c r="BH51"/>
  <c r="Z51"/>
  <c r="K62" i="13"/>
  <c r="AJ53" i="12"/>
  <c r="AK53" s="1"/>
  <c r="AR51"/>
  <c r="AS51" s="1"/>
  <c r="AQ51"/>
  <c r="AG54"/>
  <c r="AH54"/>
  <c r="AA51"/>
  <c r="AB51" s="1"/>
  <c r="G57" i="13"/>
  <c r="W52" i="12"/>
  <c r="AU55"/>
  <c r="S60" i="13"/>
  <c r="G56"/>
  <c r="AA50" i="12"/>
  <c r="AB50" s="1"/>
  <c r="Z50"/>
  <c r="AO51"/>
  <c r="AL52"/>
  <c r="AI53"/>
  <c r="AL53" s="1"/>
  <c r="L59" i="13" s="1"/>
  <c r="T53" i="12"/>
  <c r="W53" s="1"/>
  <c r="U53"/>
  <c r="V53" s="1"/>
  <c r="P55"/>
  <c r="D61" i="13" s="1"/>
  <c r="R54" i="12"/>
  <c r="S54"/>
  <c r="AT52" i="11"/>
  <c r="AL55"/>
  <c r="AN54"/>
  <c r="AO54"/>
  <c r="AP53"/>
  <c r="AS53" s="1"/>
  <c r="AQ53"/>
  <c r="AR53" s="1"/>
  <c r="BD54"/>
  <c r="BI54" s="1"/>
  <c r="T54"/>
  <c r="W54" s="1"/>
  <c r="BT52"/>
  <c r="BZ53"/>
  <c r="V53"/>
  <c r="X53" s="1"/>
  <c r="BM55"/>
  <c r="BW54"/>
  <c r="BO54"/>
  <c r="BP54"/>
  <c r="BY54"/>
  <c r="DB56"/>
  <c r="BS53"/>
  <c r="BQ53"/>
  <c r="BR53" s="1"/>
  <c r="BG54"/>
  <c r="BH54" s="1"/>
  <c r="P56"/>
  <c r="BC55"/>
  <c r="CZ57"/>
  <c r="R55"/>
  <c r="DG57"/>
  <c r="S55"/>
  <c r="BF55"/>
  <c r="DH56"/>
  <c r="U54"/>
  <c r="AA53" i="9"/>
  <c r="AD53" s="1"/>
  <c r="Z53"/>
  <c r="Y54"/>
  <c r="AB54"/>
  <c r="AC54" s="1"/>
  <c r="V56"/>
  <c r="W55"/>
  <c r="X55"/>
  <c r="AA54" i="10"/>
  <c r="AB54" s="1"/>
  <c r="AC54" s="1"/>
  <c r="Y55"/>
  <c r="Z55" s="1"/>
  <c r="W57"/>
  <c r="X56"/>
  <c r="R58" i="15" l="1"/>
  <c r="N52" i="17"/>
  <c r="O52" s="1"/>
  <c r="S57" i="15"/>
  <c r="Y57"/>
  <c r="F57"/>
  <c r="N51" i="16"/>
  <c r="AS51" i="14"/>
  <c r="AT51" s="1"/>
  <c r="AR51"/>
  <c r="BJ61" i="17"/>
  <c r="B56"/>
  <c r="F55"/>
  <c r="AF55" i="14"/>
  <c r="K60" i="15"/>
  <c r="AI54" i="14"/>
  <c r="AH54"/>
  <c r="AJ53"/>
  <c r="AM53" s="1"/>
  <c r="AK53"/>
  <c r="AL53" s="1"/>
  <c r="AO52"/>
  <c r="M58" i="15" s="1"/>
  <c r="AA52" i="14"/>
  <c r="G58" i="15" s="1"/>
  <c r="E58"/>
  <c r="L59"/>
  <c r="Z52" i="14"/>
  <c r="BJ51"/>
  <c r="BK51" s="1"/>
  <c r="BI51"/>
  <c r="U54"/>
  <c r="W54"/>
  <c r="X54" s="1"/>
  <c r="AS52"/>
  <c r="AT52" s="1"/>
  <c r="AR52"/>
  <c r="BF52"/>
  <c r="BG52" s="1"/>
  <c r="BH52"/>
  <c r="Y53"/>
  <c r="AW56"/>
  <c r="AY55"/>
  <c r="AZ55"/>
  <c r="BD53"/>
  <c r="P56"/>
  <c r="D62" i="15" s="1"/>
  <c r="R55" i="14"/>
  <c r="T55"/>
  <c r="BA54"/>
  <c r="BB54"/>
  <c r="BC54" s="1"/>
  <c r="AM52" i="12"/>
  <c r="AP52" s="1"/>
  <c r="N58" i="13" s="1"/>
  <c r="L58"/>
  <c r="K63"/>
  <c r="AM53" i="12"/>
  <c r="AP53" s="1"/>
  <c r="N59" i="13" s="1"/>
  <c r="Y53" i="12"/>
  <c r="E59" i="13"/>
  <c r="F59" s="1"/>
  <c r="AU56" i="12"/>
  <c r="S61" i="13"/>
  <c r="Y52" i="12"/>
  <c r="E58" i="13"/>
  <c r="F58" s="1"/>
  <c r="AN53" i="12"/>
  <c r="M59" i="13" s="1"/>
  <c r="AG55" i="12"/>
  <c r="AH55"/>
  <c r="AN52"/>
  <c r="M58" i="13" s="1"/>
  <c r="AJ54" i="12"/>
  <c r="AK54" s="1"/>
  <c r="AI54"/>
  <c r="AL54" s="1"/>
  <c r="L60" i="13" s="1"/>
  <c r="X52" i="12"/>
  <c r="T54"/>
  <c r="U54"/>
  <c r="V54" s="1"/>
  <c r="X53"/>
  <c r="P56"/>
  <c r="D62" i="13" s="1"/>
  <c r="R55" i="12"/>
  <c r="S55"/>
  <c r="AL56" i="11"/>
  <c r="AN55"/>
  <c r="AO55"/>
  <c r="AP54"/>
  <c r="AS54" s="1"/>
  <c r="AQ54"/>
  <c r="AR54" s="1"/>
  <c r="AT53"/>
  <c r="BJ54"/>
  <c r="T55"/>
  <c r="W55" s="1"/>
  <c r="BD55"/>
  <c r="BI55" s="1"/>
  <c r="DH57"/>
  <c r="BS54"/>
  <c r="BQ54"/>
  <c r="BR54" s="1"/>
  <c r="BM56"/>
  <c r="BW55"/>
  <c r="BO55"/>
  <c r="BP55"/>
  <c r="BY55"/>
  <c r="BT53"/>
  <c r="V54"/>
  <c r="X54" s="1"/>
  <c r="BZ54"/>
  <c r="U55"/>
  <c r="P57"/>
  <c r="BC56"/>
  <c r="DG58"/>
  <c r="CZ58"/>
  <c r="S56"/>
  <c r="R56"/>
  <c r="BF56"/>
  <c r="BG55"/>
  <c r="BH55" s="1"/>
  <c r="DB57"/>
  <c r="AA54" i="9"/>
  <c r="AD54" s="1"/>
  <c r="Z54"/>
  <c r="Y55"/>
  <c r="AB55"/>
  <c r="AC55" s="1"/>
  <c r="W56"/>
  <c r="V57"/>
  <c r="X56"/>
  <c r="AA55" i="10"/>
  <c r="AB55" s="1"/>
  <c r="AC55" s="1"/>
  <c r="Y56"/>
  <c r="Z56" s="1"/>
  <c r="W58"/>
  <c r="X57"/>
  <c r="AP52" i="14" l="1"/>
  <c r="S58" i="15"/>
  <c r="Y58"/>
  <c r="F58"/>
  <c r="N52" i="16"/>
  <c r="R59" i="15"/>
  <c r="N53" i="17"/>
  <c r="O53" s="1"/>
  <c r="AN53" i="14"/>
  <c r="AQ53" s="1"/>
  <c r="BJ62" i="17"/>
  <c r="F56"/>
  <c r="B57"/>
  <c r="AF56" i="14"/>
  <c r="K61" i="15"/>
  <c r="AI55" i="14"/>
  <c r="AH55"/>
  <c r="AO53"/>
  <c r="M59" i="15" s="1"/>
  <c r="AK54" i="14"/>
  <c r="AL54" s="1"/>
  <c r="AJ54"/>
  <c r="AM54" s="1"/>
  <c r="L60" i="15" s="1"/>
  <c r="AA53" i="14"/>
  <c r="G59" i="15" s="1"/>
  <c r="E59"/>
  <c r="Z53" i="14"/>
  <c r="BD54"/>
  <c r="BE54" s="1"/>
  <c r="U55"/>
  <c r="W55"/>
  <c r="X55" s="1"/>
  <c r="BJ52"/>
  <c r="BK52" s="1"/>
  <c r="BI52"/>
  <c r="BF53"/>
  <c r="BG53" s="1"/>
  <c r="AY56"/>
  <c r="AW57"/>
  <c r="AZ56"/>
  <c r="AO54"/>
  <c r="Y54"/>
  <c r="R56"/>
  <c r="P57"/>
  <c r="D63" i="15" s="1"/>
  <c r="T56" i="14"/>
  <c r="BA55"/>
  <c r="BB55"/>
  <c r="BC55" s="1"/>
  <c r="BE53"/>
  <c r="BH53" s="1"/>
  <c r="AN54"/>
  <c r="AQ54" s="1"/>
  <c r="N60" i="15" s="1"/>
  <c r="K64" i="13"/>
  <c r="AN54" i="12"/>
  <c r="M60" i="13" s="1"/>
  <c r="AO53" i="12"/>
  <c r="AA52"/>
  <c r="AB52" s="1"/>
  <c r="G58" i="13"/>
  <c r="Z52" i="12"/>
  <c r="Z53"/>
  <c r="G59" i="13"/>
  <c r="AA53" i="12"/>
  <c r="AB53" s="1"/>
  <c r="AO52"/>
  <c r="AG56"/>
  <c r="AH56"/>
  <c r="W54"/>
  <c r="X54" s="1"/>
  <c r="AR52"/>
  <c r="AS52" s="1"/>
  <c r="AQ52"/>
  <c r="AU57"/>
  <c r="S63" i="13" s="1"/>
  <c r="S62"/>
  <c r="AM54" i="12"/>
  <c r="AP54" s="1"/>
  <c r="N60" i="13" s="1"/>
  <c r="AI55" i="12"/>
  <c r="AL55" s="1"/>
  <c r="L61" i="13" s="1"/>
  <c r="AJ55" i="12"/>
  <c r="AK55" s="1"/>
  <c r="AR53"/>
  <c r="AS53" s="1"/>
  <c r="AQ53"/>
  <c r="P57"/>
  <c r="D63" i="13" s="1"/>
  <c r="R56" i="12"/>
  <c r="S56"/>
  <c r="T55"/>
  <c r="W55" s="1"/>
  <c r="U55"/>
  <c r="V55" s="1"/>
  <c r="AP55" i="11"/>
  <c r="AS55" s="1"/>
  <c r="AQ55"/>
  <c r="AR55" s="1"/>
  <c r="AL57"/>
  <c r="AN56"/>
  <c r="AO56"/>
  <c r="AT54"/>
  <c r="BJ55"/>
  <c r="BD56"/>
  <c r="BI56" s="1"/>
  <c r="T56"/>
  <c r="W56" s="1"/>
  <c r="BT54"/>
  <c r="V55"/>
  <c r="X55" s="1"/>
  <c r="BS55"/>
  <c r="BQ55"/>
  <c r="BR55" s="1"/>
  <c r="BM57"/>
  <c r="BW56"/>
  <c r="BO56"/>
  <c r="BP56"/>
  <c r="BY56"/>
  <c r="BZ55"/>
  <c r="DB58"/>
  <c r="P58"/>
  <c r="CZ59"/>
  <c r="DG59"/>
  <c r="R57"/>
  <c r="BC57"/>
  <c r="S57"/>
  <c r="BF57"/>
  <c r="U56"/>
  <c r="BG56"/>
  <c r="BH56" s="1"/>
  <c r="DH58"/>
  <c r="AA55" i="9"/>
  <c r="AD55" s="1"/>
  <c r="Z55"/>
  <c r="AB56"/>
  <c r="AC56" s="1"/>
  <c r="Y56"/>
  <c r="W57"/>
  <c r="X57"/>
  <c r="AA56" i="10"/>
  <c r="AB56" s="1"/>
  <c r="AC56" s="1"/>
  <c r="Y57"/>
  <c r="Z57" s="1"/>
  <c r="W59"/>
  <c r="X58"/>
  <c r="F59" i="15" l="1"/>
  <c r="N53" i="16"/>
  <c r="R60" i="15"/>
  <c r="N54" i="17"/>
  <c r="O54" s="1"/>
  <c r="S59" i="15"/>
  <c r="Y59"/>
  <c r="N59"/>
  <c r="AR53" i="14"/>
  <c r="AS53"/>
  <c r="AT53" s="1"/>
  <c r="BJ63" i="17"/>
  <c r="F57"/>
  <c r="B58"/>
  <c r="AP53" i="14"/>
  <c r="AF57"/>
  <c r="K62" i="15"/>
  <c r="AI56" i="14"/>
  <c r="AH56"/>
  <c r="AK55"/>
  <c r="AL55" s="1"/>
  <c r="AJ55"/>
  <c r="AM55" s="1"/>
  <c r="L61" i="15" s="1"/>
  <c r="AP54" i="14"/>
  <c r="M60" i="15"/>
  <c r="AA54" i="14"/>
  <c r="G60" i="15" s="1"/>
  <c r="E60"/>
  <c r="AS54" i="14"/>
  <c r="AT54" s="1"/>
  <c r="AR54"/>
  <c r="BJ53"/>
  <c r="BK53" s="1"/>
  <c r="BI53"/>
  <c r="AY57"/>
  <c r="AW58"/>
  <c r="AZ57"/>
  <c r="BH54"/>
  <c r="BF54"/>
  <c r="BG54" s="1"/>
  <c r="BD55"/>
  <c r="U56"/>
  <c r="W56"/>
  <c r="X56" s="1"/>
  <c r="Y55"/>
  <c r="R57"/>
  <c r="P58"/>
  <c r="D64" i="15" s="1"/>
  <c r="T57" i="14"/>
  <c r="BA56"/>
  <c r="BB56"/>
  <c r="BC56" s="1"/>
  <c r="Z55"/>
  <c r="Z54"/>
  <c r="K65" i="13"/>
  <c r="AR54" i="12"/>
  <c r="AS54" s="1"/>
  <c r="AQ54"/>
  <c r="AN55"/>
  <c r="M61" i="13" s="1"/>
  <c r="AI56" i="12"/>
  <c r="AL56" s="1"/>
  <c r="L62" i="13" s="1"/>
  <c r="AJ56" i="12"/>
  <c r="AK56" s="1"/>
  <c r="Y54"/>
  <c r="E60" i="13"/>
  <c r="F60" s="1"/>
  <c r="Y55" i="12"/>
  <c r="Z55" s="1"/>
  <c r="E61" i="13"/>
  <c r="F61" s="1"/>
  <c r="AM55" i="12"/>
  <c r="AP55" s="1"/>
  <c r="AG57"/>
  <c r="AH57"/>
  <c r="AO54"/>
  <c r="T56"/>
  <c r="U56"/>
  <c r="V56" s="1"/>
  <c r="P58"/>
  <c r="D64" i="13" s="1"/>
  <c r="R57" i="12"/>
  <c r="S57"/>
  <c r="X55"/>
  <c r="AP56" i="11"/>
  <c r="AS56" s="1"/>
  <c r="AQ56"/>
  <c r="AR56" s="1"/>
  <c r="AN57"/>
  <c r="AO57"/>
  <c r="AT55"/>
  <c r="T57"/>
  <c r="W57" s="1"/>
  <c r="BD57"/>
  <c r="BI57" s="1"/>
  <c r="BJ56"/>
  <c r="BZ56"/>
  <c r="BM58"/>
  <c r="BO57"/>
  <c r="BW57"/>
  <c r="BP57"/>
  <c r="BY57"/>
  <c r="V56"/>
  <c r="X56" s="1"/>
  <c r="BS56"/>
  <c r="BQ56"/>
  <c r="BR56" s="1"/>
  <c r="BT55"/>
  <c r="BG57"/>
  <c r="BH57" s="1"/>
  <c r="U57"/>
  <c r="P59"/>
  <c r="DG60"/>
  <c r="R58"/>
  <c r="BC58"/>
  <c r="CZ60"/>
  <c r="S58"/>
  <c r="BF58"/>
  <c r="DB59"/>
  <c r="DH59"/>
  <c r="AA56" i="9"/>
  <c r="AD56" s="1"/>
  <c r="Z56"/>
  <c r="Y57"/>
  <c r="AB57"/>
  <c r="AC57" s="1"/>
  <c r="AA57" i="10"/>
  <c r="AB57" s="1"/>
  <c r="AC57" s="1"/>
  <c r="Y58"/>
  <c r="Z58" s="1"/>
  <c r="W60"/>
  <c r="X59"/>
  <c r="F60" i="15" l="1"/>
  <c r="N54" i="16"/>
  <c r="R61" i="15"/>
  <c r="N55" i="17"/>
  <c r="O55" s="1"/>
  <c r="S60" i="15"/>
  <c r="Y60"/>
  <c r="AO55" i="14"/>
  <c r="M61" i="15" s="1"/>
  <c r="AN55" i="14"/>
  <c r="AQ55" s="1"/>
  <c r="N61" i="15" s="1"/>
  <c r="BJ64" i="17"/>
  <c r="F58"/>
  <c r="B59"/>
  <c r="AJ56" i="14"/>
  <c r="AM56" s="1"/>
  <c r="L62" i="15" s="1"/>
  <c r="AK56" i="14"/>
  <c r="AL56" s="1"/>
  <c r="AN56" s="1"/>
  <c r="AQ56" s="1"/>
  <c r="N62" i="15" s="1"/>
  <c r="AF58" i="14"/>
  <c r="K63" i="15"/>
  <c r="AI57" i="14"/>
  <c r="AH57"/>
  <c r="AA55"/>
  <c r="G61" i="15" s="1"/>
  <c r="E61"/>
  <c r="U57" i="14"/>
  <c r="W57"/>
  <c r="X57" s="1"/>
  <c r="Y56"/>
  <c r="BF55"/>
  <c r="BG55" s="1"/>
  <c r="AS55"/>
  <c r="AT55" s="1"/>
  <c r="AR55"/>
  <c r="BA57"/>
  <c r="BB57"/>
  <c r="BC57" s="1"/>
  <c r="P59"/>
  <c r="D65" i="15" s="1"/>
  <c r="R58" i="14"/>
  <c r="T58"/>
  <c r="AW59"/>
  <c r="AY58"/>
  <c r="AZ58"/>
  <c r="BJ54"/>
  <c r="BK54" s="1"/>
  <c r="BI54"/>
  <c r="BD56"/>
  <c r="BE55"/>
  <c r="BH55" s="1"/>
  <c r="K66" i="13"/>
  <c r="AQ55" i="12"/>
  <c r="N61" i="13"/>
  <c r="AI57" i="12"/>
  <c r="AL57" s="1"/>
  <c r="L63" i="13" s="1"/>
  <c r="AA54" i="12"/>
  <c r="AB54" s="1"/>
  <c r="G60" i="13"/>
  <c r="Z54" i="12"/>
  <c r="G61" i="13"/>
  <c r="AA55" i="12"/>
  <c r="AB55" s="1"/>
  <c r="AO55"/>
  <c r="AG58"/>
  <c r="AH58"/>
  <c r="AN56"/>
  <c r="M62" i="13" s="1"/>
  <c r="W56" i="12"/>
  <c r="X56" s="1"/>
  <c r="AR55"/>
  <c r="AS55" s="1"/>
  <c r="AM56"/>
  <c r="AP56" s="1"/>
  <c r="AJ57"/>
  <c r="AK57" s="1"/>
  <c r="T57"/>
  <c r="W57" s="1"/>
  <c r="U57"/>
  <c r="V57" s="1"/>
  <c r="P59"/>
  <c r="D65" i="13" s="1"/>
  <c r="R58" i="12"/>
  <c r="S58"/>
  <c r="AP57" i="11"/>
  <c r="AS57" s="1"/>
  <c r="AQ57"/>
  <c r="AR57" s="1"/>
  <c r="AT56"/>
  <c r="BD58"/>
  <c r="BI58" s="1"/>
  <c r="BJ57"/>
  <c r="T58"/>
  <c r="W58" s="1"/>
  <c r="BM59"/>
  <c r="BW58"/>
  <c r="BO58"/>
  <c r="BP58"/>
  <c r="BY58"/>
  <c r="BS57"/>
  <c r="BQ57"/>
  <c r="BR57" s="1"/>
  <c r="BT56"/>
  <c r="V57"/>
  <c r="X57" s="1"/>
  <c r="BZ57"/>
  <c r="DB60"/>
  <c r="P60"/>
  <c r="CZ61"/>
  <c r="BC59"/>
  <c r="DG61"/>
  <c r="R59"/>
  <c r="S59"/>
  <c r="BF59"/>
  <c r="DH60"/>
  <c r="U58"/>
  <c r="BG58"/>
  <c r="BH58" s="1"/>
  <c r="AA57" i="9"/>
  <c r="AD57" s="1"/>
  <c r="Z57"/>
  <c r="AA58" i="10"/>
  <c r="AB58" s="1"/>
  <c r="AC58" s="1"/>
  <c r="Y59"/>
  <c r="Z59" s="1"/>
  <c r="W61"/>
  <c r="X60"/>
  <c r="F61" i="15" l="1"/>
  <c r="N55" i="16"/>
  <c r="S61" i="15"/>
  <c r="Y61"/>
  <c r="R62"/>
  <c r="N56" i="17"/>
  <c r="O56" s="1"/>
  <c r="AP55" i="14"/>
  <c r="BJ65" i="17"/>
  <c r="B60"/>
  <c r="F59"/>
  <c r="AF59" i="14"/>
  <c r="K64" i="15"/>
  <c r="AI58" i="14"/>
  <c r="AH58"/>
  <c r="AO56"/>
  <c r="AP56" s="1"/>
  <c r="AK57"/>
  <c r="AL57" s="1"/>
  <c r="AJ57"/>
  <c r="AM57" s="1"/>
  <c r="L63" i="15" s="1"/>
  <c r="AA56" i="14"/>
  <c r="G62" i="15" s="1"/>
  <c r="E62"/>
  <c r="Z56" i="14"/>
  <c r="AO57"/>
  <c r="BJ55"/>
  <c r="BK55" s="1"/>
  <c r="BI55"/>
  <c r="P60"/>
  <c r="D66" i="15" s="1"/>
  <c r="R59" i="14"/>
  <c r="T59"/>
  <c r="BF56"/>
  <c r="BG56" s="1"/>
  <c r="AS56"/>
  <c r="AT56" s="1"/>
  <c r="AR56"/>
  <c r="AW60"/>
  <c r="AY59"/>
  <c r="AZ59"/>
  <c r="U58"/>
  <c r="W58"/>
  <c r="X58" s="1"/>
  <c r="BA58"/>
  <c r="BB58"/>
  <c r="BC58" s="1"/>
  <c r="BD57"/>
  <c r="Y57"/>
  <c r="BE56"/>
  <c r="BH56" s="1"/>
  <c r="AQ56" i="12"/>
  <c r="N62" i="13"/>
  <c r="K67"/>
  <c r="AN57" i="12"/>
  <c r="M63" i="13" s="1"/>
  <c r="AR56" i="12"/>
  <c r="AS56" s="1"/>
  <c r="Y57"/>
  <c r="E63" i="13"/>
  <c r="F63" s="1"/>
  <c r="AO57" i="12"/>
  <c r="AM57"/>
  <c r="AP57" s="1"/>
  <c r="N63" i="13" s="1"/>
  <c r="AG59" i="12"/>
  <c r="AH59"/>
  <c r="Y56"/>
  <c r="E62" i="13"/>
  <c r="F62" s="1"/>
  <c r="AJ58" i="12"/>
  <c r="AK58" s="1"/>
  <c r="AI58"/>
  <c r="AL58" s="1"/>
  <c r="L64" i="13" s="1"/>
  <c r="AO56" i="12"/>
  <c r="X57"/>
  <c r="R59"/>
  <c r="P60"/>
  <c r="D66" i="13" s="1"/>
  <c r="S59" i="12"/>
  <c r="T58"/>
  <c r="U58"/>
  <c r="V58" s="1"/>
  <c r="AT57" i="11"/>
  <c r="BJ58"/>
  <c r="T59"/>
  <c r="W59" s="1"/>
  <c r="BD59"/>
  <c r="BI59" s="1"/>
  <c r="V58"/>
  <c r="X58" s="1"/>
  <c r="BM60"/>
  <c r="BW59"/>
  <c r="BO59"/>
  <c r="BP59"/>
  <c r="BY59"/>
  <c r="BS58"/>
  <c r="BQ58"/>
  <c r="BR58" s="1"/>
  <c r="BZ58"/>
  <c r="BT57"/>
  <c r="U59"/>
  <c r="P61"/>
  <c r="BC60"/>
  <c r="CZ62"/>
  <c r="DG62"/>
  <c r="S60"/>
  <c r="R60"/>
  <c r="BF60"/>
  <c r="DB61"/>
  <c r="BG59"/>
  <c r="BH59" s="1"/>
  <c r="DH61"/>
  <c r="AA59" i="10"/>
  <c r="AB59" s="1"/>
  <c r="AC59" s="1"/>
  <c r="W62"/>
  <c r="X61"/>
  <c r="Y60"/>
  <c r="Z60" s="1"/>
  <c r="S62" i="15" l="1"/>
  <c r="Y62"/>
  <c r="F62"/>
  <c r="N56" i="16"/>
  <c r="R63" i="15"/>
  <c r="N57" i="17"/>
  <c r="O57" s="1"/>
  <c r="AN57" i="14"/>
  <c r="AQ57" s="1"/>
  <c r="N63" i="15" s="1"/>
  <c r="BJ66" i="17"/>
  <c r="F60"/>
  <c r="B61"/>
  <c r="AF60" i="14"/>
  <c r="K65" i="15"/>
  <c r="AI59" i="14"/>
  <c r="AH59"/>
  <c r="M62" i="15"/>
  <c r="AJ58" i="14"/>
  <c r="AM58" s="1"/>
  <c r="L64" i="15" s="1"/>
  <c r="AK58" i="14"/>
  <c r="AL58" s="1"/>
  <c r="AN58" s="1"/>
  <c r="AQ58" s="1"/>
  <c r="N64" i="15" s="1"/>
  <c r="AA57" i="14"/>
  <c r="G63" i="15" s="1"/>
  <c r="E63"/>
  <c r="AP57" i="14"/>
  <c r="M63" i="15"/>
  <c r="Z57" i="14"/>
  <c r="AS57"/>
  <c r="AT57" s="1"/>
  <c r="AR57"/>
  <c r="BJ56"/>
  <c r="BK56" s="1"/>
  <c r="BI56"/>
  <c r="Y58"/>
  <c r="BF57"/>
  <c r="BG57" s="1"/>
  <c r="AY60"/>
  <c r="AW61"/>
  <c r="AZ60"/>
  <c r="BA59"/>
  <c r="BB59"/>
  <c r="BC59" s="1"/>
  <c r="R60"/>
  <c r="P61"/>
  <c r="D67" i="15" s="1"/>
  <c r="T60" i="14"/>
  <c r="BD58"/>
  <c r="BE58" s="1"/>
  <c r="U59"/>
  <c r="W59"/>
  <c r="X59" s="1"/>
  <c r="BE57"/>
  <c r="BH57" s="1"/>
  <c r="AH62" i="12"/>
  <c r="AG62"/>
  <c r="K68" i="13"/>
  <c r="AM58" i="12"/>
  <c r="AP58" s="1"/>
  <c r="N64" i="13" s="1"/>
  <c r="AN58" i="12"/>
  <c r="M64" i="13" s="1"/>
  <c r="AI59" i="12"/>
  <c r="AL59" s="1"/>
  <c r="L65" i="13" s="1"/>
  <c r="AJ59" i="12"/>
  <c r="AK59" s="1"/>
  <c r="AR57"/>
  <c r="AS57" s="1"/>
  <c r="W58"/>
  <c r="X58" s="1"/>
  <c r="AA56"/>
  <c r="AB56" s="1"/>
  <c r="G62" i="13"/>
  <c r="Z56" i="12"/>
  <c r="Z57"/>
  <c r="AA57"/>
  <c r="AB57" s="1"/>
  <c r="G63" i="13"/>
  <c r="AG60" i="12"/>
  <c r="AH60"/>
  <c r="AQ57"/>
  <c r="R60"/>
  <c r="P61"/>
  <c r="D67" i="13" s="1"/>
  <c r="S60" i="12"/>
  <c r="T59"/>
  <c r="W59" s="1"/>
  <c r="U59"/>
  <c r="V59" s="1"/>
  <c r="BD60" i="11"/>
  <c r="BI60" s="1"/>
  <c r="BJ59"/>
  <c r="T60"/>
  <c r="W60" s="1"/>
  <c r="BZ59"/>
  <c r="V59"/>
  <c r="X59" s="1"/>
  <c r="BS59"/>
  <c r="BQ59"/>
  <c r="BR59" s="1"/>
  <c r="BM61"/>
  <c r="BW60"/>
  <c r="BO60"/>
  <c r="BP60"/>
  <c r="BY60"/>
  <c r="BT58"/>
  <c r="U60"/>
  <c r="BG60"/>
  <c r="BH60" s="1"/>
  <c r="DB62"/>
  <c r="P62"/>
  <c r="CZ63"/>
  <c r="DG63"/>
  <c r="R61"/>
  <c r="BC61"/>
  <c r="S61"/>
  <c r="BF61"/>
  <c r="DH62"/>
  <c r="AA60" i="10"/>
  <c r="AB60" s="1"/>
  <c r="AC60" s="1"/>
  <c r="W63"/>
  <c r="X62"/>
  <c r="Y61"/>
  <c r="Z61" s="1"/>
  <c r="F63" i="15" l="1"/>
  <c r="N57" i="16"/>
  <c r="S63" i="15"/>
  <c r="Y63"/>
  <c r="R64"/>
  <c r="N58" i="17"/>
  <c r="O58" s="1"/>
  <c r="BJ67"/>
  <c r="B62"/>
  <c r="F61"/>
  <c r="AF61" i="14"/>
  <c r="K66" i="15"/>
  <c r="AI60" i="14"/>
  <c r="AH60"/>
  <c r="AJ59"/>
  <c r="AM59" s="1"/>
  <c r="L65" i="15" s="1"/>
  <c r="AK59" i="14"/>
  <c r="AL59" s="1"/>
  <c r="AN59" s="1"/>
  <c r="AO58"/>
  <c r="AA58"/>
  <c r="G64" i="15" s="1"/>
  <c r="E64"/>
  <c r="AP58" i="14"/>
  <c r="M64" i="15"/>
  <c r="BJ57" i="14"/>
  <c r="BK57" s="1"/>
  <c r="BI57"/>
  <c r="U60"/>
  <c r="W60"/>
  <c r="X60" s="1"/>
  <c r="R61"/>
  <c r="P62"/>
  <c r="D68" i="15" s="1"/>
  <c r="T61" i="14"/>
  <c r="BA60"/>
  <c r="BB60"/>
  <c r="BC60" s="1"/>
  <c r="AS58"/>
  <c r="AT58" s="1"/>
  <c r="AR58"/>
  <c r="AO59"/>
  <c r="BD59"/>
  <c r="AY61"/>
  <c r="AW62"/>
  <c r="AZ61"/>
  <c r="Y59"/>
  <c r="BH58"/>
  <c r="BF58"/>
  <c r="BG58" s="1"/>
  <c r="Z58"/>
  <c r="AJ62" i="12"/>
  <c r="AK62" s="1"/>
  <c r="AI62"/>
  <c r="AL62" s="1"/>
  <c r="K69" i="13"/>
  <c r="AH63" i="12"/>
  <c r="AG63"/>
  <c r="AI60"/>
  <c r="AJ60"/>
  <c r="AK60" s="1"/>
  <c r="AM59"/>
  <c r="AP59" s="1"/>
  <c r="N65" i="13" s="1"/>
  <c r="AO58" i="12"/>
  <c r="Y59"/>
  <c r="Z59" s="1"/>
  <c r="E65" i="13"/>
  <c r="F65" s="1"/>
  <c r="AR58" i="12"/>
  <c r="AS58" s="1"/>
  <c r="AG61"/>
  <c r="AH61"/>
  <c r="Y58"/>
  <c r="E64" i="13"/>
  <c r="F64" s="1"/>
  <c r="AN59" i="12"/>
  <c r="M65" i="13" s="1"/>
  <c r="AQ58" i="12"/>
  <c r="P62"/>
  <c r="D68" i="13" s="1"/>
  <c r="R61" i="12"/>
  <c r="S61"/>
  <c r="T60"/>
  <c r="U60"/>
  <c r="V60" s="1"/>
  <c r="X59"/>
  <c r="BJ60" i="11"/>
  <c r="BD61"/>
  <c r="BI61" s="1"/>
  <c r="BT59"/>
  <c r="T61"/>
  <c r="W61" s="1"/>
  <c r="V60"/>
  <c r="X60" s="1"/>
  <c r="BM62"/>
  <c r="BO61"/>
  <c r="BW61"/>
  <c r="BP61"/>
  <c r="BY61"/>
  <c r="BS60"/>
  <c r="BQ60"/>
  <c r="BR60" s="1"/>
  <c r="DB63"/>
  <c r="BZ60"/>
  <c r="DH63"/>
  <c r="U61"/>
  <c r="P63"/>
  <c r="DG64"/>
  <c r="R62"/>
  <c r="BC62"/>
  <c r="CZ64"/>
  <c r="S62"/>
  <c r="BF62"/>
  <c r="BG61"/>
  <c r="BH61" s="1"/>
  <c r="AA61" i="10"/>
  <c r="AB61" s="1"/>
  <c r="AC61" s="1"/>
  <c r="W64"/>
  <c r="X63"/>
  <c r="Y62"/>
  <c r="Z62" s="1"/>
  <c r="F64" i="15" l="1"/>
  <c r="N58" i="16"/>
  <c r="R65" i="15"/>
  <c r="N59" i="17"/>
  <c r="O59" s="1"/>
  <c r="S64" i="15"/>
  <c r="Y64"/>
  <c r="BJ68" i="17"/>
  <c r="F62"/>
  <c r="B63"/>
  <c r="AF62" i="14"/>
  <c r="K67" i="15"/>
  <c r="AH61" i="14"/>
  <c r="AI61"/>
  <c r="AK60"/>
  <c r="AL60" s="1"/>
  <c r="AJ60"/>
  <c r="AM60" s="1"/>
  <c r="L66" i="15" s="1"/>
  <c r="AQ59" i="14"/>
  <c r="N65" i="15" s="1"/>
  <c r="AP59" i="14"/>
  <c r="M65" i="15"/>
  <c r="AA59" i="14"/>
  <c r="G65" i="15" s="1"/>
  <c r="E65"/>
  <c r="BF59" i="14"/>
  <c r="BG59" s="1"/>
  <c r="BH59"/>
  <c r="P63"/>
  <c r="D69" i="15" s="1"/>
  <c r="R62" i="14"/>
  <c r="T62"/>
  <c r="Y60"/>
  <c r="BA61"/>
  <c r="BB61"/>
  <c r="BC61" s="1"/>
  <c r="BJ58"/>
  <c r="BK58" s="1"/>
  <c r="BI58"/>
  <c r="AW63"/>
  <c r="AY62"/>
  <c r="AZ62"/>
  <c r="AS59"/>
  <c r="AT59" s="1"/>
  <c r="AR59"/>
  <c r="BD60"/>
  <c r="U61"/>
  <c r="W61"/>
  <c r="X61" s="1"/>
  <c r="BE59"/>
  <c r="Z59"/>
  <c r="AM62" i="12"/>
  <c r="AP62" s="1"/>
  <c r="AI63"/>
  <c r="AL63" s="1"/>
  <c r="AJ63"/>
  <c r="AK63" s="1"/>
  <c r="L68" i="13"/>
  <c r="AN62" i="12"/>
  <c r="AG64"/>
  <c r="K70" i="13"/>
  <c r="AH64" i="12"/>
  <c r="AJ61"/>
  <c r="AK61" s="1"/>
  <c r="AL60"/>
  <c r="L66" i="13" s="1"/>
  <c r="AA58" i="12"/>
  <c r="AB58" s="1"/>
  <c r="G64" i="13"/>
  <c r="Z58" i="12"/>
  <c r="AA59"/>
  <c r="AB59" s="1"/>
  <c r="G65" i="13"/>
  <c r="AI61" i="12"/>
  <c r="AL61" s="1"/>
  <c r="L67" i="13" s="1"/>
  <c r="AO59" i="12"/>
  <c r="AR59"/>
  <c r="AS59" s="1"/>
  <c r="W60"/>
  <c r="AQ59"/>
  <c r="T61"/>
  <c r="W61" s="1"/>
  <c r="U61"/>
  <c r="V61" s="1"/>
  <c r="P63"/>
  <c r="D69" i="13" s="1"/>
  <c r="R62" i="12"/>
  <c r="S62"/>
  <c r="T62" i="11"/>
  <c r="W62" s="1"/>
  <c r="BJ61"/>
  <c r="BD62"/>
  <c r="BI62" s="1"/>
  <c r="BZ61"/>
  <c r="BS61"/>
  <c r="BQ61"/>
  <c r="BR61" s="1"/>
  <c r="V61"/>
  <c r="X61" s="1"/>
  <c r="BM63"/>
  <c r="BW62"/>
  <c r="BO62"/>
  <c r="BP62"/>
  <c r="BY62"/>
  <c r="BT60"/>
  <c r="U62"/>
  <c r="P64"/>
  <c r="BC63"/>
  <c r="CZ65"/>
  <c r="R63"/>
  <c r="DG65"/>
  <c r="S63"/>
  <c r="BF63"/>
  <c r="BG62"/>
  <c r="BH62" s="1"/>
  <c r="DB64"/>
  <c r="DH64"/>
  <c r="AA62" i="10"/>
  <c r="AB62" s="1"/>
  <c r="AC62" s="1"/>
  <c r="Y63"/>
  <c r="Z63" s="1"/>
  <c r="W65"/>
  <c r="X64"/>
  <c r="R66" i="15" l="1"/>
  <c r="N60" i="17"/>
  <c r="O60" s="1"/>
  <c r="S65" i="15"/>
  <c r="Y65"/>
  <c r="F65"/>
  <c r="N59" i="16"/>
  <c r="AO60" i="14"/>
  <c r="AP60" s="1"/>
  <c r="AN60"/>
  <c r="AQ60" s="1"/>
  <c r="N66" i="15" s="1"/>
  <c r="BJ69" i="17"/>
  <c r="B64"/>
  <c r="F63"/>
  <c r="AF63" i="14"/>
  <c r="K68" i="15"/>
  <c r="AH62" i="14"/>
  <c r="AI62"/>
  <c r="AJ61"/>
  <c r="AM61" s="1"/>
  <c r="L67" i="15" s="1"/>
  <c r="AK61" i="14"/>
  <c r="AL61" s="1"/>
  <c r="AN61" s="1"/>
  <c r="AQ61" s="1"/>
  <c r="N67" i="15" s="1"/>
  <c r="AA60" i="14"/>
  <c r="G66" i="15" s="1"/>
  <c r="E66"/>
  <c r="Y61" i="14"/>
  <c r="BF60"/>
  <c r="BG60" s="1"/>
  <c r="BJ59"/>
  <c r="BK59" s="1"/>
  <c r="BI59"/>
  <c r="AS60"/>
  <c r="AT60" s="1"/>
  <c r="AR60"/>
  <c r="P64"/>
  <c r="D70" i="15" s="1"/>
  <c r="R63" i="14"/>
  <c r="T63"/>
  <c r="AW64"/>
  <c r="AY63"/>
  <c r="AZ63"/>
  <c r="BD61"/>
  <c r="U62"/>
  <c r="W62"/>
  <c r="X62" s="1"/>
  <c r="BA62"/>
  <c r="BB62"/>
  <c r="BC62" s="1"/>
  <c r="BE60"/>
  <c r="BH60" s="1"/>
  <c r="Z60"/>
  <c r="AJ64" i="12"/>
  <c r="AK64" s="1"/>
  <c r="AI64"/>
  <c r="AL64" s="1"/>
  <c r="N68" i="13"/>
  <c r="AR62" i="12"/>
  <c r="AS62" s="1"/>
  <c r="AO62"/>
  <c r="M68" i="13"/>
  <c r="K71"/>
  <c r="AG65" i="12"/>
  <c r="AH65"/>
  <c r="L69" i="13"/>
  <c r="AN63" i="12"/>
  <c r="AQ62"/>
  <c r="AM63"/>
  <c r="AP63" s="1"/>
  <c r="Y60"/>
  <c r="E66" i="13"/>
  <c r="F66" s="1"/>
  <c r="Y61" i="12"/>
  <c r="E67" i="13"/>
  <c r="F67" s="1"/>
  <c r="AN60" i="12"/>
  <c r="M66" i="13" s="1"/>
  <c r="AN61" i="12"/>
  <c r="M67" i="13" s="1"/>
  <c r="AM60" i="12"/>
  <c r="AP60" s="1"/>
  <c r="N66" i="13" s="1"/>
  <c r="X60" i="12"/>
  <c r="AM61"/>
  <c r="AP61" s="1"/>
  <c r="N67" i="13" s="1"/>
  <c r="Z61" i="12"/>
  <c r="X61"/>
  <c r="P64"/>
  <c r="D70" i="13" s="1"/>
  <c r="R63" i="12"/>
  <c r="S63"/>
  <c r="T62"/>
  <c r="U62"/>
  <c r="V62" s="1"/>
  <c r="BD63" i="11"/>
  <c r="BI63" s="1"/>
  <c r="DH65"/>
  <c r="BJ62"/>
  <c r="T63"/>
  <c r="W63" s="1"/>
  <c r="V62"/>
  <c r="X62" s="1"/>
  <c r="BM64"/>
  <c r="BW63"/>
  <c r="BO63"/>
  <c r="BP63"/>
  <c r="BY63"/>
  <c r="BS62"/>
  <c r="BQ62"/>
  <c r="BR62" s="1"/>
  <c r="BZ62"/>
  <c r="BT61"/>
  <c r="BG63"/>
  <c r="BH63" s="1"/>
  <c r="DB65"/>
  <c r="P65"/>
  <c r="BC64"/>
  <c r="CZ66"/>
  <c r="DG66"/>
  <c r="R64"/>
  <c r="S64"/>
  <c r="BF64"/>
  <c r="U63"/>
  <c r="AA63" i="10"/>
  <c r="AB63" s="1"/>
  <c r="AC63" s="1"/>
  <c r="W66"/>
  <c r="X65"/>
  <c r="Y64"/>
  <c r="Z64" s="1"/>
  <c r="M66" i="15" l="1"/>
  <c r="F66"/>
  <c r="N60" i="16"/>
  <c r="S66" i="15"/>
  <c r="Y66"/>
  <c r="R67"/>
  <c r="N61" i="17"/>
  <c r="O61" s="1"/>
  <c r="BJ70"/>
  <c r="F64"/>
  <c r="B65"/>
  <c r="AF64" i="14"/>
  <c r="K69" i="15"/>
  <c r="AH63" i="14"/>
  <c r="AI63"/>
  <c r="AK62"/>
  <c r="AL62" s="1"/>
  <c r="AJ62"/>
  <c r="AM62" s="1"/>
  <c r="AO62" s="1"/>
  <c r="AO61"/>
  <c r="AP61" s="1"/>
  <c r="AA61"/>
  <c r="G67" i="15" s="1"/>
  <c r="E67"/>
  <c r="AS61" i="14"/>
  <c r="AT61" s="1"/>
  <c r="AR61"/>
  <c r="BJ60"/>
  <c r="BK60" s="1"/>
  <c r="BI60"/>
  <c r="BD62"/>
  <c r="Y62"/>
  <c r="Z62" s="1"/>
  <c r="BA63"/>
  <c r="BB63"/>
  <c r="BC63" s="1"/>
  <c r="BF61"/>
  <c r="BG61" s="1"/>
  <c r="R64"/>
  <c r="P65"/>
  <c r="D71" i="15" s="1"/>
  <c r="T64" i="14"/>
  <c r="AY64"/>
  <c r="AW65"/>
  <c r="AZ64"/>
  <c r="U63"/>
  <c r="W63"/>
  <c r="X63" s="1"/>
  <c r="Z61"/>
  <c r="BE61"/>
  <c r="BH61" s="1"/>
  <c r="AJ65" i="12"/>
  <c r="AK65" s="1"/>
  <c r="AO63"/>
  <c r="M69" i="13"/>
  <c r="AM64" i="12"/>
  <c r="AP64" s="1"/>
  <c r="AQ64" s="1"/>
  <c r="N69" i="13"/>
  <c r="AR63" i="12"/>
  <c r="AS63" s="1"/>
  <c r="L70" i="13"/>
  <c r="AN64" i="12"/>
  <c r="AH66"/>
  <c r="AG66"/>
  <c r="K72" i="13"/>
  <c r="AI65" i="12"/>
  <c r="AL65" s="1"/>
  <c r="AQ63"/>
  <c r="AR60"/>
  <c r="AS60" s="1"/>
  <c r="AQ60"/>
  <c r="AR61"/>
  <c r="AS61" s="1"/>
  <c r="AQ61"/>
  <c r="AO60"/>
  <c r="W62"/>
  <c r="X62" s="1"/>
  <c r="G67" i="13"/>
  <c r="AA61" i="12"/>
  <c r="AB61" s="1"/>
  <c r="AO61"/>
  <c r="AA60"/>
  <c r="AB60" s="1"/>
  <c r="G66" i="13"/>
  <c r="Z60" i="12"/>
  <c r="T63"/>
  <c r="W63" s="1"/>
  <c r="U63"/>
  <c r="V63" s="1"/>
  <c r="R64"/>
  <c r="P65"/>
  <c r="D71" i="13" s="1"/>
  <c r="S64" i="12"/>
  <c r="BD64" i="11"/>
  <c r="BI64" s="1"/>
  <c r="BT62"/>
  <c r="T64"/>
  <c r="W64" s="1"/>
  <c r="BJ63"/>
  <c r="BS63"/>
  <c r="BQ63"/>
  <c r="BR63" s="1"/>
  <c r="BM65"/>
  <c r="BW64"/>
  <c r="BO64"/>
  <c r="BP64"/>
  <c r="BY64"/>
  <c r="V63"/>
  <c r="X63" s="1"/>
  <c r="BZ63"/>
  <c r="DB66"/>
  <c r="DH66"/>
  <c r="P66"/>
  <c r="CZ67"/>
  <c r="DG67"/>
  <c r="R65"/>
  <c r="S65"/>
  <c r="BC65"/>
  <c r="BF65"/>
  <c r="U64"/>
  <c r="BG64"/>
  <c r="BH64" s="1"/>
  <c r="AA64" i="10"/>
  <c r="AB64" s="1"/>
  <c r="AC64" s="1"/>
  <c r="W67"/>
  <c r="X66"/>
  <c r="Y65"/>
  <c r="Z65" s="1"/>
  <c r="M67" i="15" l="1"/>
  <c r="S67"/>
  <c r="Y67"/>
  <c r="F67"/>
  <c r="N61" i="16"/>
  <c r="L68" i="15"/>
  <c r="AN62" i="14"/>
  <c r="AQ62" s="1"/>
  <c r="BJ71" i="17"/>
  <c r="B66"/>
  <c r="F65"/>
  <c r="AF65" i="14"/>
  <c r="K70" i="15"/>
  <c r="AI64" i="14"/>
  <c r="AH64"/>
  <c r="AK63"/>
  <c r="AL63" s="1"/>
  <c r="AN63" s="1"/>
  <c r="AQ63" s="1"/>
  <c r="N69" i="15" s="1"/>
  <c r="AJ63" i="14"/>
  <c r="AM63" s="1"/>
  <c r="L69" i="15" s="1"/>
  <c r="AP62" i="14"/>
  <c r="M68" i="15"/>
  <c r="AA62" i="14"/>
  <c r="G68" i="15" s="1"/>
  <c r="E68"/>
  <c r="BA64" i="14"/>
  <c r="BB64"/>
  <c r="BC64" s="1"/>
  <c r="U64"/>
  <c r="W64"/>
  <c r="X64" s="1"/>
  <c r="BJ61"/>
  <c r="BK61" s="1"/>
  <c r="BI61"/>
  <c r="BD63"/>
  <c r="BE63" s="1"/>
  <c r="BF62"/>
  <c r="BG62" s="1"/>
  <c r="AY65"/>
  <c r="AW66"/>
  <c r="AZ65"/>
  <c r="P66"/>
  <c r="D72" i="15" s="1"/>
  <c r="R65" i="14"/>
  <c r="T65"/>
  <c r="AO63"/>
  <c r="Y63"/>
  <c r="BE62"/>
  <c r="BH62" s="1"/>
  <c r="AM65" i="12"/>
  <c r="AP65" s="1"/>
  <c r="AR65" s="1"/>
  <c r="AS65" s="1"/>
  <c r="AJ66"/>
  <c r="AK66" s="1"/>
  <c r="AI66"/>
  <c r="AL66" s="1"/>
  <c r="AO64"/>
  <c r="M70" i="13"/>
  <c r="L71"/>
  <c r="AN65" i="12"/>
  <c r="AG67"/>
  <c r="K73" i="13"/>
  <c r="AH67" i="12"/>
  <c r="AQ65"/>
  <c r="AR64"/>
  <c r="AS64" s="1"/>
  <c r="N70" i="13"/>
  <c r="Y63" i="12"/>
  <c r="E69" i="13"/>
  <c r="F69" s="1"/>
  <c r="Y62" i="12"/>
  <c r="E68" i="13"/>
  <c r="F68" s="1"/>
  <c r="R65" i="12"/>
  <c r="P66"/>
  <c r="D72" i="13" s="1"/>
  <c r="S65" i="12"/>
  <c r="T64"/>
  <c r="U64"/>
  <c r="V64" s="1"/>
  <c r="X63"/>
  <c r="BJ64" i="11"/>
  <c r="T65"/>
  <c r="W65" s="1"/>
  <c r="BD65"/>
  <c r="BI65" s="1"/>
  <c r="BM66"/>
  <c r="BW65"/>
  <c r="BO65"/>
  <c r="BP65"/>
  <c r="BY65"/>
  <c r="BS64"/>
  <c r="BQ64"/>
  <c r="BR64" s="1"/>
  <c r="V64"/>
  <c r="X64" s="1"/>
  <c r="BT63"/>
  <c r="BZ64"/>
  <c r="P67"/>
  <c r="DG68"/>
  <c r="R66"/>
  <c r="CZ68"/>
  <c r="BC66"/>
  <c r="S66"/>
  <c r="BF66"/>
  <c r="DB67"/>
  <c r="DH67"/>
  <c r="BG65"/>
  <c r="BH65" s="1"/>
  <c r="BJ65" s="1"/>
  <c r="U65"/>
  <c r="AA65" i="10"/>
  <c r="AB65" s="1"/>
  <c r="AC65" s="1"/>
  <c r="W68"/>
  <c r="X67"/>
  <c r="Y66"/>
  <c r="Z66" s="1"/>
  <c r="R68" i="15" l="1"/>
  <c r="N62" i="17"/>
  <c r="O62" s="1"/>
  <c r="F68" i="15"/>
  <c r="N62" i="16"/>
  <c r="R69" i="15"/>
  <c r="N63" i="17"/>
  <c r="O63" s="1"/>
  <c r="N68" i="15"/>
  <c r="AR62" i="14"/>
  <c r="BJ72" i="17"/>
  <c r="F66"/>
  <c r="B67"/>
  <c r="AK64" i="14"/>
  <c r="AL64" s="1"/>
  <c r="AJ64"/>
  <c r="AM64" s="1"/>
  <c r="AO64" s="1"/>
  <c r="AF66"/>
  <c r="K71" i="15"/>
  <c r="AI65" i="14"/>
  <c r="AH65"/>
  <c r="AS62"/>
  <c r="AT62" s="1"/>
  <c r="AA63"/>
  <c r="G69" i="15" s="1"/>
  <c r="E69"/>
  <c r="AP63" i="14"/>
  <c r="M69" i="15"/>
  <c r="BJ62" i="14"/>
  <c r="BK62" s="1"/>
  <c r="BI62"/>
  <c r="Y64"/>
  <c r="Z64" s="1"/>
  <c r="AS63"/>
  <c r="AT63" s="1"/>
  <c r="AR63"/>
  <c r="R66"/>
  <c r="P67"/>
  <c r="D73" i="15" s="1"/>
  <c r="T66" i="14"/>
  <c r="U65"/>
  <c r="W65"/>
  <c r="X65" s="1"/>
  <c r="BA65"/>
  <c r="BB65"/>
  <c r="BC65" s="1"/>
  <c r="BF63"/>
  <c r="BG63" s="1"/>
  <c r="BH63"/>
  <c r="BD64"/>
  <c r="AY66"/>
  <c r="AW67"/>
  <c r="AZ66"/>
  <c r="BE64"/>
  <c r="Z63"/>
  <c r="N71" i="13"/>
  <c r="AI67" i="12"/>
  <c r="AL67" s="1"/>
  <c r="AJ67"/>
  <c r="AK67" s="1"/>
  <c r="L72" i="13"/>
  <c r="AN66" i="12"/>
  <c r="AO65"/>
  <c r="M71" i="13"/>
  <c r="AH68" i="12"/>
  <c r="K74" i="13"/>
  <c r="AG68" i="12"/>
  <c r="AM66"/>
  <c r="AP66" s="1"/>
  <c r="AA62"/>
  <c r="AB62" s="1"/>
  <c r="G68" i="13"/>
  <c r="Z62" i="12"/>
  <c r="W64"/>
  <c r="Z63"/>
  <c r="AA63"/>
  <c r="AB63" s="1"/>
  <c r="G69" i="13"/>
  <c r="T65" i="12"/>
  <c r="W65" s="1"/>
  <c r="U65"/>
  <c r="V65" s="1"/>
  <c r="P67"/>
  <c r="D73" i="13" s="1"/>
  <c r="R66" i="12"/>
  <c r="S66"/>
  <c r="BD66" i="11"/>
  <c r="BI66" s="1"/>
  <c r="T66"/>
  <c r="W66" s="1"/>
  <c r="BS65"/>
  <c r="BQ65"/>
  <c r="BR65" s="1"/>
  <c r="BT64"/>
  <c r="BM67"/>
  <c r="BW66"/>
  <c r="BO66"/>
  <c r="BP66"/>
  <c r="BY66"/>
  <c r="V65"/>
  <c r="X65" s="1"/>
  <c r="BZ65"/>
  <c r="BG66"/>
  <c r="BH66" s="1"/>
  <c r="P68"/>
  <c r="CZ69"/>
  <c r="BC67"/>
  <c r="DG69"/>
  <c r="R67"/>
  <c r="S67"/>
  <c r="BF67"/>
  <c r="DH68"/>
  <c r="U66"/>
  <c r="DB68"/>
  <c r="AA66" i="10"/>
  <c r="AB66" s="1"/>
  <c r="AC66" s="1"/>
  <c r="Y67"/>
  <c r="Z67" s="1"/>
  <c r="W69"/>
  <c r="X68"/>
  <c r="S68" i="15" l="1"/>
  <c r="Y68"/>
  <c r="S69"/>
  <c r="Y69"/>
  <c r="F69"/>
  <c r="N63" i="16"/>
  <c r="L70" i="15"/>
  <c r="AN64" i="14"/>
  <c r="AQ64" s="1"/>
  <c r="N70" i="15" s="1"/>
  <c r="BJ73" i="17"/>
  <c r="B68"/>
  <c r="F67"/>
  <c r="AF67" i="14"/>
  <c r="K72" i="15"/>
  <c r="AI66" i="14"/>
  <c r="AH66"/>
  <c r="AK65"/>
  <c r="AL65" s="1"/>
  <c r="AN65" s="1"/>
  <c r="AQ65" s="1"/>
  <c r="N71" i="15" s="1"/>
  <c r="AJ65" i="14"/>
  <c r="AM65" s="1"/>
  <c r="L71" i="15" s="1"/>
  <c r="AP64" i="14"/>
  <c r="M70" i="15"/>
  <c r="AA64" i="14"/>
  <c r="G70" i="15" s="1"/>
  <c r="E70"/>
  <c r="AW68" i="14"/>
  <c r="AY67"/>
  <c r="AZ67"/>
  <c r="Y65"/>
  <c r="BJ63"/>
  <c r="BK63" s="1"/>
  <c r="BI63"/>
  <c r="AO65"/>
  <c r="BD65"/>
  <c r="U66"/>
  <c r="W66"/>
  <c r="X66" s="1"/>
  <c r="BA66"/>
  <c r="BB66"/>
  <c r="BC66" s="1"/>
  <c r="BF64"/>
  <c r="BG64" s="1"/>
  <c r="BH64"/>
  <c r="BE65"/>
  <c r="P68"/>
  <c r="D74" i="15" s="1"/>
  <c r="R67" i="14"/>
  <c r="T67"/>
  <c r="N72" i="13"/>
  <c r="AR66" i="12"/>
  <c r="AS66" s="1"/>
  <c r="AQ66"/>
  <c r="AO66"/>
  <c r="M72" i="13"/>
  <c r="L73"/>
  <c r="AN67" i="12"/>
  <c r="AM67"/>
  <c r="AP67" s="1"/>
  <c r="AI68"/>
  <c r="AL68" s="1"/>
  <c r="AJ68"/>
  <c r="AK68" s="1"/>
  <c r="K75" i="13"/>
  <c r="AH69" i="12"/>
  <c r="AG69"/>
  <c r="Y65"/>
  <c r="E71" i="13"/>
  <c r="F71" s="1"/>
  <c r="Y64" i="12"/>
  <c r="E70" i="13"/>
  <c r="F70" s="1"/>
  <c r="X64" i="12"/>
  <c r="P68"/>
  <c r="D74" i="13" s="1"/>
  <c r="R67" i="12"/>
  <c r="S67"/>
  <c r="X65"/>
  <c r="T66"/>
  <c r="U66"/>
  <c r="V66" s="1"/>
  <c r="BD67" i="11"/>
  <c r="BI67" s="1"/>
  <c r="BJ66"/>
  <c r="BZ66"/>
  <c r="T67"/>
  <c r="W67" s="1"/>
  <c r="U67"/>
  <c r="BT65"/>
  <c r="V66"/>
  <c r="X66" s="1"/>
  <c r="BS66"/>
  <c r="BQ66"/>
  <c r="BR66" s="1"/>
  <c r="BM68"/>
  <c r="BW67"/>
  <c r="BO67"/>
  <c r="BP67"/>
  <c r="BY67"/>
  <c r="DB69"/>
  <c r="BG67"/>
  <c r="BH67" s="1"/>
  <c r="P69"/>
  <c r="BC68"/>
  <c r="DG70"/>
  <c r="CZ70"/>
  <c r="S68"/>
  <c r="R68"/>
  <c r="BF68"/>
  <c r="DH69"/>
  <c r="AA67" i="10"/>
  <c r="AB67" s="1"/>
  <c r="AC67" s="1"/>
  <c r="W70"/>
  <c r="X69"/>
  <c r="Y68"/>
  <c r="Z68" s="1"/>
  <c r="R71" i="15" l="1"/>
  <c r="N65" i="17"/>
  <c r="O65" s="1"/>
  <c r="R70" i="15"/>
  <c r="N64" i="17"/>
  <c r="O64" s="1"/>
  <c r="F70" i="15"/>
  <c r="N64" i="16"/>
  <c r="AS64" i="14"/>
  <c r="AT64" s="1"/>
  <c r="AR64"/>
  <c r="BJ74" i="17"/>
  <c r="F68"/>
  <c r="B69"/>
  <c r="AF68" i="14"/>
  <c r="K73" i="15"/>
  <c r="AI67" i="14"/>
  <c r="AH67"/>
  <c r="AJ66"/>
  <c r="AM66" s="1"/>
  <c r="L72" i="15" s="1"/>
  <c r="AK66" i="14"/>
  <c r="AL66" s="1"/>
  <c r="AP65"/>
  <c r="M71" i="15"/>
  <c r="AA65" i="14"/>
  <c r="G71" i="15" s="1"/>
  <c r="E71"/>
  <c r="Z65" i="14"/>
  <c r="AS65"/>
  <c r="AT65" s="1"/>
  <c r="AR65"/>
  <c r="BD66"/>
  <c r="AW69"/>
  <c r="AY68"/>
  <c r="AZ68"/>
  <c r="BE66"/>
  <c r="BA67"/>
  <c r="BB67"/>
  <c r="BC67" s="1"/>
  <c r="P69"/>
  <c r="D75" i="15" s="1"/>
  <c r="R68" i="14"/>
  <c r="T68"/>
  <c r="Y66"/>
  <c r="U67"/>
  <c r="W67"/>
  <c r="X67" s="1"/>
  <c r="BJ64"/>
  <c r="BK64" s="1"/>
  <c r="BI64"/>
  <c r="BH65"/>
  <c r="BF65"/>
  <c r="BG65" s="1"/>
  <c r="AJ69" i="12"/>
  <c r="AK69" s="1"/>
  <c r="N73" i="13"/>
  <c r="AR67" i="12"/>
  <c r="AS67" s="1"/>
  <c r="AQ67"/>
  <c r="AH70"/>
  <c r="K76" i="13"/>
  <c r="AG70" i="12"/>
  <c r="L74" i="13"/>
  <c r="AN68" i="12"/>
  <c r="M74" i="13" s="1"/>
  <c r="AO67" i="12"/>
  <c r="M73" i="13"/>
  <c r="AM68" i="12"/>
  <c r="AP68" s="1"/>
  <c r="AI69"/>
  <c r="AL69" s="1"/>
  <c r="W66"/>
  <c r="AA64"/>
  <c r="AB64" s="1"/>
  <c r="G70" i="13"/>
  <c r="Z64" i="12"/>
  <c r="Z65"/>
  <c r="AA65"/>
  <c r="AB65" s="1"/>
  <c r="G71" i="13"/>
  <c r="R68" i="12"/>
  <c r="P69"/>
  <c r="D75" i="13" s="1"/>
  <c r="S68" i="12"/>
  <c r="T67"/>
  <c r="W67" s="1"/>
  <c r="U67"/>
  <c r="V67" s="1"/>
  <c r="X66"/>
  <c r="T68" i="11"/>
  <c r="W68" s="1"/>
  <c r="BD68"/>
  <c r="BI68" s="1"/>
  <c r="DB70"/>
  <c r="BJ67"/>
  <c r="BZ67"/>
  <c r="V67"/>
  <c r="X67" s="1"/>
  <c r="BS67"/>
  <c r="BQ67"/>
  <c r="BR67" s="1"/>
  <c r="BT66"/>
  <c r="BM69"/>
  <c r="BW68"/>
  <c r="BO68"/>
  <c r="BP68"/>
  <c r="BY68"/>
  <c r="DH70"/>
  <c r="U68"/>
  <c r="P70"/>
  <c r="CZ71"/>
  <c r="DG71"/>
  <c r="R69"/>
  <c r="BC69"/>
  <c r="S69"/>
  <c r="BF69"/>
  <c r="BG68"/>
  <c r="BH68" s="1"/>
  <c r="AA68" i="10"/>
  <c r="AB68" s="1"/>
  <c r="AC68" s="1"/>
  <c r="W71"/>
  <c r="X70"/>
  <c r="Y69"/>
  <c r="Z69" s="1"/>
  <c r="F71" i="15" l="1"/>
  <c r="N65" i="16"/>
  <c r="S71" i="15"/>
  <c r="Y71"/>
  <c r="S70"/>
  <c r="Y70"/>
  <c r="R72"/>
  <c r="N66" i="17"/>
  <c r="O66" s="1"/>
  <c r="BJ75"/>
  <c r="F69"/>
  <c r="B70"/>
  <c r="AF69" i="14"/>
  <c r="K74" i="15"/>
  <c r="AI68" i="14"/>
  <c r="AH68"/>
  <c r="AO66"/>
  <c r="AP66" s="1"/>
  <c r="AN66"/>
  <c r="AK67"/>
  <c r="AL67" s="1"/>
  <c r="AJ67"/>
  <c r="AM67" s="1"/>
  <c r="L73" i="15" s="1"/>
  <c r="AQ66" i="14"/>
  <c r="N72" i="15" s="1"/>
  <c r="AA66" i="14"/>
  <c r="G72" i="15" s="1"/>
  <c r="E72"/>
  <c r="M72"/>
  <c r="Z66" i="14"/>
  <c r="R69"/>
  <c r="P70"/>
  <c r="D76" i="15" s="1"/>
  <c r="T69" i="14"/>
  <c r="Y67"/>
  <c r="U68"/>
  <c r="W68"/>
  <c r="X68" s="1"/>
  <c r="AS66"/>
  <c r="AT66" s="1"/>
  <c r="BD67"/>
  <c r="AY69"/>
  <c r="AW70"/>
  <c r="AZ69"/>
  <c r="BJ65"/>
  <c r="BK65" s="1"/>
  <c r="BI65"/>
  <c r="BA68"/>
  <c r="BB68"/>
  <c r="BC68" s="1"/>
  <c r="BH66"/>
  <c r="BF66"/>
  <c r="BG66" s="1"/>
  <c r="AO68" i="12"/>
  <c r="AR68"/>
  <c r="AS68" s="1"/>
  <c r="N74" i="13"/>
  <c r="AQ68" i="12"/>
  <c r="L75" i="13"/>
  <c r="AN69" i="12"/>
  <c r="AJ70"/>
  <c r="AK70" s="1"/>
  <c r="AI70"/>
  <c r="AL70" s="1"/>
  <c r="AH71"/>
  <c r="K77" i="13"/>
  <c r="AG71" i="12"/>
  <c r="AM69"/>
  <c r="AP69" s="1"/>
  <c r="Y67"/>
  <c r="E73" i="13"/>
  <c r="F73" s="1"/>
  <c r="Y66" i="12"/>
  <c r="E72" i="13"/>
  <c r="F72" s="1"/>
  <c r="Z67" i="12"/>
  <c r="T68"/>
  <c r="U68"/>
  <c r="V68" s="1"/>
  <c r="R69"/>
  <c r="P70"/>
  <c r="D76" i="13" s="1"/>
  <c r="S69" i="12"/>
  <c r="X67"/>
  <c r="BJ68" i="11"/>
  <c r="BD69"/>
  <c r="BI69" s="1"/>
  <c r="T69"/>
  <c r="W69" s="1"/>
  <c r="V68"/>
  <c r="X68" s="1"/>
  <c r="BZ68"/>
  <c r="BM70"/>
  <c r="BO69"/>
  <c r="BW69"/>
  <c r="BP69"/>
  <c r="BY69"/>
  <c r="BS68"/>
  <c r="BQ68"/>
  <c r="BR68" s="1"/>
  <c r="BT67"/>
  <c r="BG69"/>
  <c r="BH69" s="1"/>
  <c r="BJ69" s="1"/>
  <c r="DB71"/>
  <c r="DH71"/>
  <c r="P71"/>
  <c r="DG72"/>
  <c r="R70"/>
  <c r="CZ72"/>
  <c r="BC70"/>
  <c r="S70"/>
  <c r="BF70"/>
  <c r="U69"/>
  <c r="AA69" i="10"/>
  <c r="AB69" s="1"/>
  <c r="AC69" s="1"/>
  <c r="Y70"/>
  <c r="Z70" s="1"/>
  <c r="W72"/>
  <c r="X71"/>
  <c r="R73" i="15" l="1"/>
  <c r="N67" i="17"/>
  <c r="O67" s="1"/>
  <c r="S72" i="15"/>
  <c r="Y72"/>
  <c r="F72"/>
  <c r="N66" i="16"/>
  <c r="AN67" i="14"/>
  <c r="AQ67" s="1"/>
  <c r="N73" i="15" s="1"/>
  <c r="BJ76" i="17"/>
  <c r="F70"/>
  <c r="B71"/>
  <c r="AR66" i="14"/>
  <c r="AO67"/>
  <c r="AF70"/>
  <c r="K75" i="15"/>
  <c r="AH69" i="14"/>
  <c r="AI69"/>
  <c r="AK68"/>
  <c r="AL68" s="1"/>
  <c r="AJ68"/>
  <c r="AM68" s="1"/>
  <c r="AA67"/>
  <c r="G73" i="15" s="1"/>
  <c r="E73"/>
  <c r="L74"/>
  <c r="AP67" i="14"/>
  <c r="M73" i="15"/>
  <c r="BF67" i="14"/>
  <c r="BG67" s="1"/>
  <c r="BD68"/>
  <c r="BA69"/>
  <c r="BB69"/>
  <c r="BC69" s="1"/>
  <c r="Y68"/>
  <c r="U69"/>
  <c r="W69"/>
  <c r="X69" s="1"/>
  <c r="Z67"/>
  <c r="AS67"/>
  <c r="AT67" s="1"/>
  <c r="AR67"/>
  <c r="BJ66"/>
  <c r="BK66" s="1"/>
  <c r="BI66"/>
  <c r="AY70"/>
  <c r="AW71"/>
  <c r="AZ70"/>
  <c r="R70"/>
  <c r="P71"/>
  <c r="D77" i="15" s="1"/>
  <c r="T70" i="14"/>
  <c r="BE67"/>
  <c r="BH67" s="1"/>
  <c r="N75" i="13"/>
  <c r="AR69" i="12"/>
  <c r="AS69" s="1"/>
  <c r="AQ69"/>
  <c r="AM70"/>
  <c r="AP70" s="1"/>
  <c r="AQ70" s="1"/>
  <c r="K78" i="13"/>
  <c r="AH72" i="12"/>
  <c r="AG72"/>
  <c r="AO69"/>
  <c r="M75" i="13"/>
  <c r="AI71" i="12"/>
  <c r="AL71" s="1"/>
  <c r="AJ71"/>
  <c r="AK71" s="1"/>
  <c r="L76" i="13"/>
  <c r="AN70" i="12"/>
  <c r="W68"/>
  <c r="G72" i="13"/>
  <c r="AA66" i="12"/>
  <c r="AB66" s="1"/>
  <c r="Z66"/>
  <c r="AA67"/>
  <c r="AB67" s="1"/>
  <c r="G73" i="13"/>
  <c r="U69" i="12"/>
  <c r="V69" s="1"/>
  <c r="T69"/>
  <c r="W69" s="1"/>
  <c r="P71"/>
  <c r="D77" i="13" s="1"/>
  <c r="R70" i="12"/>
  <c r="S70"/>
  <c r="DB72" i="11"/>
  <c r="BZ69"/>
  <c r="BD70"/>
  <c r="BI70" s="1"/>
  <c r="T70"/>
  <c r="W70" s="1"/>
  <c r="V69"/>
  <c r="X69" s="1"/>
  <c r="U70"/>
  <c r="BS69"/>
  <c r="BQ69"/>
  <c r="BR69" s="1"/>
  <c r="BM71"/>
  <c r="BW70"/>
  <c r="BO70"/>
  <c r="BP70"/>
  <c r="BY70"/>
  <c r="BT68"/>
  <c r="P72"/>
  <c r="BC71"/>
  <c r="CZ73"/>
  <c r="R71"/>
  <c r="DG73"/>
  <c r="S71"/>
  <c r="BF71"/>
  <c r="BG70"/>
  <c r="BH70" s="1"/>
  <c r="DH72"/>
  <c r="AA70" i="10"/>
  <c r="AB70" s="1"/>
  <c r="AC70" s="1"/>
  <c r="W73"/>
  <c r="X72"/>
  <c r="Y71"/>
  <c r="Z71" s="1"/>
  <c r="R74" i="15" l="1"/>
  <c r="N68" i="17"/>
  <c r="O68" s="1"/>
  <c r="S73" i="15"/>
  <c r="Y73"/>
  <c r="F73"/>
  <c r="N67" i="16"/>
  <c r="AN68" i="14"/>
  <c r="AQ68" s="1"/>
  <c r="N74" i="15" s="1"/>
  <c r="AO68" i="14"/>
  <c r="BJ77" i="17"/>
  <c r="B72"/>
  <c r="F71"/>
  <c r="AF71" i="14"/>
  <c r="K76" i="15"/>
  <c r="AH70" i="14"/>
  <c r="AI70"/>
  <c r="AJ69"/>
  <c r="AM69" s="1"/>
  <c r="L75" i="15" s="1"/>
  <c r="AK69" i="14"/>
  <c r="AL69" s="1"/>
  <c r="AN69" s="1"/>
  <c r="AP68"/>
  <c r="M74" i="15"/>
  <c r="AA68" i="14"/>
  <c r="G74" i="15" s="1"/>
  <c r="E74"/>
  <c r="Z68" i="14"/>
  <c r="P72"/>
  <c r="D78" i="15" s="1"/>
  <c r="R71" i="14"/>
  <c r="T71"/>
  <c r="BF68"/>
  <c r="BG68" s="1"/>
  <c r="BA70"/>
  <c r="BB70"/>
  <c r="BC70" s="1"/>
  <c r="Y69"/>
  <c r="BJ67"/>
  <c r="BK67" s="1"/>
  <c r="BI67"/>
  <c r="BD69"/>
  <c r="BE69" s="1"/>
  <c r="U70"/>
  <c r="W70"/>
  <c r="X70" s="1"/>
  <c r="AW72"/>
  <c r="AY71"/>
  <c r="AZ71"/>
  <c r="AS68"/>
  <c r="AT68" s="1"/>
  <c r="AO69"/>
  <c r="BE68"/>
  <c r="BH68" s="1"/>
  <c r="AI72" i="12"/>
  <c r="AJ72"/>
  <c r="AK72" s="1"/>
  <c r="K79" i="13"/>
  <c r="AG73" i="12"/>
  <c r="AH73"/>
  <c r="AO70"/>
  <c r="M76" i="13"/>
  <c r="AM71" i="12"/>
  <c r="AP71" s="1"/>
  <c r="N76" i="13"/>
  <c r="AR70" i="12"/>
  <c r="AS70" s="1"/>
  <c r="L77" i="13"/>
  <c r="AN71" i="12"/>
  <c r="Y68"/>
  <c r="E74" i="13"/>
  <c r="F74" s="1"/>
  <c r="Y69" i="12"/>
  <c r="E75" i="13"/>
  <c r="F75" s="1"/>
  <c r="X68" i="12"/>
  <c r="Z69"/>
  <c r="X69"/>
  <c r="T70"/>
  <c r="U70"/>
  <c r="V70" s="1"/>
  <c r="P72"/>
  <c r="D78" i="13" s="1"/>
  <c r="R71" i="12"/>
  <c r="S71"/>
  <c r="BJ70" i="11"/>
  <c r="BD71"/>
  <c r="BI71" s="1"/>
  <c r="T71"/>
  <c r="W71" s="1"/>
  <c r="BG71"/>
  <c r="BH71" s="1"/>
  <c r="DH73"/>
  <c r="BM72"/>
  <c r="BW71"/>
  <c r="BO71"/>
  <c r="BP71"/>
  <c r="BY71"/>
  <c r="V70"/>
  <c r="X70" s="1"/>
  <c r="BS70"/>
  <c r="BQ70"/>
  <c r="BR70" s="1"/>
  <c r="BT69"/>
  <c r="BZ70"/>
  <c r="P73"/>
  <c r="BC72"/>
  <c r="CZ74"/>
  <c r="DG74"/>
  <c r="S72"/>
  <c r="R72"/>
  <c r="BF72"/>
  <c r="DB73"/>
  <c r="U71"/>
  <c r="AA71" i="10"/>
  <c r="AB71" s="1"/>
  <c r="AC71" s="1"/>
  <c r="W74"/>
  <c r="X73"/>
  <c r="Y72"/>
  <c r="Z72" s="1"/>
  <c r="F74" i="15" l="1"/>
  <c r="N68" i="16"/>
  <c r="S74" i="15"/>
  <c r="Y74"/>
  <c r="R75"/>
  <c r="N69" i="17"/>
  <c r="O69" s="1"/>
  <c r="AR68" i="14"/>
  <c r="F72" i="17"/>
  <c r="B73"/>
  <c r="AF72" i="14"/>
  <c r="K77" i="15"/>
  <c r="AI71" i="14"/>
  <c r="AH71"/>
  <c r="AK70"/>
  <c r="AL70" s="1"/>
  <c r="AJ70"/>
  <c r="AM70" s="1"/>
  <c r="L76" i="15" s="1"/>
  <c r="AQ69" i="14"/>
  <c r="N75" i="15" s="1"/>
  <c r="AP69" i="14"/>
  <c r="M75" i="15"/>
  <c r="AA69" i="14"/>
  <c r="G75" i="15" s="1"/>
  <c r="E75"/>
  <c r="BJ68" i="14"/>
  <c r="BK68" s="1"/>
  <c r="BI68"/>
  <c r="BA71"/>
  <c r="BB71"/>
  <c r="BC71" s="1"/>
  <c r="BD70"/>
  <c r="BE70" s="1"/>
  <c r="P73"/>
  <c r="D79" i="15" s="1"/>
  <c r="R72" i="14"/>
  <c r="T72"/>
  <c r="Y70"/>
  <c r="U71"/>
  <c r="W71"/>
  <c r="X71" s="1"/>
  <c r="Z69"/>
  <c r="BF69"/>
  <c r="BG69" s="1"/>
  <c r="BH69"/>
  <c r="AW73"/>
  <c r="AY72"/>
  <c r="AZ72"/>
  <c r="AJ73" i="12"/>
  <c r="AK73" s="1"/>
  <c r="N77" i="13"/>
  <c r="AR71" i="12"/>
  <c r="AS71" s="1"/>
  <c r="AL72"/>
  <c r="AO71"/>
  <c r="M77" i="13"/>
  <c r="AG74" i="12"/>
  <c r="AH74"/>
  <c r="K80" i="13"/>
  <c r="AQ71" i="12"/>
  <c r="AI73"/>
  <c r="AL73" s="1"/>
  <c r="G75" i="13"/>
  <c r="AA69" i="12"/>
  <c r="AB69" s="1"/>
  <c r="AA68"/>
  <c r="AB68" s="1"/>
  <c r="G74" i="13"/>
  <c r="Z68" i="12"/>
  <c r="W70"/>
  <c r="X70" s="1"/>
  <c r="R72"/>
  <c r="P73"/>
  <c r="D79" i="13" s="1"/>
  <c r="S72" i="12"/>
  <c r="T71"/>
  <c r="W71" s="1"/>
  <c r="U71"/>
  <c r="V71" s="1"/>
  <c r="BD72" i="11"/>
  <c r="BI72" s="1"/>
  <c r="BJ71"/>
  <c r="T72"/>
  <c r="W72" s="1"/>
  <c r="BT70"/>
  <c r="BM73"/>
  <c r="BW72"/>
  <c r="BO72"/>
  <c r="BP72"/>
  <c r="BY72"/>
  <c r="BS71"/>
  <c r="BQ71"/>
  <c r="BR71" s="1"/>
  <c r="V71"/>
  <c r="X71" s="1"/>
  <c r="BZ71"/>
  <c r="P74"/>
  <c r="CZ75"/>
  <c r="DG75"/>
  <c r="R73"/>
  <c r="BC73"/>
  <c r="S73"/>
  <c r="BF73"/>
  <c r="BG72"/>
  <c r="BH72" s="1"/>
  <c r="BJ72" s="1"/>
  <c r="DB74"/>
  <c r="U72"/>
  <c r="DH74"/>
  <c r="AA72" i="10"/>
  <c r="AB72" s="1"/>
  <c r="AC72" s="1"/>
  <c r="W75"/>
  <c r="X74"/>
  <c r="Y73"/>
  <c r="Z73" s="1"/>
  <c r="R76" i="15" l="1"/>
  <c r="N70" i="17"/>
  <c r="O70" s="1"/>
  <c r="S75" i="15"/>
  <c r="Y75"/>
  <c r="F75"/>
  <c r="N69" i="16"/>
  <c r="AS69" i="14"/>
  <c r="AT69" s="1"/>
  <c r="AR69"/>
  <c r="AN70"/>
  <c r="F73" i="17"/>
  <c r="B74"/>
  <c r="AF73" i="14"/>
  <c r="K78" i="15"/>
  <c r="AH72" i="14"/>
  <c r="AI72"/>
  <c r="AO70"/>
  <c r="M76" i="15" s="1"/>
  <c r="AK71" i="14"/>
  <c r="AL71" s="1"/>
  <c r="AN71" s="1"/>
  <c r="AQ71" s="1"/>
  <c r="N77" i="15" s="1"/>
  <c r="AJ71" i="14"/>
  <c r="AM71" s="1"/>
  <c r="L77" i="15" s="1"/>
  <c r="AQ70" i="14"/>
  <c r="N76" i="15" s="1"/>
  <c r="AA70" i="14"/>
  <c r="G76" i="15" s="1"/>
  <c r="E76"/>
  <c r="AO71" i="14"/>
  <c r="R73"/>
  <c r="P74"/>
  <c r="D80" i="15" s="1"/>
  <c r="T73" i="14"/>
  <c r="AR70"/>
  <c r="AY73"/>
  <c r="AW74"/>
  <c r="AZ73"/>
  <c r="BJ69"/>
  <c r="BK69" s="1"/>
  <c r="BI69"/>
  <c r="Y71"/>
  <c r="U72"/>
  <c r="W72"/>
  <c r="X72" s="1"/>
  <c r="Z70"/>
  <c r="BD71"/>
  <c r="BA72"/>
  <c r="BB72"/>
  <c r="BC72" s="1"/>
  <c r="BH70"/>
  <c r="BF70"/>
  <c r="BG70" s="1"/>
  <c r="AM73" i="12"/>
  <c r="AP73" s="1"/>
  <c r="N79" i="13"/>
  <c r="AR73" i="12"/>
  <c r="AS73" s="1"/>
  <c r="AJ74"/>
  <c r="AK74" s="1"/>
  <c r="AI74"/>
  <c r="AL74" s="1"/>
  <c r="L78" i="13"/>
  <c r="AN72" i="12"/>
  <c r="AQ73"/>
  <c r="L79" i="13"/>
  <c r="AN73" i="12"/>
  <c r="AH75"/>
  <c r="K81" i="13"/>
  <c r="AG75" i="12"/>
  <c r="AM72"/>
  <c r="AP72" s="1"/>
  <c r="Y70"/>
  <c r="E76" i="13"/>
  <c r="F76" s="1"/>
  <c r="Y71" i="12"/>
  <c r="E77" i="13"/>
  <c r="F77" s="1"/>
  <c r="T72" i="12"/>
  <c r="U72"/>
  <c r="V72" s="1"/>
  <c r="R73"/>
  <c r="P74"/>
  <c r="D80" i="13" s="1"/>
  <c r="S73" i="12"/>
  <c r="X71"/>
  <c r="BD73" i="11"/>
  <c r="BI73" s="1"/>
  <c r="T73"/>
  <c r="W73" s="1"/>
  <c r="V72"/>
  <c r="X72" s="1"/>
  <c r="BS72"/>
  <c r="BQ72"/>
  <c r="BR72" s="1"/>
  <c r="BT71"/>
  <c r="BM74"/>
  <c r="BW73"/>
  <c r="BO73"/>
  <c r="BP73"/>
  <c r="BY73"/>
  <c r="BZ72"/>
  <c r="BG73"/>
  <c r="BH73" s="1"/>
  <c r="DB75"/>
  <c r="DH75"/>
  <c r="P75"/>
  <c r="DG76"/>
  <c r="R74"/>
  <c r="BC74"/>
  <c r="CZ76"/>
  <c r="S74"/>
  <c r="BF74"/>
  <c r="U73"/>
  <c r="AA73" i="10"/>
  <c r="AB73" s="1"/>
  <c r="AC73" s="1"/>
  <c r="W76"/>
  <c r="X75"/>
  <c r="Y74"/>
  <c r="Z74" s="1"/>
  <c r="F76" i="15" l="1"/>
  <c r="N70" i="16"/>
  <c r="S76" i="15"/>
  <c r="Y76"/>
  <c r="R77"/>
  <c r="N71" i="17"/>
  <c r="O71" s="1"/>
  <c r="AS70" i="14"/>
  <c r="AT70" s="1"/>
  <c r="F74" i="17"/>
  <c r="B75"/>
  <c r="F75" s="1"/>
  <c r="AF74" i="14"/>
  <c r="K79" i="15"/>
  <c r="AI73" i="14"/>
  <c r="AH73"/>
  <c r="AJ72"/>
  <c r="AM72" s="1"/>
  <c r="L78" i="15" s="1"/>
  <c r="AK72" i="14"/>
  <c r="AL72" s="1"/>
  <c r="AP70"/>
  <c r="AP71"/>
  <c r="M77" i="15"/>
  <c r="AA71" i="14"/>
  <c r="G77" i="15" s="1"/>
  <c r="E77"/>
  <c r="AS71" i="14"/>
  <c r="AT71" s="1"/>
  <c r="AR71"/>
  <c r="BF71"/>
  <c r="BG71" s="1"/>
  <c r="BD72"/>
  <c r="BE72" s="1"/>
  <c r="Y72"/>
  <c r="Z72" s="1"/>
  <c r="U73"/>
  <c r="W73"/>
  <c r="X73" s="1"/>
  <c r="BE71"/>
  <c r="BH71" s="1"/>
  <c r="Z71"/>
  <c r="BJ70"/>
  <c r="BK70" s="1"/>
  <c r="BI70"/>
  <c r="AY74"/>
  <c r="AW75"/>
  <c r="AZ74"/>
  <c r="BA73"/>
  <c r="BB73"/>
  <c r="BC73" s="1"/>
  <c r="R74"/>
  <c r="P75"/>
  <c r="D81" i="15" s="1"/>
  <c r="T74" i="14"/>
  <c r="AR72" i="12"/>
  <c r="AS72" s="1"/>
  <c r="N78" i="13"/>
  <c r="AQ72" i="12"/>
  <c r="AI75"/>
  <c r="AL75" s="1"/>
  <c r="AJ75"/>
  <c r="AK75" s="1"/>
  <c r="AM74"/>
  <c r="AP74" s="1"/>
  <c r="AQ74" s="1"/>
  <c r="AO73"/>
  <c r="M79" i="13"/>
  <c r="M78"/>
  <c r="AO72" i="12"/>
  <c r="AH76"/>
  <c r="K82" i="13"/>
  <c r="AG76" i="12"/>
  <c r="L80" i="13"/>
  <c r="AN74" i="12"/>
  <c r="W72"/>
  <c r="X72" s="1"/>
  <c r="AA71"/>
  <c r="AB71" s="1"/>
  <c r="G77" i="13"/>
  <c r="AA70" i="12"/>
  <c r="AB70" s="1"/>
  <c r="G76" i="13"/>
  <c r="Z70" i="12"/>
  <c r="Z71"/>
  <c r="T73"/>
  <c r="W73" s="1"/>
  <c r="U73"/>
  <c r="V73" s="1"/>
  <c r="P75"/>
  <c r="D81" i="13" s="1"/>
  <c r="R74" i="12"/>
  <c r="S74"/>
  <c r="BJ73" i="11"/>
  <c r="BD74"/>
  <c r="BI74" s="1"/>
  <c r="T74"/>
  <c r="W74" s="1"/>
  <c r="BM75"/>
  <c r="BO74"/>
  <c r="BW74"/>
  <c r="BP74"/>
  <c r="BY74"/>
  <c r="V73"/>
  <c r="X73" s="1"/>
  <c r="BZ73"/>
  <c r="BS73"/>
  <c r="BQ73"/>
  <c r="BR73" s="1"/>
  <c r="BT72"/>
  <c r="U74"/>
  <c r="P76"/>
  <c r="BC75"/>
  <c r="CZ77"/>
  <c r="DG77"/>
  <c r="R75"/>
  <c r="S75"/>
  <c r="BF75"/>
  <c r="BG74"/>
  <c r="BH74" s="1"/>
  <c r="DB76"/>
  <c r="DH76"/>
  <c r="AA74" i="10"/>
  <c r="AB74" s="1"/>
  <c r="AC74" s="1"/>
  <c r="Y75"/>
  <c r="Z75" s="1"/>
  <c r="W77"/>
  <c r="X76"/>
  <c r="S77" i="15" l="1"/>
  <c r="Y77"/>
  <c r="R78"/>
  <c r="N72" i="17"/>
  <c r="O72" s="1"/>
  <c r="F77" i="15"/>
  <c r="N71" i="16"/>
  <c r="AF75" i="14"/>
  <c r="K80" i="15"/>
  <c r="AH74" i="14"/>
  <c r="AI74"/>
  <c r="AJ73"/>
  <c r="AM73" s="1"/>
  <c r="L79" i="15" s="1"/>
  <c r="AK73" i="14"/>
  <c r="AL73" s="1"/>
  <c r="AN72"/>
  <c r="AQ72" s="1"/>
  <c r="N78" i="15" s="1"/>
  <c r="AO72" i="14"/>
  <c r="M78" i="15" s="1"/>
  <c r="AA72" i="14"/>
  <c r="G78" i="15" s="1"/>
  <c r="E78"/>
  <c r="BJ71" i="14"/>
  <c r="BK71" s="1"/>
  <c r="BI71"/>
  <c r="BA74"/>
  <c r="BB74"/>
  <c r="BC74" s="1"/>
  <c r="BF72"/>
  <c r="BG72" s="1"/>
  <c r="BH72"/>
  <c r="AS72"/>
  <c r="AT72" s="1"/>
  <c r="P76"/>
  <c r="D82" i="15" s="1"/>
  <c r="R75" i="14"/>
  <c r="T75"/>
  <c r="BD73"/>
  <c r="BE73" s="1"/>
  <c r="U74"/>
  <c r="W74"/>
  <c r="X74" s="1"/>
  <c r="AW76"/>
  <c r="AY75"/>
  <c r="AZ75"/>
  <c r="Y73"/>
  <c r="Z73" s="1"/>
  <c r="AM75" i="12"/>
  <c r="AP75" s="1"/>
  <c r="AO74"/>
  <c r="M80" i="13"/>
  <c r="AJ76" i="12"/>
  <c r="AK76" s="1"/>
  <c r="AI76"/>
  <c r="AL76" s="1"/>
  <c r="N80" i="13"/>
  <c r="AR74" i="12"/>
  <c r="AS74" s="1"/>
  <c r="K83" i="13"/>
  <c r="AG77" i="12"/>
  <c r="AH77"/>
  <c r="L81" i="13"/>
  <c r="AN75" i="12"/>
  <c r="Y73"/>
  <c r="E79" i="13"/>
  <c r="F79" s="1"/>
  <c r="Y72" i="12"/>
  <c r="E78" i="13"/>
  <c r="F78" s="1"/>
  <c r="T74" i="12"/>
  <c r="U74"/>
  <c r="V74" s="1"/>
  <c r="P76"/>
  <c r="D82" i="13" s="1"/>
  <c r="R75" i="12"/>
  <c r="S75"/>
  <c r="X73"/>
  <c r="BJ74" i="11"/>
  <c r="BD75"/>
  <c r="BI75" s="1"/>
  <c r="T75"/>
  <c r="W75" s="1"/>
  <c r="BT73"/>
  <c r="BZ74"/>
  <c r="V74"/>
  <c r="X74" s="1"/>
  <c r="BM76"/>
  <c r="BW75"/>
  <c r="BO75"/>
  <c r="BP75"/>
  <c r="BY75"/>
  <c r="BS74"/>
  <c r="BQ74"/>
  <c r="BR74" s="1"/>
  <c r="BG75"/>
  <c r="BH75" s="1"/>
  <c r="P77"/>
  <c r="BC76"/>
  <c r="DG78"/>
  <c r="CZ78"/>
  <c r="S76"/>
  <c r="R76"/>
  <c r="BF76"/>
  <c r="DB77"/>
  <c r="U75"/>
  <c r="DH77"/>
  <c r="AA75" i="10"/>
  <c r="AB75" s="1"/>
  <c r="AC75" s="1"/>
  <c r="W78"/>
  <c r="X77"/>
  <c r="Y76"/>
  <c r="Z76" s="1"/>
  <c r="AP72" i="14" l="1"/>
  <c r="R79" i="15"/>
  <c r="N73" i="17"/>
  <c r="O73" s="1"/>
  <c r="S78" i="15"/>
  <c r="Y78"/>
  <c r="F78"/>
  <c r="N72" i="16"/>
  <c r="AR72" i="14"/>
  <c r="AF76"/>
  <c r="K81" i="15"/>
  <c r="AI75" i="14"/>
  <c r="AH75"/>
  <c r="AK74"/>
  <c r="AL74" s="1"/>
  <c r="AN74" s="1"/>
  <c r="AQ74" s="1"/>
  <c r="N80" i="15" s="1"/>
  <c r="AJ74" i="14"/>
  <c r="AM74" s="1"/>
  <c r="L80" i="15" s="1"/>
  <c r="AN73" i="14"/>
  <c r="AQ73" s="1"/>
  <c r="N79" i="15" s="1"/>
  <c r="AO73" i="14"/>
  <c r="M79" i="15" s="1"/>
  <c r="AA73" i="14"/>
  <c r="G79" i="15" s="1"/>
  <c r="E79"/>
  <c r="BJ72" i="14"/>
  <c r="BK72" s="1"/>
  <c r="BI72"/>
  <c r="AW77"/>
  <c r="AY76"/>
  <c r="AZ76"/>
  <c r="Y74"/>
  <c r="BF73"/>
  <c r="BG73" s="1"/>
  <c r="BH73"/>
  <c r="BD74"/>
  <c r="AO74"/>
  <c r="P77"/>
  <c r="D83" i="15" s="1"/>
  <c r="R76" i="14"/>
  <c r="T76"/>
  <c r="AR73"/>
  <c r="U75"/>
  <c r="W75"/>
  <c r="X75" s="1"/>
  <c r="BA75"/>
  <c r="BB75"/>
  <c r="BC75" s="1"/>
  <c r="AJ77" i="12"/>
  <c r="AK77" s="1"/>
  <c r="N81" i="13"/>
  <c r="AR75" i="12"/>
  <c r="AS75" s="1"/>
  <c r="AQ75"/>
  <c r="AM76"/>
  <c r="AP76" s="1"/>
  <c r="AO75"/>
  <c r="M81" i="13"/>
  <c r="AH78" i="12"/>
  <c r="K84" i="13"/>
  <c r="AG78" i="12"/>
  <c r="L82" i="13"/>
  <c r="AN76" i="12"/>
  <c r="M82" i="13" s="1"/>
  <c r="AI77" i="12"/>
  <c r="AL77" s="1"/>
  <c r="AM77" s="1"/>
  <c r="AA72"/>
  <c r="AB72" s="1"/>
  <c r="G78" i="13"/>
  <c r="Z72" i="12"/>
  <c r="W74"/>
  <c r="Z73"/>
  <c r="AA73"/>
  <c r="AB73" s="1"/>
  <c r="G79" i="13"/>
  <c r="X74" i="12"/>
  <c r="T75"/>
  <c r="W75" s="1"/>
  <c r="U75"/>
  <c r="V75" s="1"/>
  <c r="R76"/>
  <c r="P77"/>
  <c r="D83" i="13" s="1"/>
  <c r="S76" i="12"/>
  <c r="BJ75" i="11"/>
  <c r="BD76"/>
  <c r="BI76" s="1"/>
  <c r="T76"/>
  <c r="W76" s="1"/>
  <c r="BM77"/>
  <c r="BW76"/>
  <c r="BO76"/>
  <c r="BP76"/>
  <c r="BY76"/>
  <c r="BS75"/>
  <c r="BQ75"/>
  <c r="BR75" s="1"/>
  <c r="BZ75"/>
  <c r="BT74"/>
  <c r="V75"/>
  <c r="X75" s="1"/>
  <c r="P78"/>
  <c r="CZ79"/>
  <c r="DG79"/>
  <c r="R77"/>
  <c r="BC77"/>
  <c r="BD77" s="1"/>
  <c r="S77"/>
  <c r="BF77"/>
  <c r="U76"/>
  <c r="BG76"/>
  <c r="BH76" s="1"/>
  <c r="BJ76" s="1"/>
  <c r="DH78"/>
  <c r="DB78"/>
  <c r="AA76" i="10"/>
  <c r="AB76" s="1"/>
  <c r="AC76" s="1"/>
  <c r="W79"/>
  <c r="X78"/>
  <c r="Y77"/>
  <c r="Z77" s="1"/>
  <c r="F79" i="15" l="1"/>
  <c r="N73" i="16"/>
  <c r="R80" i="15"/>
  <c r="N74" i="17"/>
  <c r="O74" s="1"/>
  <c r="S79" i="15"/>
  <c r="Y79"/>
  <c r="AP73" i="14"/>
  <c r="AS73"/>
  <c r="AT73" s="1"/>
  <c r="AF77"/>
  <c r="K82" i="15"/>
  <c r="AI76" i="14"/>
  <c r="AH76"/>
  <c r="AK75"/>
  <c r="AL75" s="1"/>
  <c r="AJ75"/>
  <c r="AM75" s="1"/>
  <c r="L81" i="15" s="1"/>
  <c r="AP74" i="14"/>
  <c r="M80" i="15"/>
  <c r="AA74" i="14"/>
  <c r="G80" i="15" s="1"/>
  <c r="E80"/>
  <c r="Z74" i="14"/>
  <c r="AS74"/>
  <c r="AT74" s="1"/>
  <c r="AR74"/>
  <c r="BJ73"/>
  <c r="BK73" s="1"/>
  <c r="BI73"/>
  <c r="AY77"/>
  <c r="AW78"/>
  <c r="AZ77"/>
  <c r="R77"/>
  <c r="P78"/>
  <c r="D84" i="15" s="1"/>
  <c r="T77" i="14"/>
  <c r="BF74"/>
  <c r="BG74" s="1"/>
  <c r="BA76"/>
  <c r="BB76"/>
  <c r="BC76" s="1"/>
  <c r="Y75"/>
  <c r="U76"/>
  <c r="W76"/>
  <c r="X76" s="1"/>
  <c r="BD75"/>
  <c r="BE75" s="1"/>
  <c r="BE74"/>
  <c r="BH74" s="1"/>
  <c r="AR76" i="12"/>
  <c r="AS76" s="1"/>
  <c r="N82" i="13"/>
  <c r="AQ76" i="12"/>
  <c r="L83" i="13"/>
  <c r="AP77" i="12"/>
  <c r="AN77"/>
  <c r="AJ78"/>
  <c r="AK78" s="1"/>
  <c r="AI78"/>
  <c r="AL78" s="1"/>
  <c r="K85" i="13"/>
  <c r="AH79" i="12"/>
  <c r="AG79"/>
  <c r="AO76"/>
  <c r="Y75"/>
  <c r="E81" i="13"/>
  <c r="F81" s="1"/>
  <c r="Y74" i="12"/>
  <c r="E80" i="13"/>
  <c r="F80" s="1"/>
  <c r="T76" i="12"/>
  <c r="U76"/>
  <c r="V76" s="1"/>
  <c r="R77"/>
  <c r="P78"/>
  <c r="D84" i="13" s="1"/>
  <c r="S77" i="12"/>
  <c r="X75"/>
  <c r="BI77" i="11"/>
  <c r="T77"/>
  <c r="W77" s="1"/>
  <c r="BS76"/>
  <c r="BQ76"/>
  <c r="BR76" s="1"/>
  <c r="BT75"/>
  <c r="BM78"/>
  <c r="BO77"/>
  <c r="BW77"/>
  <c r="BP77"/>
  <c r="BY77"/>
  <c r="V76"/>
  <c r="X76" s="1"/>
  <c r="BZ76"/>
  <c r="DB79"/>
  <c r="P79"/>
  <c r="DG80"/>
  <c r="R78"/>
  <c r="CZ80"/>
  <c r="BC78"/>
  <c r="S78"/>
  <c r="BF78"/>
  <c r="BG77"/>
  <c r="BH77" s="1"/>
  <c r="BJ77" s="1"/>
  <c r="DH79"/>
  <c r="U77"/>
  <c r="AA77" i="10"/>
  <c r="AB77" s="1"/>
  <c r="AC77" s="1"/>
  <c r="W80"/>
  <c r="X79"/>
  <c r="Y78"/>
  <c r="Z78" s="1"/>
  <c r="S80" i="15" l="1"/>
  <c r="Y80"/>
  <c r="F80"/>
  <c r="N74" i="16"/>
  <c r="R81" i="15"/>
  <c r="N75" i="17"/>
  <c r="O75" s="1"/>
  <c r="AN75" i="14"/>
  <c r="AQ75" s="1"/>
  <c r="N81" i="15" s="1"/>
  <c r="AF78" i="14"/>
  <c r="K83" i="15"/>
  <c r="AH77" i="14"/>
  <c r="AI77"/>
  <c r="AJ76"/>
  <c r="AM76" s="1"/>
  <c r="L82" i="15" s="1"/>
  <c r="R82" s="1"/>
  <c r="AK76" i="14"/>
  <c r="AN76" s="1"/>
  <c r="AQ76" s="1"/>
  <c r="N82" i="15" s="1"/>
  <c r="AO75" i="14"/>
  <c r="M81" i="15" s="1"/>
  <c r="AA75" i="14"/>
  <c r="G81" i="15" s="1"/>
  <c r="E81"/>
  <c r="Z75" i="14"/>
  <c r="BJ74"/>
  <c r="BK74" s="1"/>
  <c r="BI74"/>
  <c r="Y76"/>
  <c r="Z76" s="1"/>
  <c r="AO76"/>
  <c r="BH75"/>
  <c r="BF75"/>
  <c r="BG75" s="1"/>
  <c r="U77"/>
  <c r="W77"/>
  <c r="X77" s="1"/>
  <c r="BD76"/>
  <c r="BE76" s="1"/>
  <c r="R78"/>
  <c r="P79"/>
  <c r="D85" i="15" s="1"/>
  <c r="T78" i="14"/>
  <c r="BA77"/>
  <c r="BB77"/>
  <c r="BC77" s="1"/>
  <c r="AY78"/>
  <c r="AW79"/>
  <c r="AZ78"/>
  <c r="AG80" i="12"/>
  <c r="K86" i="13"/>
  <c r="AH80" i="12"/>
  <c r="AR77"/>
  <c r="AS77" s="1"/>
  <c r="N83" i="13"/>
  <c r="AQ77" i="12"/>
  <c r="AM78"/>
  <c r="AP78" s="1"/>
  <c r="AQ78" s="1"/>
  <c r="M83" i="13"/>
  <c r="AO77" i="12"/>
  <c r="AI79"/>
  <c r="AL79" s="1"/>
  <c r="AJ79"/>
  <c r="AK79" s="1"/>
  <c r="L84" i="13"/>
  <c r="AN78" i="12"/>
  <c r="AA74"/>
  <c r="AB74" s="1"/>
  <c r="G80" i="13"/>
  <c r="Z74" i="12"/>
  <c r="W76"/>
  <c r="X76" s="1"/>
  <c r="Z75"/>
  <c r="AA75"/>
  <c r="AB75" s="1"/>
  <c r="G81" i="13"/>
  <c r="T77" i="12"/>
  <c r="W77" s="1"/>
  <c r="U77"/>
  <c r="V77" s="1"/>
  <c r="P79"/>
  <c r="D85" i="13" s="1"/>
  <c r="R78" i="12"/>
  <c r="S78"/>
  <c r="BZ77" i="11"/>
  <c r="BD78"/>
  <c r="BI78" s="1"/>
  <c r="T78"/>
  <c r="W78" s="1"/>
  <c r="V77"/>
  <c r="X77" s="1"/>
  <c r="BS77"/>
  <c r="BQ77"/>
  <c r="BR77" s="1"/>
  <c r="BM79"/>
  <c r="BW78"/>
  <c r="BO78"/>
  <c r="BP78"/>
  <c r="BY78"/>
  <c r="BT76"/>
  <c r="BG78"/>
  <c r="BH78" s="1"/>
  <c r="P80"/>
  <c r="CZ81"/>
  <c r="BC79"/>
  <c r="R79"/>
  <c r="DG81"/>
  <c r="S79"/>
  <c r="BF79"/>
  <c r="DH80"/>
  <c r="U78"/>
  <c r="DB80"/>
  <c r="AA78" i="10"/>
  <c r="AB78" s="1"/>
  <c r="AC78" s="1"/>
  <c r="W81"/>
  <c r="X80"/>
  <c r="Y79"/>
  <c r="Z79" s="1"/>
  <c r="AP75" i="14" l="1"/>
  <c r="F81" i="15"/>
  <c r="N75" i="16"/>
  <c r="S81" i="15"/>
  <c r="Y81"/>
  <c r="Y96" s="1"/>
  <c r="S82"/>
  <c r="Y82"/>
  <c r="AS75" i="14"/>
  <c r="AT75" s="1"/>
  <c r="AR75"/>
  <c r="AK77"/>
  <c r="AL77" s="1"/>
  <c r="AN77" s="1"/>
  <c r="AQ77" s="1"/>
  <c r="N83" i="15" s="1"/>
  <c r="AJ77" i="14"/>
  <c r="AM77" s="1"/>
  <c r="L83" i="15" s="1"/>
  <c r="R83" s="1"/>
  <c r="AF79" i="14"/>
  <c r="K84" i="15"/>
  <c r="AI78" i="14"/>
  <c r="AH78"/>
  <c r="AP76"/>
  <c r="M82" i="15"/>
  <c r="AA76" i="14"/>
  <c r="G82" i="15" s="1"/>
  <c r="E82"/>
  <c r="AS76" i="14"/>
  <c r="AT76" s="1"/>
  <c r="AR76"/>
  <c r="BF76"/>
  <c r="BG76" s="1"/>
  <c r="BH76"/>
  <c r="BJ75"/>
  <c r="BK75" s="1"/>
  <c r="BI75"/>
  <c r="BD77"/>
  <c r="U78"/>
  <c r="W78"/>
  <c r="X78" s="1"/>
  <c r="AW80"/>
  <c r="AY79"/>
  <c r="AZ79"/>
  <c r="BA78"/>
  <c r="BB78"/>
  <c r="BC78" s="1"/>
  <c r="BE77"/>
  <c r="P80"/>
  <c r="D86" i="15" s="1"/>
  <c r="R79" i="14"/>
  <c r="T79"/>
  <c r="Y77"/>
  <c r="AO78" i="12"/>
  <c r="M84" i="13"/>
  <c r="AM79" i="12"/>
  <c r="AG81"/>
  <c r="K87" i="13"/>
  <c r="AH81" i="12"/>
  <c r="AJ80"/>
  <c r="AK80" s="1"/>
  <c r="AI80"/>
  <c r="AL80" s="1"/>
  <c r="L85" i="13"/>
  <c r="AP79" i="12"/>
  <c r="AN79"/>
  <c r="N84" i="13"/>
  <c r="AR78" i="12"/>
  <c r="AS78" s="1"/>
  <c r="Y77"/>
  <c r="E83" i="13"/>
  <c r="F83" s="1"/>
  <c r="Y76" i="12"/>
  <c r="E82" i="13"/>
  <c r="F82" s="1"/>
  <c r="T78" i="12"/>
  <c r="U78"/>
  <c r="V78" s="1"/>
  <c r="P80"/>
  <c r="D86" i="13" s="1"/>
  <c r="R79" i="12"/>
  <c r="S79"/>
  <c r="X77"/>
  <c r="BJ78" i="11"/>
  <c r="BD79"/>
  <c r="BI79" s="1"/>
  <c r="T79"/>
  <c r="W79" s="1"/>
  <c r="BM80"/>
  <c r="BW79"/>
  <c r="BO79"/>
  <c r="BP79"/>
  <c r="BY79"/>
  <c r="BS78"/>
  <c r="BQ78"/>
  <c r="BR78" s="1"/>
  <c r="BZ78"/>
  <c r="V78"/>
  <c r="X78" s="1"/>
  <c r="BT77"/>
  <c r="DB81"/>
  <c r="P81"/>
  <c r="BC80"/>
  <c r="CZ82"/>
  <c r="DG82"/>
  <c r="R80"/>
  <c r="S80"/>
  <c r="BF80"/>
  <c r="DH81"/>
  <c r="BG79"/>
  <c r="BH79" s="1"/>
  <c r="U79"/>
  <c r="AA79" i="10"/>
  <c r="AB79" s="1"/>
  <c r="AC79" s="1"/>
  <c r="Y80"/>
  <c r="Z80" s="1"/>
  <c r="W82"/>
  <c r="X81"/>
  <c r="AA11" i="15" l="1"/>
  <c r="AA16"/>
  <c r="AA21"/>
  <c r="AA26"/>
  <c r="AA32"/>
  <c r="AA37"/>
  <c r="AA42"/>
  <c r="AA48"/>
  <c r="AA53"/>
  <c r="AA58"/>
  <c r="AA64"/>
  <c r="AA69"/>
  <c r="AA74"/>
  <c r="AA80"/>
  <c r="AA14"/>
  <c r="AA20"/>
  <c r="AA25"/>
  <c r="AA30"/>
  <c r="AA36"/>
  <c r="AA41"/>
  <c r="AA46"/>
  <c r="AA52"/>
  <c r="AA57"/>
  <c r="AA62"/>
  <c r="AA68"/>
  <c r="AA73"/>
  <c r="AA78"/>
  <c r="AA10"/>
  <c r="AA13"/>
  <c r="AA18"/>
  <c r="AA24"/>
  <c r="AA29"/>
  <c r="AA34"/>
  <c r="AA40"/>
  <c r="AA45"/>
  <c r="AA50"/>
  <c r="AA56"/>
  <c r="AA61"/>
  <c r="AA66"/>
  <c r="AA72"/>
  <c r="AA77"/>
  <c r="AA82"/>
  <c r="AA12"/>
  <c r="AA17"/>
  <c r="AA22"/>
  <c r="AA28"/>
  <c r="AA33"/>
  <c r="AA38"/>
  <c r="AA44"/>
  <c r="AA49"/>
  <c r="AA54"/>
  <c r="AA60"/>
  <c r="AA65"/>
  <c r="AA70"/>
  <c r="AA76"/>
  <c r="AA81"/>
  <c r="AA71"/>
  <c r="AA55"/>
  <c r="AA39"/>
  <c r="AA23"/>
  <c r="AA63"/>
  <c r="AA67"/>
  <c r="AA75"/>
  <c r="AA59"/>
  <c r="AA43"/>
  <c r="AA27"/>
  <c r="AA79"/>
  <c r="AA47"/>
  <c r="AA31"/>
  <c r="AA15"/>
  <c r="AA51"/>
  <c r="AA35"/>
  <c r="AA19"/>
  <c r="F82"/>
  <c r="N76" i="16"/>
  <c r="S83" i="15"/>
  <c r="Y83"/>
  <c r="AA83" s="1"/>
  <c r="AF80" i="14"/>
  <c r="K85" i="15"/>
  <c r="AI79" i="14"/>
  <c r="AH79"/>
  <c r="AK78"/>
  <c r="AL78" s="1"/>
  <c r="AJ78"/>
  <c r="AM78" s="1"/>
  <c r="L84" i="15" s="1"/>
  <c r="R84" s="1"/>
  <c r="AO77" i="14"/>
  <c r="M83" i="15" s="1"/>
  <c r="AA77" i="14"/>
  <c r="G83" i="15" s="1"/>
  <c r="E83"/>
  <c r="AP77" i="14"/>
  <c r="AW81"/>
  <c r="AY80"/>
  <c r="AZ80"/>
  <c r="AS77"/>
  <c r="AT77" s="1"/>
  <c r="AR77"/>
  <c r="U79"/>
  <c r="W79"/>
  <c r="X79" s="1"/>
  <c r="BA79"/>
  <c r="BB79"/>
  <c r="BC79" s="1"/>
  <c r="Y78"/>
  <c r="BD78"/>
  <c r="BE78" s="1"/>
  <c r="P81"/>
  <c r="D87" i="15" s="1"/>
  <c r="R80" i="14"/>
  <c r="T80"/>
  <c r="BF77"/>
  <c r="BG77" s="1"/>
  <c r="BH77"/>
  <c r="BJ76"/>
  <c r="BK76" s="1"/>
  <c r="BI76"/>
  <c r="Z77"/>
  <c r="AI81" i="12"/>
  <c r="AL81" s="1"/>
  <c r="AN81" s="1"/>
  <c r="AM80"/>
  <c r="AP80" s="1"/>
  <c r="AO79"/>
  <c r="M85" i="13"/>
  <c r="K88"/>
  <c r="AG82" i="12"/>
  <c r="AH82"/>
  <c r="L86" i="13"/>
  <c r="AN80" i="12"/>
  <c r="M86" i="13" s="1"/>
  <c r="N85"/>
  <c r="AR79" i="12"/>
  <c r="AS79" s="1"/>
  <c r="AJ81"/>
  <c r="AK81" s="1"/>
  <c r="AQ79"/>
  <c r="AA76"/>
  <c r="AB76" s="1"/>
  <c r="G82" i="13"/>
  <c r="Z76" i="12"/>
  <c r="W78"/>
  <c r="X78" s="1"/>
  <c r="Z77"/>
  <c r="G83" i="13"/>
  <c r="AA77" i="12"/>
  <c r="AB77" s="1"/>
  <c r="R80"/>
  <c r="P81"/>
  <c r="D87" i="13" s="1"/>
  <c r="S80" i="12"/>
  <c r="T79"/>
  <c r="W79" s="1"/>
  <c r="U79"/>
  <c r="V79" s="1"/>
  <c r="BJ79" i="11"/>
  <c r="BD80"/>
  <c r="BI80" s="1"/>
  <c r="T80"/>
  <c r="W80" s="1"/>
  <c r="BS79"/>
  <c r="BQ79"/>
  <c r="BR79" s="1"/>
  <c r="BT78"/>
  <c r="BM81"/>
  <c r="BW80"/>
  <c r="BO80"/>
  <c r="BP80"/>
  <c r="BY80"/>
  <c r="U80"/>
  <c r="V79"/>
  <c r="X79" s="1"/>
  <c r="BZ79"/>
  <c r="P82"/>
  <c r="CZ83"/>
  <c r="DG83"/>
  <c r="R81"/>
  <c r="S81"/>
  <c r="BC81"/>
  <c r="BF81"/>
  <c r="BG80"/>
  <c r="BH80" s="1"/>
  <c r="BJ80" s="1"/>
  <c r="DB82"/>
  <c r="DH82"/>
  <c r="AA80" i="10"/>
  <c r="AB80" s="1"/>
  <c r="AC80" s="1"/>
  <c r="W83"/>
  <c r="X82"/>
  <c r="Y81"/>
  <c r="Z81" s="1"/>
  <c r="AA96" i="15" l="1"/>
  <c r="AB96" s="1"/>
  <c r="AC96" s="1"/>
  <c r="S84"/>
  <c r="Y84"/>
  <c r="AA84" s="1"/>
  <c r="F83"/>
  <c r="N77" i="16"/>
  <c r="AO78" i="14"/>
  <c r="AP78" s="1"/>
  <c r="AN78"/>
  <c r="AQ78" s="1"/>
  <c r="N84" i="15" s="1"/>
  <c r="AF81" i="14"/>
  <c r="K86" i="15"/>
  <c r="AI80" i="14"/>
  <c r="AH80"/>
  <c r="AK79"/>
  <c r="AL79" s="1"/>
  <c r="AN79" s="1"/>
  <c r="AQ79" s="1"/>
  <c r="N85" i="15" s="1"/>
  <c r="AJ79" i="14"/>
  <c r="AM79" s="1"/>
  <c r="L85" i="15" s="1"/>
  <c r="R85" s="1"/>
  <c r="AA78" i="14"/>
  <c r="G84" i="15" s="1"/>
  <c r="E84"/>
  <c r="R81" i="14"/>
  <c r="P82"/>
  <c r="D88" i="15" s="1"/>
  <c r="T81" i="14"/>
  <c r="AY81"/>
  <c r="AW82"/>
  <c r="AZ81"/>
  <c r="BH78"/>
  <c r="BF78"/>
  <c r="BG78" s="1"/>
  <c r="BD79"/>
  <c r="Z78"/>
  <c r="BE79"/>
  <c r="BJ77"/>
  <c r="BK77" s="1"/>
  <c r="BI77"/>
  <c r="Y79"/>
  <c r="U80"/>
  <c r="W80"/>
  <c r="X80" s="1"/>
  <c r="BA80"/>
  <c r="BB80"/>
  <c r="BC80" s="1"/>
  <c r="L87" i="13"/>
  <c r="AR80" i="12"/>
  <c r="AS80" s="1"/>
  <c r="N86" i="13"/>
  <c r="AQ80" i="12"/>
  <c r="AM81"/>
  <c r="AP81" s="1"/>
  <c r="AQ81" s="1"/>
  <c r="AO81"/>
  <c r="M87" i="13"/>
  <c r="AJ82" i="12"/>
  <c r="AK82" s="1"/>
  <c r="AI82"/>
  <c r="AL82" s="1"/>
  <c r="AG83"/>
  <c r="AH83"/>
  <c r="K89" i="13"/>
  <c r="AO80" i="12"/>
  <c r="Y78"/>
  <c r="E84" i="13"/>
  <c r="F84" s="1"/>
  <c r="Y79" i="12"/>
  <c r="E85" i="13"/>
  <c r="F85" s="1"/>
  <c r="R81" i="12"/>
  <c r="P82"/>
  <c r="D88" i="13" s="1"/>
  <c r="S81" i="12"/>
  <c r="T80"/>
  <c r="U80"/>
  <c r="V80" s="1"/>
  <c r="X79"/>
  <c r="BD81" i="11"/>
  <c r="BI81" s="1"/>
  <c r="BZ80"/>
  <c r="T81"/>
  <c r="W81" s="1"/>
  <c r="V80"/>
  <c r="X80" s="1"/>
  <c r="BT79"/>
  <c r="BS80"/>
  <c r="BQ80"/>
  <c r="BR80" s="1"/>
  <c r="BM82"/>
  <c r="BW81"/>
  <c r="BO81"/>
  <c r="BP81"/>
  <c r="BY81"/>
  <c r="BG81"/>
  <c r="BH81" s="1"/>
  <c r="BJ81" s="1"/>
  <c r="DH83"/>
  <c r="DB83"/>
  <c r="P83"/>
  <c r="DG84"/>
  <c r="R82"/>
  <c r="CZ84"/>
  <c r="BC82"/>
  <c r="S82"/>
  <c r="BF82"/>
  <c r="U81"/>
  <c r="AA81" i="10"/>
  <c r="AB81" s="1"/>
  <c r="AC81" s="1"/>
  <c r="Y82"/>
  <c r="Z82" s="1"/>
  <c r="W84"/>
  <c r="X83"/>
  <c r="M84" i="15" l="1"/>
  <c r="F84"/>
  <c r="N78" i="16"/>
  <c r="S85" i="15"/>
  <c r="Y85"/>
  <c r="AA85" s="1"/>
  <c r="AS78" i="14"/>
  <c r="AT78" s="1"/>
  <c r="AO79"/>
  <c r="AP79" s="1"/>
  <c r="AR78"/>
  <c r="AF82"/>
  <c r="K87" i="15"/>
  <c r="AH81" i="14"/>
  <c r="AI81"/>
  <c r="AK80"/>
  <c r="AL80" s="1"/>
  <c r="AJ80"/>
  <c r="AM80" s="1"/>
  <c r="L86" i="15" s="1"/>
  <c r="R86" s="1"/>
  <c r="AA79" i="14"/>
  <c r="G85" i="15" s="1"/>
  <c r="E85"/>
  <c r="BD80" i="14"/>
  <c r="AS79"/>
  <c r="AT79" s="1"/>
  <c r="AR79"/>
  <c r="BA81"/>
  <c r="BB81"/>
  <c r="BC81" s="1"/>
  <c r="BJ78"/>
  <c r="BK78" s="1"/>
  <c r="BI78"/>
  <c r="AY82"/>
  <c r="AW83"/>
  <c r="AZ82"/>
  <c r="U81"/>
  <c r="W81"/>
  <c r="X81" s="1"/>
  <c r="R82"/>
  <c r="P83"/>
  <c r="D89" i="15" s="1"/>
  <c r="T82" i="14"/>
  <c r="Y80"/>
  <c r="BH79"/>
  <c r="BF79"/>
  <c r="BG79" s="1"/>
  <c r="Z79"/>
  <c r="AN80"/>
  <c r="AQ80" s="1"/>
  <c r="N86" i="15" s="1"/>
  <c r="L88" i="13"/>
  <c r="AN82" i="12"/>
  <c r="AI83"/>
  <c r="AL83" s="1"/>
  <c r="AJ83"/>
  <c r="AK83" s="1"/>
  <c r="AH84"/>
  <c r="AG84"/>
  <c r="K90" i="13"/>
  <c r="AM82" i="12"/>
  <c r="AP82" s="1"/>
  <c r="N87" i="13"/>
  <c r="AR81" i="12"/>
  <c r="AS81" s="1"/>
  <c r="Z79"/>
  <c r="AA79"/>
  <c r="AB79" s="1"/>
  <c r="G85" i="13"/>
  <c r="W80" i="12"/>
  <c r="AA78"/>
  <c r="AB78" s="1"/>
  <c r="G84" i="13"/>
  <c r="Z78" i="12"/>
  <c r="X80"/>
  <c r="T81"/>
  <c r="W81" s="1"/>
  <c r="U81"/>
  <c r="V81" s="1"/>
  <c r="P83"/>
  <c r="D89" i="13" s="1"/>
  <c r="R82" i="12"/>
  <c r="S82"/>
  <c r="T82" i="11"/>
  <c r="W82" s="1"/>
  <c r="BD82"/>
  <c r="BI82" s="1"/>
  <c r="BT80"/>
  <c r="BZ81"/>
  <c r="V81"/>
  <c r="X81" s="1"/>
  <c r="BM83"/>
  <c r="BO82"/>
  <c r="BW82"/>
  <c r="BP82"/>
  <c r="BY82"/>
  <c r="BS81"/>
  <c r="BQ81"/>
  <c r="BR81" s="1"/>
  <c r="BG82"/>
  <c r="BH82" s="1"/>
  <c r="P84"/>
  <c r="BC83"/>
  <c r="CZ85"/>
  <c r="DG85"/>
  <c r="R83"/>
  <c r="S83"/>
  <c r="BF83"/>
  <c r="DH84"/>
  <c r="U82"/>
  <c r="DB84"/>
  <c r="AA82" i="10"/>
  <c r="AB82" s="1"/>
  <c r="AC82" s="1"/>
  <c r="W85"/>
  <c r="X84"/>
  <c r="Y83"/>
  <c r="Z83" s="1"/>
  <c r="S86" i="15" l="1"/>
  <c r="Y86"/>
  <c r="AA86" s="1"/>
  <c r="F85"/>
  <c r="N79" i="16"/>
  <c r="M85" i="15"/>
  <c r="AK81" i="14"/>
  <c r="AL81" s="1"/>
  <c r="AN81" s="1"/>
  <c r="AQ81" s="1"/>
  <c r="N87" i="15" s="1"/>
  <c r="AJ81" i="14"/>
  <c r="AM81" s="1"/>
  <c r="L87" i="15" s="1"/>
  <c r="R87" s="1"/>
  <c r="AF83" i="14"/>
  <c r="K88" i="15"/>
  <c r="AH82" i="14"/>
  <c r="AI82"/>
  <c r="AO80"/>
  <c r="AP80"/>
  <c r="M86" i="15"/>
  <c r="AA80" i="14"/>
  <c r="G86" i="15" s="1"/>
  <c r="E86"/>
  <c r="AS80" i="14"/>
  <c r="AT80" s="1"/>
  <c r="AR80"/>
  <c r="P84"/>
  <c r="D90" i="15" s="1"/>
  <c r="R83" i="14"/>
  <c r="T83"/>
  <c r="Y81"/>
  <c r="Z81" s="1"/>
  <c r="BF80"/>
  <c r="BG80" s="1"/>
  <c r="BA82"/>
  <c r="BB82"/>
  <c r="BC82" s="1"/>
  <c r="AO81"/>
  <c r="Z80"/>
  <c r="BD81"/>
  <c r="BJ79"/>
  <c r="BK79" s="1"/>
  <c r="BI79"/>
  <c r="U82"/>
  <c r="W82"/>
  <c r="X82" s="1"/>
  <c r="AW84"/>
  <c r="AY83"/>
  <c r="AZ83"/>
  <c r="BE80"/>
  <c r="BH80" s="1"/>
  <c r="N88" i="13"/>
  <c r="AR82" i="12"/>
  <c r="AS82" s="1"/>
  <c r="AJ84"/>
  <c r="AK84" s="1"/>
  <c r="AI84"/>
  <c r="AL84" s="1"/>
  <c r="L89" i="13"/>
  <c r="AN83" i="12"/>
  <c r="AH85"/>
  <c r="K91" i="13"/>
  <c r="AG85" i="12"/>
  <c r="AO82"/>
  <c r="M88" i="13"/>
  <c r="AM83" i="12"/>
  <c r="AP83" s="1"/>
  <c r="AQ82"/>
  <c r="Y81"/>
  <c r="Z81" s="1"/>
  <c r="E87" i="13"/>
  <c r="F87" s="1"/>
  <c r="Y80" i="12"/>
  <c r="E86" i="13"/>
  <c r="F86" s="1"/>
  <c r="X81" i="12"/>
  <c r="T82"/>
  <c r="U82"/>
  <c r="V82" s="1"/>
  <c r="P84"/>
  <c r="D90" i="13" s="1"/>
  <c r="R83" i="12"/>
  <c r="S83"/>
  <c r="BZ82" i="11"/>
  <c r="BJ82"/>
  <c r="BD83"/>
  <c r="BI83" s="1"/>
  <c r="T83"/>
  <c r="W83" s="1"/>
  <c r="BS82"/>
  <c r="BQ82"/>
  <c r="BR82" s="1"/>
  <c r="V82"/>
  <c r="X82" s="1"/>
  <c r="BM84"/>
  <c r="BW83"/>
  <c r="BO83"/>
  <c r="BP83"/>
  <c r="BY83"/>
  <c r="BT81"/>
  <c r="BG83"/>
  <c r="BH83" s="1"/>
  <c r="P85"/>
  <c r="BC84"/>
  <c r="DG86"/>
  <c r="CZ86"/>
  <c r="S84"/>
  <c r="R84"/>
  <c r="BF84"/>
  <c r="U83"/>
  <c r="DB85"/>
  <c r="DH85"/>
  <c r="AA83" i="10"/>
  <c r="AB83" s="1"/>
  <c r="AC83" s="1"/>
  <c r="Y84"/>
  <c r="Z84" s="1"/>
  <c r="W86"/>
  <c r="X85"/>
  <c r="S87" i="15" l="1"/>
  <c r="Y87"/>
  <c r="AA87" s="1"/>
  <c r="F86"/>
  <c r="N80" i="16"/>
  <c r="AF84" i="14"/>
  <c r="K89" i="15"/>
  <c r="AH83" i="14"/>
  <c r="AI83"/>
  <c r="AJ82"/>
  <c r="AM82" s="1"/>
  <c r="AK82"/>
  <c r="AL82" s="1"/>
  <c r="AA81"/>
  <c r="G87" i="15" s="1"/>
  <c r="E87"/>
  <c r="AP81" i="14"/>
  <c r="M87" i="15"/>
  <c r="BJ80" i="14"/>
  <c r="BK80" s="1"/>
  <c r="BI80"/>
  <c r="AS81"/>
  <c r="AT81" s="1"/>
  <c r="AR81"/>
  <c r="BA83"/>
  <c r="BB83"/>
  <c r="BC83" s="1"/>
  <c r="BF81"/>
  <c r="BG81" s="1"/>
  <c r="BD82"/>
  <c r="BE82" s="1"/>
  <c r="P85"/>
  <c r="D91" i="15" s="1"/>
  <c r="R84" i="14"/>
  <c r="T84"/>
  <c r="AW85"/>
  <c r="AY84"/>
  <c r="AZ84"/>
  <c r="Y82"/>
  <c r="U83"/>
  <c r="W83"/>
  <c r="X83" s="1"/>
  <c r="BE81"/>
  <c r="BH81" s="1"/>
  <c r="AI85" i="12"/>
  <c r="AL85" s="1"/>
  <c r="L91" i="13" s="1"/>
  <c r="N89"/>
  <c r="AR83" i="12"/>
  <c r="AS83" s="1"/>
  <c r="AQ83"/>
  <c r="AO83"/>
  <c r="M89" i="13"/>
  <c r="AM84" i="12"/>
  <c r="AP84" s="1"/>
  <c r="AJ85"/>
  <c r="AK85" s="1"/>
  <c r="K92" i="13"/>
  <c r="AH86" i="12"/>
  <c r="AG86"/>
  <c r="L90" i="13"/>
  <c r="AN84" i="12"/>
  <c r="M90" i="13" s="1"/>
  <c r="W82" i="12"/>
  <c r="AA80"/>
  <c r="AB80" s="1"/>
  <c r="G86" i="13"/>
  <c r="Z80" i="12"/>
  <c r="AA81"/>
  <c r="AB81" s="1"/>
  <c r="G87" i="13"/>
  <c r="T83" i="12"/>
  <c r="W83" s="1"/>
  <c r="U83"/>
  <c r="V83" s="1"/>
  <c r="X82"/>
  <c r="R84"/>
  <c r="P85"/>
  <c r="D91" i="13" s="1"/>
  <c r="S84" i="12"/>
  <c r="BJ83" i="11"/>
  <c r="T84"/>
  <c r="W84" s="1"/>
  <c r="BD84"/>
  <c r="BI84" s="1"/>
  <c r="BM85"/>
  <c r="BW84"/>
  <c r="BO84"/>
  <c r="BP84"/>
  <c r="BY84"/>
  <c r="BS83"/>
  <c r="BQ83"/>
  <c r="BR83" s="1"/>
  <c r="BT82"/>
  <c r="V83"/>
  <c r="X83" s="1"/>
  <c r="BZ83"/>
  <c r="U84"/>
  <c r="BG84"/>
  <c r="BH84" s="1"/>
  <c r="BJ84" s="1"/>
  <c r="DH86"/>
  <c r="P86"/>
  <c r="CZ87"/>
  <c r="DG87"/>
  <c r="R85"/>
  <c r="BC85"/>
  <c r="S85"/>
  <c r="BF85"/>
  <c r="DB86"/>
  <c r="AA84" i="10"/>
  <c r="AB84" s="1"/>
  <c r="AC84" s="1"/>
  <c r="W87"/>
  <c r="X86"/>
  <c r="Y85"/>
  <c r="Z85" s="1"/>
  <c r="F87" i="15" l="1"/>
  <c r="N81" i="16"/>
  <c r="AQ82" i="14"/>
  <c r="N88" i="15" s="1"/>
  <c r="AF85" i="14"/>
  <c r="K90" i="15"/>
  <c r="AI84" i="14"/>
  <c r="AH84"/>
  <c r="AK83"/>
  <c r="AL83" s="1"/>
  <c r="AN83" s="1"/>
  <c r="AQ83" s="1"/>
  <c r="N89" i="15" s="1"/>
  <c r="AJ83" i="14"/>
  <c r="AM83" s="1"/>
  <c r="AO83" s="1"/>
  <c r="AN82"/>
  <c r="L88" i="15"/>
  <c r="R88" s="1"/>
  <c r="AO82" i="14"/>
  <c r="AP82" s="1"/>
  <c r="AA82"/>
  <c r="G88" i="15" s="1"/>
  <c r="E88"/>
  <c r="BJ81" i="14"/>
  <c r="BK81" s="1"/>
  <c r="BI81"/>
  <c r="Y83"/>
  <c r="Z83" s="1"/>
  <c r="BA84"/>
  <c r="BB84"/>
  <c r="BC84" s="1"/>
  <c r="R85"/>
  <c r="P86"/>
  <c r="D92" i="15" s="1"/>
  <c r="T85" i="14"/>
  <c r="AS82"/>
  <c r="AT82" s="1"/>
  <c r="U84"/>
  <c r="W84"/>
  <c r="X84" s="1"/>
  <c r="BH82"/>
  <c r="BF82"/>
  <c r="BG82" s="1"/>
  <c r="BD83"/>
  <c r="BE83" s="1"/>
  <c r="AY85"/>
  <c r="AW86"/>
  <c r="AZ85"/>
  <c r="Z82"/>
  <c r="AN85" i="12"/>
  <c r="M91" i="13" s="1"/>
  <c r="AO84" i="12"/>
  <c r="AH87"/>
  <c r="K93" i="13"/>
  <c r="AG87" i="12"/>
  <c r="N90" i="13"/>
  <c r="AR84" i="12"/>
  <c r="AS84" s="1"/>
  <c r="AJ86"/>
  <c r="AK86" s="1"/>
  <c r="AI86"/>
  <c r="AL86" s="1"/>
  <c r="AM85"/>
  <c r="AP85" s="1"/>
  <c r="AQ85" s="1"/>
  <c r="AQ84"/>
  <c r="Y83"/>
  <c r="E89" i="13"/>
  <c r="F89" s="1"/>
  <c r="Y82" i="12"/>
  <c r="E88" i="13"/>
  <c r="F88" s="1"/>
  <c r="T84" i="12"/>
  <c r="U84"/>
  <c r="V84" s="1"/>
  <c r="R85"/>
  <c r="P86"/>
  <c r="D92" i="13" s="1"/>
  <c r="S85" i="12"/>
  <c r="X83"/>
  <c r="T85" i="11"/>
  <c r="W85" s="1"/>
  <c r="BD85"/>
  <c r="BI85" s="1"/>
  <c r="BM86"/>
  <c r="BO85"/>
  <c r="BW85"/>
  <c r="BP85"/>
  <c r="BY85"/>
  <c r="BS84"/>
  <c r="BQ84"/>
  <c r="BR84" s="1"/>
  <c r="BT83"/>
  <c r="V84"/>
  <c r="X84" s="1"/>
  <c r="BZ84"/>
  <c r="DH87"/>
  <c r="U85"/>
  <c r="DB87"/>
  <c r="P87"/>
  <c r="DG88"/>
  <c r="R86"/>
  <c r="CZ88"/>
  <c r="BC86"/>
  <c r="S86"/>
  <c r="BF86"/>
  <c r="BG85"/>
  <c r="BH85" s="1"/>
  <c r="AA85" i="10"/>
  <c r="AB85" s="1"/>
  <c r="AC85" s="1"/>
  <c r="W88"/>
  <c r="X88" s="1"/>
  <c r="X87"/>
  <c r="Y86"/>
  <c r="Z86" s="1"/>
  <c r="S88" i="15" l="1"/>
  <c r="Y88"/>
  <c r="AA88" s="1"/>
  <c r="F88"/>
  <c r="N82" i="16"/>
  <c r="L89" i="15"/>
  <c r="R89" s="1"/>
  <c r="M88"/>
  <c r="AK84" i="14"/>
  <c r="AL84" s="1"/>
  <c r="AN84" s="1"/>
  <c r="AQ84" s="1"/>
  <c r="N90" i="15" s="1"/>
  <c r="AJ84" i="14"/>
  <c r="AM84" s="1"/>
  <c r="L90" i="15" s="1"/>
  <c r="R90" s="1"/>
  <c r="AF86" i="14"/>
  <c r="K91" i="15"/>
  <c r="AI85" i="14"/>
  <c r="AH85"/>
  <c r="AR82"/>
  <c r="AP83"/>
  <c r="M89" i="15"/>
  <c r="AA83" i="14"/>
  <c r="G89" i="15" s="1"/>
  <c r="E89"/>
  <c r="BH83" i="14"/>
  <c r="BF83"/>
  <c r="BG83" s="1"/>
  <c r="AS83"/>
  <c r="AT83" s="1"/>
  <c r="AR83"/>
  <c r="AO84"/>
  <c r="BD84"/>
  <c r="BE84" s="1"/>
  <c r="BA85"/>
  <c r="BB85"/>
  <c r="BC85" s="1"/>
  <c r="BJ82"/>
  <c r="BK82" s="1"/>
  <c r="BI82"/>
  <c r="Y84"/>
  <c r="Z84" s="1"/>
  <c r="AY86"/>
  <c r="AW87"/>
  <c r="AZ86"/>
  <c r="U85"/>
  <c r="W85"/>
  <c r="X85" s="1"/>
  <c r="R86"/>
  <c r="P87"/>
  <c r="D93" i="15" s="1"/>
  <c r="T86" i="14"/>
  <c r="AO85" i="12"/>
  <c r="AI87"/>
  <c r="AL87" s="1"/>
  <c r="AJ87"/>
  <c r="AK87" s="1"/>
  <c r="AR85"/>
  <c r="AS85" s="1"/>
  <c r="N91" i="13"/>
  <c r="AM86" i="12"/>
  <c r="AP86" s="1"/>
  <c r="AQ86" s="1"/>
  <c r="L92" i="13"/>
  <c r="AN86" i="12"/>
  <c r="K94" i="13"/>
  <c r="AH88" i="12"/>
  <c r="AG88"/>
  <c r="G88" i="13"/>
  <c r="AA82" i="12"/>
  <c r="AB82" s="1"/>
  <c r="Z82"/>
  <c r="W84"/>
  <c r="Z83"/>
  <c r="AA83"/>
  <c r="AB83" s="1"/>
  <c r="G89" i="13"/>
  <c r="P87" i="12"/>
  <c r="D93" i="13" s="1"/>
  <c r="R86" i="12"/>
  <c r="S86"/>
  <c r="T85"/>
  <c r="W85" s="1"/>
  <c r="U85"/>
  <c r="V85" s="1"/>
  <c r="BJ85" i="11"/>
  <c r="BD86"/>
  <c r="BI86" s="1"/>
  <c r="BZ85"/>
  <c r="T86"/>
  <c r="W86" s="1"/>
  <c r="BS85"/>
  <c r="BQ85"/>
  <c r="BR85" s="1"/>
  <c r="V85"/>
  <c r="X85" s="1"/>
  <c r="BM87"/>
  <c r="BW86"/>
  <c r="BO86"/>
  <c r="BP86"/>
  <c r="BY86"/>
  <c r="BT84"/>
  <c r="DB88"/>
  <c r="U86"/>
  <c r="BG86"/>
  <c r="BH86" s="1"/>
  <c r="P88"/>
  <c r="CZ89"/>
  <c r="BC87"/>
  <c r="R87"/>
  <c r="DG89"/>
  <c r="S87"/>
  <c r="BF87"/>
  <c r="DH88"/>
  <c r="AA86" i="10"/>
  <c r="AB86" s="1"/>
  <c r="AC86" s="1"/>
  <c r="Y88"/>
  <c r="Z88" s="1"/>
  <c r="Y87"/>
  <c r="Z87" s="1"/>
  <c r="F89" i="15" l="1"/>
  <c r="N83" i="16"/>
  <c r="S89" i="15"/>
  <c r="Y89"/>
  <c r="AA89" s="1"/>
  <c r="S90"/>
  <c r="Y90"/>
  <c r="AA90" s="1"/>
  <c r="AF87" i="14"/>
  <c r="K92" i="15"/>
  <c r="AI86" i="14"/>
  <c r="AH86"/>
  <c r="AJ85"/>
  <c r="AM85" s="1"/>
  <c r="L91" i="15" s="1"/>
  <c r="R91" s="1"/>
  <c r="AK85" i="14"/>
  <c r="AL85" s="1"/>
  <c r="AA84"/>
  <c r="G90" i="15" s="1"/>
  <c r="E90"/>
  <c r="AP84" i="14"/>
  <c r="M90" i="15"/>
  <c r="AS84" i="14"/>
  <c r="AT84" s="1"/>
  <c r="AR84"/>
  <c r="BD85"/>
  <c r="BF84"/>
  <c r="BG84" s="1"/>
  <c r="BH84"/>
  <c r="P88"/>
  <c r="R87"/>
  <c r="T87"/>
  <c r="Y85"/>
  <c r="AW88"/>
  <c r="AY87"/>
  <c r="AZ87"/>
  <c r="U86"/>
  <c r="W86"/>
  <c r="X86" s="1"/>
  <c r="AO85"/>
  <c r="BA86"/>
  <c r="BB86"/>
  <c r="BC86" s="1"/>
  <c r="BJ83"/>
  <c r="BK83" s="1"/>
  <c r="BI83"/>
  <c r="AM87" i="12"/>
  <c r="AP87" s="1"/>
  <c r="AQ87" s="1"/>
  <c r="AG89"/>
  <c r="K95" i="13"/>
  <c r="AH89" i="12"/>
  <c r="N92" i="13"/>
  <c r="AR86" i="12"/>
  <c r="AS86" s="1"/>
  <c r="AI88"/>
  <c r="AL88" s="1"/>
  <c r="AJ88"/>
  <c r="AK88" s="1"/>
  <c r="AO86"/>
  <c r="M92" i="13"/>
  <c r="L93"/>
  <c r="AN87" i="12"/>
  <c r="Y85"/>
  <c r="E91" i="13"/>
  <c r="F91" s="1"/>
  <c r="Y84" i="12"/>
  <c r="E90" i="13"/>
  <c r="F90" s="1"/>
  <c r="X84" i="12"/>
  <c r="T86"/>
  <c r="U86"/>
  <c r="V86" s="1"/>
  <c r="P88"/>
  <c r="D94" i="13" s="1"/>
  <c r="R87" i="12"/>
  <c r="S87"/>
  <c r="X85"/>
  <c r="BD87" i="11"/>
  <c r="BI87" s="1"/>
  <c r="T87"/>
  <c r="W87" s="1"/>
  <c r="BJ86"/>
  <c r="BZ86"/>
  <c r="BT85"/>
  <c r="V86"/>
  <c r="X86" s="1"/>
  <c r="BM88"/>
  <c r="BW87"/>
  <c r="BO87"/>
  <c r="BP87"/>
  <c r="BY87"/>
  <c r="BS86"/>
  <c r="BQ86"/>
  <c r="BR86" s="1"/>
  <c r="DB89"/>
  <c r="BC88"/>
  <c r="CZ90"/>
  <c r="DG90"/>
  <c r="S88"/>
  <c r="R88"/>
  <c r="BF88"/>
  <c r="DH89"/>
  <c r="BG87"/>
  <c r="BH87" s="1"/>
  <c r="U87"/>
  <c r="AA87" i="10"/>
  <c r="AB87" s="1"/>
  <c r="AC87" s="1"/>
  <c r="AA88"/>
  <c r="AB88" s="1"/>
  <c r="AC88" s="1"/>
  <c r="S91" i="15" l="1"/>
  <c r="Y91"/>
  <c r="AA91" s="1"/>
  <c r="F90"/>
  <c r="N84" i="16"/>
  <c r="AN85" i="14"/>
  <c r="AQ85" s="1"/>
  <c r="N91" i="15" s="1"/>
  <c r="AF88" i="14"/>
  <c r="K93" i="15"/>
  <c r="AH87" i="14"/>
  <c r="AI87"/>
  <c r="AK86"/>
  <c r="AL86" s="1"/>
  <c r="AN86" s="1"/>
  <c r="AQ86" s="1"/>
  <c r="N92" i="15" s="1"/>
  <c r="AJ86" i="14"/>
  <c r="AM86" s="1"/>
  <c r="L92" i="15" s="1"/>
  <c r="R92" s="1"/>
  <c r="D94"/>
  <c r="P89" i="14"/>
  <c r="R88"/>
  <c r="T88"/>
  <c r="AP85"/>
  <c r="M91" i="15"/>
  <c r="AA85" i="14"/>
  <c r="G91" i="15" s="1"/>
  <c r="E91"/>
  <c r="BD86" i="14"/>
  <c r="BE86" s="1"/>
  <c r="BF85"/>
  <c r="BG85" s="1"/>
  <c r="U87"/>
  <c r="W87"/>
  <c r="X87" s="1"/>
  <c r="BE85"/>
  <c r="BH85" s="1"/>
  <c r="Y86"/>
  <c r="AW89"/>
  <c r="AY88"/>
  <c r="AZ88"/>
  <c r="BJ84"/>
  <c r="BK84" s="1"/>
  <c r="BI84"/>
  <c r="BA87"/>
  <c r="BB87"/>
  <c r="BC87" s="1"/>
  <c r="Z85"/>
  <c r="AJ89" i="12"/>
  <c r="AK89" s="1"/>
  <c r="AO87"/>
  <c r="M93" i="13"/>
  <c r="L94"/>
  <c r="AN88" i="12"/>
  <c r="M94" i="13" s="1"/>
  <c r="N93"/>
  <c r="AR87" i="12"/>
  <c r="AS87" s="1"/>
  <c r="AM88"/>
  <c r="AP88" s="1"/>
  <c r="AQ88" s="1"/>
  <c r="AO88"/>
  <c r="AI89"/>
  <c r="AL89" s="1"/>
  <c r="W86"/>
  <c r="X86" s="1"/>
  <c r="AA84"/>
  <c r="AB84" s="1"/>
  <c r="G90" i="13"/>
  <c r="Z84" i="12"/>
  <c r="Z85"/>
  <c r="G91" i="13"/>
  <c r="AA85" i="12"/>
  <c r="AB85" s="1"/>
  <c r="R88"/>
  <c r="S88"/>
  <c r="T87"/>
  <c r="W87" s="1"/>
  <c r="U87"/>
  <c r="V87" s="1"/>
  <c r="BD88" i="11"/>
  <c r="BI88" s="1"/>
  <c r="BJ87"/>
  <c r="T88"/>
  <c r="W88" s="1"/>
  <c r="BT86"/>
  <c r="V87"/>
  <c r="X87" s="1"/>
  <c r="BS87"/>
  <c r="BQ87"/>
  <c r="BR87" s="1"/>
  <c r="BM89"/>
  <c r="BW88"/>
  <c r="BO88"/>
  <c r="BP88"/>
  <c r="BY88"/>
  <c r="BZ87"/>
  <c r="BG88"/>
  <c r="BH88" s="1"/>
  <c r="U88"/>
  <c r="DB90"/>
  <c r="DH90"/>
  <c r="F91" i="15" l="1"/>
  <c r="N85" i="16"/>
  <c r="S92" i="15"/>
  <c r="Y92"/>
  <c r="AA92" s="1"/>
  <c r="AS85" i="14"/>
  <c r="AT85" s="1"/>
  <c r="AR85"/>
  <c r="AO86"/>
  <c r="AK87"/>
  <c r="AL87" s="1"/>
  <c r="AJ87"/>
  <c r="AM87" s="1"/>
  <c r="AO87" s="1"/>
  <c r="AF89"/>
  <c r="K94" i="15"/>
  <c r="AH88" i="14"/>
  <c r="AI88"/>
  <c r="U88"/>
  <c r="Y88" s="1"/>
  <c r="AA88" s="1"/>
  <c r="R89"/>
  <c r="T89"/>
  <c r="P90"/>
  <c r="W88"/>
  <c r="X88" s="1"/>
  <c r="Z88" s="1"/>
  <c r="AA86"/>
  <c r="G92" i="15" s="1"/>
  <c r="E92"/>
  <c r="AP86" i="14"/>
  <c r="M92" i="15"/>
  <c r="Z86" i="14"/>
  <c r="AS86"/>
  <c r="AT86" s="1"/>
  <c r="AR86"/>
  <c r="BJ85"/>
  <c r="BK85" s="1"/>
  <c r="BI85"/>
  <c r="BD87"/>
  <c r="BE87"/>
  <c r="AY89"/>
  <c r="AZ89"/>
  <c r="Y87"/>
  <c r="BH86"/>
  <c r="BF86"/>
  <c r="BG86" s="1"/>
  <c r="BA88"/>
  <c r="BB88"/>
  <c r="BC88" s="1"/>
  <c r="AM89" i="12"/>
  <c r="AP89" s="1"/>
  <c r="AR89" s="1"/>
  <c r="AS89" s="1"/>
  <c r="L95" i="13"/>
  <c r="AN89" i="12"/>
  <c r="N94" i="13"/>
  <c r="AR88" i="12"/>
  <c r="AS88" s="1"/>
  <c r="Y87"/>
  <c r="E93" i="13"/>
  <c r="F93" s="1"/>
  <c r="Y86" i="12"/>
  <c r="E92" i="13"/>
  <c r="F92" s="1"/>
  <c r="Z87" i="12"/>
  <c r="T88"/>
  <c r="U88"/>
  <c r="V88" s="1"/>
  <c r="X87"/>
  <c r="BJ88" i="11"/>
  <c r="V88"/>
  <c r="X88" s="1"/>
  <c r="BM90"/>
  <c r="BO89"/>
  <c r="BW89"/>
  <c r="BP89"/>
  <c r="BY89"/>
  <c r="BS88"/>
  <c r="BQ88"/>
  <c r="BR88" s="1"/>
  <c r="BZ88"/>
  <c r="BT87"/>
  <c r="F92" i="15" l="1"/>
  <c r="N86" i="16"/>
  <c r="L93" i="15"/>
  <c r="R93" s="1"/>
  <c r="AN87" i="14"/>
  <c r="AQ87" s="1"/>
  <c r="N93" i="15" s="1"/>
  <c r="AJ88" i="14"/>
  <c r="AM88" s="1"/>
  <c r="AK88"/>
  <c r="AL88" s="1"/>
  <c r="AF90"/>
  <c r="K95" i="15"/>
  <c r="AI89" i="14"/>
  <c r="AH89"/>
  <c r="U89"/>
  <c r="Y89" s="1"/>
  <c r="AA89" s="1"/>
  <c r="W89"/>
  <c r="X89" s="1"/>
  <c r="T90"/>
  <c r="R90"/>
  <c r="P91"/>
  <c r="L94" i="15"/>
  <c r="R94" s="1"/>
  <c r="AA87" i="14"/>
  <c r="G93" i="15" s="1"/>
  <c r="E93"/>
  <c r="AP87" i="14"/>
  <c r="M93" i="15"/>
  <c r="Z87" i="14"/>
  <c r="AR87"/>
  <c r="BH87"/>
  <c r="BF87"/>
  <c r="BG87" s="1"/>
  <c r="BD88"/>
  <c r="BE88" s="1"/>
  <c r="BA89"/>
  <c r="BB89"/>
  <c r="BC89" s="1"/>
  <c r="BJ86"/>
  <c r="BK86" s="1"/>
  <c r="BI86"/>
  <c r="AO88"/>
  <c r="AQ89" i="12"/>
  <c r="N95" i="13"/>
  <c r="AO89" i="12"/>
  <c r="M95" i="13"/>
  <c r="AA86" i="12"/>
  <c r="AB86" s="1"/>
  <c r="G92" i="13"/>
  <c r="Z86" i="12"/>
  <c r="AA87"/>
  <c r="AB87" s="1"/>
  <c r="G93" i="13"/>
  <c r="W88" i="12"/>
  <c r="X88" s="1"/>
  <c r="BT88" i="11"/>
  <c r="BZ89"/>
  <c r="BM91"/>
  <c r="BW90"/>
  <c r="BO90"/>
  <c r="BP90"/>
  <c r="BY90"/>
  <c r="BS89"/>
  <c r="BQ89"/>
  <c r="BR89" s="1"/>
  <c r="S93" i="15" l="1"/>
  <c r="Y93"/>
  <c r="AA93" s="1"/>
  <c r="F93"/>
  <c r="N87" i="16"/>
  <c r="S94" i="15"/>
  <c r="Y94"/>
  <c r="AA94" s="1"/>
  <c r="AS87" i="14"/>
  <c r="AT87" s="1"/>
  <c r="AN88"/>
  <c r="AQ88" s="1"/>
  <c r="N94" i="15" s="1"/>
  <c r="AK89" i="14"/>
  <c r="AL89" s="1"/>
  <c r="AN89" s="1"/>
  <c r="AQ89" s="1"/>
  <c r="N95" i="15" s="1"/>
  <c r="AJ89" i="14"/>
  <c r="AM89" s="1"/>
  <c r="AI90"/>
  <c r="AF91"/>
  <c r="AH90"/>
  <c r="Z89"/>
  <c r="P92"/>
  <c r="T91"/>
  <c r="R91"/>
  <c r="W90"/>
  <c r="X90" s="1"/>
  <c r="U90"/>
  <c r="Y90" s="1"/>
  <c r="AA90" s="1"/>
  <c r="AP88"/>
  <c r="M94" i="15"/>
  <c r="G94"/>
  <c r="E94"/>
  <c r="L95"/>
  <c r="R95" s="1"/>
  <c r="BJ87" i="14"/>
  <c r="BK87" s="1"/>
  <c r="BI87"/>
  <c r="AO89"/>
  <c r="AS88"/>
  <c r="AT88" s="1"/>
  <c r="BF88"/>
  <c r="BG88" s="1"/>
  <c r="BH88"/>
  <c r="BD89"/>
  <c r="Y88" i="12"/>
  <c r="E94" i="13"/>
  <c r="F94" s="1"/>
  <c r="BZ90" i="11"/>
  <c r="BW91"/>
  <c r="BO91"/>
  <c r="BM92"/>
  <c r="BP91"/>
  <c r="BY91"/>
  <c r="BS90"/>
  <c r="BQ90"/>
  <c r="BR90" s="1"/>
  <c r="BT89"/>
  <c r="F94" i="15" l="1"/>
  <c r="N88" i="16"/>
  <c r="S95" i="15"/>
  <c r="Y95"/>
  <c r="AA95" s="1"/>
  <c r="AR88" i="14"/>
  <c r="AJ90"/>
  <c r="AM90" s="1"/>
  <c r="AO90" s="1"/>
  <c r="AP90" s="1"/>
  <c r="AK90"/>
  <c r="AL90" s="1"/>
  <c r="AF92"/>
  <c r="AI91"/>
  <c r="AH91"/>
  <c r="U91"/>
  <c r="Y91" s="1"/>
  <c r="AA91" s="1"/>
  <c r="W91"/>
  <c r="X91" s="1"/>
  <c r="T92"/>
  <c r="R92"/>
  <c r="P93"/>
  <c r="Z90"/>
  <c r="AP89"/>
  <c r="M95" i="15"/>
  <c r="BF89" i="14"/>
  <c r="BG89" s="1"/>
  <c r="BJ88"/>
  <c r="BK88" s="1"/>
  <c r="BI88"/>
  <c r="AS89"/>
  <c r="AT89" s="1"/>
  <c r="AR89"/>
  <c r="BE89"/>
  <c r="BH89" s="1"/>
  <c r="AA88" i="12"/>
  <c r="AB88" s="1"/>
  <c r="G94" i="13"/>
  <c r="Z88" i="12"/>
  <c r="BZ91" i="11"/>
  <c r="BS91"/>
  <c r="BQ91"/>
  <c r="BR91" s="1"/>
  <c r="BM93"/>
  <c r="BW92"/>
  <c r="BO92"/>
  <c r="BP92"/>
  <c r="BY92"/>
  <c r="BT90"/>
  <c r="AJ91" i="14" l="1"/>
  <c r="AM91" s="1"/>
  <c r="AK91"/>
  <c r="AL91" s="1"/>
  <c r="AN90"/>
  <c r="AQ90" s="1"/>
  <c r="AS90" s="1"/>
  <c r="AT90" s="1"/>
  <c r="AF93"/>
  <c r="AI92"/>
  <c r="AH92"/>
  <c r="P94"/>
  <c r="R93"/>
  <c r="T93"/>
  <c r="W92"/>
  <c r="X92" s="1"/>
  <c r="U92"/>
  <c r="Y92" s="1"/>
  <c r="AA92" s="1"/>
  <c r="Z91"/>
  <c r="BJ89"/>
  <c r="BK89" s="1"/>
  <c r="BI89"/>
  <c r="BS92" i="11"/>
  <c r="BQ92"/>
  <c r="BR92" s="1"/>
  <c r="BZ92"/>
  <c r="BM94"/>
  <c r="BO93"/>
  <c r="BW93"/>
  <c r="BP93"/>
  <c r="BY93"/>
  <c r="BT91"/>
  <c r="AR90" i="14" l="1"/>
  <c r="AH93"/>
  <c r="AI93"/>
  <c r="AF94"/>
  <c r="AO91"/>
  <c r="AP91" s="1"/>
  <c r="AN91"/>
  <c r="AQ91" s="1"/>
  <c r="AJ92"/>
  <c r="AM92" s="1"/>
  <c r="AO92" s="1"/>
  <c r="AK92"/>
  <c r="AL92" s="1"/>
  <c r="T94"/>
  <c r="P95"/>
  <c r="R94"/>
  <c r="U93"/>
  <c r="Y93" s="1"/>
  <c r="AA93" s="1"/>
  <c r="W93"/>
  <c r="X93" s="1"/>
  <c r="Z92"/>
  <c r="BZ93" i="11"/>
  <c r="BT92"/>
  <c r="BS93"/>
  <c r="BQ93"/>
  <c r="BR93" s="1"/>
  <c r="BM95"/>
  <c r="BW94"/>
  <c r="BO94"/>
  <c r="BP94"/>
  <c r="BY94"/>
  <c r="AS91" i="14" l="1"/>
  <c r="AT91" s="1"/>
  <c r="AR91"/>
  <c r="AN92"/>
  <c r="AQ92" s="1"/>
  <c r="AS92" s="1"/>
  <c r="AT92" s="1"/>
  <c r="AF95"/>
  <c r="AH94"/>
  <c r="AI94"/>
  <c r="AK93"/>
  <c r="AL93" s="1"/>
  <c r="AJ93"/>
  <c r="AM93" s="1"/>
  <c r="AP92"/>
  <c r="Z93"/>
  <c r="W94"/>
  <c r="X94" s="1"/>
  <c r="U94"/>
  <c r="Y94" s="1"/>
  <c r="AA94" s="1"/>
  <c r="P96"/>
  <c r="T95"/>
  <c r="R95"/>
  <c r="BT93" i="11"/>
  <c r="BS94"/>
  <c r="BQ94"/>
  <c r="BR94" s="1"/>
  <c r="BM96"/>
  <c r="BW95"/>
  <c r="BO95"/>
  <c r="BP95"/>
  <c r="BY95"/>
  <c r="BZ94"/>
  <c r="AO93" i="14" l="1"/>
  <c r="AP93" s="1"/>
  <c r="AI95"/>
  <c r="AF96"/>
  <c r="AH95"/>
  <c r="AJ94"/>
  <c r="AM94" s="1"/>
  <c r="AK94"/>
  <c r="AL94" s="1"/>
  <c r="AN93"/>
  <c r="AQ93" s="1"/>
  <c r="AR92"/>
  <c r="Z94"/>
  <c r="W95"/>
  <c r="X95" s="1"/>
  <c r="Z95" s="1"/>
  <c r="U95"/>
  <c r="Y95" s="1"/>
  <c r="AA95" s="1"/>
  <c r="R96"/>
  <c r="T96"/>
  <c r="P97"/>
  <c r="BT94" i="11"/>
  <c r="BS95"/>
  <c r="BQ95"/>
  <c r="BR95" s="1"/>
  <c r="BM97"/>
  <c r="BW96"/>
  <c r="BO96"/>
  <c r="BP96"/>
  <c r="BY96"/>
  <c r="BZ95"/>
  <c r="AS93" i="14" l="1"/>
  <c r="AT93" s="1"/>
  <c r="AR93"/>
  <c r="AJ95"/>
  <c r="AM95" s="1"/>
  <c r="AO95" s="1"/>
  <c r="AP95" s="1"/>
  <c r="AK95"/>
  <c r="AL95" s="1"/>
  <c r="AO94"/>
  <c r="AP94" s="1"/>
  <c r="AQ94"/>
  <c r="AS94" s="1"/>
  <c r="AT94" s="1"/>
  <c r="AN94"/>
  <c r="AH96"/>
  <c r="AI96"/>
  <c r="AF97"/>
  <c r="P98"/>
  <c r="R97"/>
  <c r="T97"/>
  <c r="W96"/>
  <c r="X96" s="1"/>
  <c r="U96"/>
  <c r="Y96" s="1"/>
  <c r="AA96" s="1"/>
  <c r="BT95" i="11"/>
  <c r="BS96"/>
  <c r="BQ96"/>
  <c r="BR96" s="1"/>
  <c r="BM98"/>
  <c r="BW97"/>
  <c r="BO97"/>
  <c r="BP97"/>
  <c r="BY97"/>
  <c r="BZ96"/>
  <c r="AJ96" i="14" l="1"/>
  <c r="AM96" s="1"/>
  <c r="AK96"/>
  <c r="AL96" s="1"/>
  <c r="AF98"/>
  <c r="AI97"/>
  <c r="AH97"/>
  <c r="AN95"/>
  <c r="AQ95" s="1"/>
  <c r="AS95" s="1"/>
  <c r="AT95" s="1"/>
  <c r="AR94"/>
  <c r="T98"/>
  <c r="P99"/>
  <c r="R98"/>
  <c r="U97"/>
  <c r="Y97" s="1"/>
  <c r="AA97" s="1"/>
  <c r="W97"/>
  <c r="X97" s="1"/>
  <c r="Z96"/>
  <c r="BT96" i="11"/>
  <c r="BS97"/>
  <c r="BQ97"/>
  <c r="BR97" s="1"/>
  <c r="BM99"/>
  <c r="BW98"/>
  <c r="BO98"/>
  <c r="BP98"/>
  <c r="BY98"/>
  <c r="BZ97"/>
  <c r="AO96" i="14" l="1"/>
  <c r="AP96" s="1"/>
  <c r="AH98"/>
  <c r="AI98"/>
  <c r="AR95"/>
  <c r="AJ97"/>
  <c r="AM97" s="1"/>
  <c r="AK97"/>
  <c r="AL97" s="1"/>
  <c r="AN96"/>
  <c r="AQ96" s="1"/>
  <c r="Z97"/>
  <c r="P100"/>
  <c r="T99"/>
  <c r="R99"/>
  <c r="W98"/>
  <c r="X98" s="1"/>
  <c r="U98"/>
  <c r="Y98" s="1"/>
  <c r="AA98" s="1"/>
  <c r="BT97" i="11"/>
  <c r="BS98"/>
  <c r="BQ98"/>
  <c r="BR98" s="1"/>
  <c r="BM100"/>
  <c r="BW99"/>
  <c r="BO99"/>
  <c r="BP99"/>
  <c r="BY99"/>
  <c r="BZ98"/>
  <c r="AS96" i="14" l="1"/>
  <c r="AT96" s="1"/>
  <c r="AR96"/>
  <c r="AO97"/>
  <c r="AP97" s="1"/>
  <c r="AN97"/>
  <c r="AQ97" s="1"/>
  <c r="AJ98"/>
  <c r="AM98" s="1"/>
  <c r="AK98"/>
  <c r="AL98" s="1"/>
  <c r="W99"/>
  <c r="X99" s="1"/>
  <c r="U99"/>
  <c r="Y99" s="1"/>
  <c r="AA99" s="1"/>
  <c r="T100"/>
  <c r="R100"/>
  <c r="P101"/>
  <c r="Z98"/>
  <c r="BT98" i="11"/>
  <c r="BS99"/>
  <c r="BQ99"/>
  <c r="BR99" s="1"/>
  <c r="BM101"/>
  <c r="BW100"/>
  <c r="BO100"/>
  <c r="BP100"/>
  <c r="BY100"/>
  <c r="BZ99"/>
  <c r="AS97" i="14" l="1"/>
  <c r="AT97" s="1"/>
  <c r="AR97"/>
  <c r="AO98"/>
  <c r="AP98" s="1"/>
  <c r="AN98"/>
  <c r="AQ98" s="1"/>
  <c r="Z99"/>
  <c r="P102"/>
  <c r="R101"/>
  <c r="T101"/>
  <c r="U100"/>
  <c r="Y100" s="1"/>
  <c r="AA100" s="1"/>
  <c r="W100"/>
  <c r="X100" s="1"/>
  <c r="BT99" i="11"/>
  <c r="BS100"/>
  <c r="BQ100"/>
  <c r="BR100" s="1"/>
  <c r="BM102"/>
  <c r="BW101"/>
  <c r="BO101"/>
  <c r="BP101"/>
  <c r="BY101"/>
  <c r="BZ100"/>
  <c r="AS98" i="14" l="1"/>
  <c r="AT98" s="1"/>
  <c r="AR98"/>
  <c r="Z100"/>
  <c r="U101"/>
  <c r="Y101" s="1"/>
  <c r="AA101" s="1"/>
  <c r="W101"/>
  <c r="X101" s="1"/>
  <c r="T102"/>
  <c r="R102"/>
  <c r="P103"/>
  <c r="P104" s="1"/>
  <c r="BT100" i="11"/>
  <c r="BS101"/>
  <c r="BQ101"/>
  <c r="BR101" s="1"/>
  <c r="BM103"/>
  <c r="BW102"/>
  <c r="BO102"/>
  <c r="BP102"/>
  <c r="BY102"/>
  <c r="BZ101"/>
  <c r="R104" i="14" l="1"/>
  <c r="T104"/>
  <c r="P105"/>
  <c r="T103"/>
  <c r="R103"/>
  <c r="U102"/>
  <c r="Y102" s="1"/>
  <c r="AA102" s="1"/>
  <c r="W102"/>
  <c r="X102" s="1"/>
  <c r="Z101"/>
  <c r="BT101" i="11"/>
  <c r="BS102"/>
  <c r="BQ102"/>
  <c r="BR102" s="1"/>
  <c r="BM104"/>
  <c r="BW103"/>
  <c r="BO103"/>
  <c r="BP103"/>
  <c r="BY103"/>
  <c r="BZ102"/>
  <c r="W104" i="14" l="1"/>
  <c r="X104" s="1"/>
  <c r="U104"/>
  <c r="Y104" s="1"/>
  <c r="AA104" s="1"/>
  <c r="R105"/>
  <c r="T105"/>
  <c r="P106"/>
  <c r="W103"/>
  <c r="X103" s="1"/>
  <c r="U103"/>
  <c r="Y103" s="1"/>
  <c r="AA103" s="1"/>
  <c r="Z102"/>
  <c r="BT102" i="11"/>
  <c r="BS103"/>
  <c r="BQ103"/>
  <c r="BR103" s="1"/>
  <c r="BM105"/>
  <c r="BW104"/>
  <c r="BO104"/>
  <c r="BP104"/>
  <c r="BY104"/>
  <c r="BZ103"/>
  <c r="Z104" i="14" l="1"/>
  <c r="W105"/>
  <c r="X105" s="1"/>
  <c r="Z105" s="1"/>
  <c r="U105"/>
  <c r="Y105" s="1"/>
  <c r="AA105" s="1"/>
  <c r="T106"/>
  <c r="R106"/>
  <c r="P107"/>
  <c r="Z103"/>
  <c r="BT103" i="11"/>
  <c r="BS104"/>
  <c r="BQ104"/>
  <c r="BR104" s="1"/>
  <c r="BM106"/>
  <c r="BO105"/>
  <c r="BW105"/>
  <c r="BP105"/>
  <c r="BY105"/>
  <c r="BZ104"/>
  <c r="P108" i="14" l="1"/>
  <c r="R107"/>
  <c r="T107"/>
  <c r="W106"/>
  <c r="X106" s="1"/>
  <c r="U106"/>
  <c r="Y106" s="1"/>
  <c r="AA106" s="1"/>
  <c r="BT104" i="11"/>
  <c r="BZ105"/>
  <c r="BM107"/>
  <c r="BW106"/>
  <c r="BO106"/>
  <c r="BP106"/>
  <c r="BY106"/>
  <c r="BS105"/>
  <c r="BQ105"/>
  <c r="BR105" s="1"/>
  <c r="P109" i="14" l="1"/>
  <c r="T108"/>
  <c r="R108"/>
  <c r="U107"/>
  <c r="Y107" s="1"/>
  <c r="AA107" s="1"/>
  <c r="W107"/>
  <c r="X107" s="1"/>
  <c r="Z106"/>
  <c r="BM108" i="11"/>
  <c r="BW107"/>
  <c r="BO107"/>
  <c r="BP107"/>
  <c r="BY107"/>
  <c r="BS106"/>
  <c r="BQ106"/>
  <c r="BR106" s="1"/>
  <c r="BZ106"/>
  <c r="BT105"/>
  <c r="R109" i="14" l="1"/>
  <c r="P110"/>
  <c r="T109"/>
  <c r="U108"/>
  <c r="Y108" s="1"/>
  <c r="AA108" s="1"/>
  <c r="W108"/>
  <c r="X108" s="1"/>
  <c r="Z107"/>
  <c r="BM109" i="11"/>
  <c r="BW108"/>
  <c r="BO108"/>
  <c r="BP108"/>
  <c r="BY108"/>
  <c r="BS107"/>
  <c r="BQ107"/>
  <c r="BR107" s="1"/>
  <c r="BZ107"/>
  <c r="BT106"/>
  <c r="Z108" i="14" l="1"/>
  <c r="U109"/>
  <c r="Y109" s="1"/>
  <c r="AA109" s="1"/>
  <c r="W109"/>
  <c r="X109" s="1"/>
  <c r="P111"/>
  <c r="T110"/>
  <c r="R110"/>
  <c r="BM110" i="11"/>
  <c r="BW109"/>
  <c r="BO109"/>
  <c r="BP109"/>
  <c r="BY109"/>
  <c r="BS108"/>
  <c r="BQ108"/>
  <c r="BR108" s="1"/>
  <c r="BZ108"/>
  <c r="BT107"/>
  <c r="Z109" i="14" l="1"/>
  <c r="R111"/>
  <c r="P112"/>
  <c r="T111"/>
  <c r="W110"/>
  <c r="X110" s="1"/>
  <c r="U110"/>
  <c r="Y110" s="1"/>
  <c r="AA110" s="1"/>
  <c r="BZ109" i="11"/>
  <c r="BM111"/>
  <c r="BW110"/>
  <c r="BO110"/>
  <c r="BP110"/>
  <c r="BY110"/>
  <c r="BS109"/>
  <c r="BQ109"/>
  <c r="BR109" s="1"/>
  <c r="BT108"/>
  <c r="Z110" i="14" l="1"/>
  <c r="W111"/>
  <c r="X111" s="1"/>
  <c r="Z111" s="1"/>
  <c r="U111"/>
  <c r="Y111" s="1"/>
  <c r="AA111" s="1"/>
  <c r="R112"/>
  <c r="P113"/>
  <c r="T112"/>
  <c r="BZ110" i="11"/>
  <c r="BM112"/>
  <c r="BW111"/>
  <c r="BO111"/>
  <c r="BP111"/>
  <c r="BY111"/>
  <c r="BS110"/>
  <c r="BQ110"/>
  <c r="BR110" s="1"/>
  <c r="BT109"/>
  <c r="W112" i="14" l="1"/>
  <c r="X112" s="1"/>
  <c r="Z112" s="1"/>
  <c r="U112"/>
  <c r="Y112" s="1"/>
  <c r="AA112" s="1"/>
  <c r="R113"/>
  <c r="P114"/>
  <c r="T113"/>
  <c r="BM113" i="11"/>
  <c r="BW112"/>
  <c r="BO112"/>
  <c r="BP112"/>
  <c r="BY112"/>
  <c r="BS111"/>
  <c r="BQ111"/>
  <c r="BR111" s="1"/>
  <c r="BZ111"/>
  <c r="BT110"/>
  <c r="W113" i="14" l="1"/>
  <c r="X113" s="1"/>
  <c r="U113"/>
  <c r="Y113" s="1"/>
  <c r="AA113" s="1"/>
  <c r="R114"/>
  <c r="P115"/>
  <c r="T114"/>
  <c r="BS112" i="11"/>
  <c r="BQ112"/>
  <c r="BR112" s="1"/>
  <c r="BZ112"/>
  <c r="BM114"/>
  <c r="BW113"/>
  <c r="BO113"/>
  <c r="BP113"/>
  <c r="BY113"/>
  <c r="BT111"/>
  <c r="Z113" i="14" l="1"/>
  <c r="U114"/>
  <c r="Y114" s="1"/>
  <c r="AA114" s="1"/>
  <c r="W114"/>
  <c r="X114" s="1"/>
  <c r="P116"/>
  <c r="T115"/>
  <c r="R115"/>
  <c r="BZ113" i="11"/>
  <c r="BS113"/>
  <c r="BQ113"/>
  <c r="BR113" s="1"/>
  <c r="BM115"/>
  <c r="BW114"/>
  <c r="BO114"/>
  <c r="BP114"/>
  <c r="BY114"/>
  <c r="BT112"/>
  <c r="Z114" i="14" l="1"/>
  <c r="U115"/>
  <c r="Y115" s="1"/>
  <c r="AA115" s="1"/>
  <c r="W115"/>
  <c r="X115" s="1"/>
  <c r="T116"/>
  <c r="P117"/>
  <c r="R116"/>
  <c r="BT113" i="11"/>
  <c r="BM116"/>
  <c r="BW115"/>
  <c r="BO115"/>
  <c r="BP115"/>
  <c r="BY115"/>
  <c r="BS114"/>
  <c r="BQ114"/>
  <c r="BR114" s="1"/>
  <c r="BZ114"/>
  <c r="Z115" i="14" l="1"/>
  <c r="W116"/>
  <c r="X116" s="1"/>
  <c r="U116"/>
  <c r="Y116" s="1"/>
  <c r="AA116" s="1"/>
  <c r="T117"/>
  <c r="R117"/>
  <c r="P118"/>
  <c r="BT114" i="11"/>
  <c r="BM117"/>
  <c r="BW116"/>
  <c r="BO116"/>
  <c r="BP116"/>
  <c r="BY116"/>
  <c r="BS115"/>
  <c r="BQ115"/>
  <c r="BR115" s="1"/>
  <c r="BZ115"/>
  <c r="Z116" i="14" l="1"/>
  <c r="T118"/>
  <c r="P119"/>
  <c r="R118"/>
  <c r="W117"/>
  <c r="X117" s="1"/>
  <c r="U117"/>
  <c r="Y117" s="1"/>
  <c r="AA117" s="1"/>
  <c r="BZ116" i="11"/>
  <c r="BM118"/>
  <c r="BO117"/>
  <c r="BW117"/>
  <c r="BP117"/>
  <c r="BY117"/>
  <c r="BS116"/>
  <c r="BQ116"/>
  <c r="BR116" s="1"/>
  <c r="BT115"/>
  <c r="P120" i="14" l="1"/>
  <c r="T119"/>
  <c r="R119"/>
  <c r="W118"/>
  <c r="X118" s="1"/>
  <c r="U118"/>
  <c r="Y118" s="1"/>
  <c r="AA118" s="1"/>
  <c r="Z117"/>
  <c r="BM119" i="11"/>
  <c r="BW118"/>
  <c r="BO118"/>
  <c r="BP118"/>
  <c r="BY118"/>
  <c r="BS117"/>
  <c r="BQ117"/>
  <c r="BR117" s="1"/>
  <c r="BT116"/>
  <c r="BZ117"/>
  <c r="Z118" i="14" l="1"/>
  <c r="W119"/>
  <c r="X119" s="1"/>
  <c r="Z119" s="1"/>
  <c r="U119"/>
  <c r="Y119" s="1"/>
  <c r="AA119" s="1"/>
  <c r="P121"/>
  <c r="T120"/>
  <c r="R120"/>
  <c r="BZ118" i="11"/>
  <c r="BM120"/>
  <c r="BW119"/>
  <c r="BO119"/>
  <c r="BP119"/>
  <c r="BY119"/>
  <c r="BS118"/>
  <c r="BQ118"/>
  <c r="BR118" s="1"/>
  <c r="BT117"/>
  <c r="U120" i="14" l="1"/>
  <c r="Y120" s="1"/>
  <c r="AA120" s="1"/>
  <c r="W120"/>
  <c r="X120" s="1"/>
  <c r="T121"/>
  <c r="R121"/>
  <c r="P122"/>
  <c r="BM121" i="11"/>
  <c r="BW120"/>
  <c r="BO120"/>
  <c r="BP120"/>
  <c r="BY120"/>
  <c r="BS119"/>
  <c r="BQ119"/>
  <c r="BR119" s="1"/>
  <c r="BZ119"/>
  <c r="BT118"/>
  <c r="P123" i="14" l="1"/>
  <c r="R122"/>
  <c r="T122"/>
  <c r="Z120"/>
  <c r="W121"/>
  <c r="X121" s="1"/>
  <c r="U121"/>
  <c r="Y121" s="1"/>
  <c r="AA121" s="1"/>
  <c r="BZ120" i="11"/>
  <c r="BM122"/>
  <c r="BO121"/>
  <c r="BW121"/>
  <c r="BP121"/>
  <c r="BY121"/>
  <c r="BS120"/>
  <c r="BQ120"/>
  <c r="BR120" s="1"/>
  <c r="BT119"/>
  <c r="Z121" i="14" l="1"/>
  <c r="P124"/>
  <c r="T123"/>
  <c r="R123"/>
  <c r="W122"/>
  <c r="X122" s="1"/>
  <c r="U122"/>
  <c r="Y122" s="1"/>
  <c r="AA122" s="1"/>
  <c r="BM123" i="11"/>
  <c r="BW122"/>
  <c r="BO122"/>
  <c r="BP122"/>
  <c r="BY122"/>
  <c r="BS121"/>
  <c r="BQ121"/>
  <c r="BR121" s="1"/>
  <c r="BT120"/>
  <c r="BZ121"/>
  <c r="R124" i="14" l="1"/>
  <c r="T124"/>
  <c r="P125"/>
  <c r="U123"/>
  <c r="Y123" s="1"/>
  <c r="AA123" s="1"/>
  <c r="W123"/>
  <c r="X123" s="1"/>
  <c r="Z122"/>
  <c r="BZ122" i="11"/>
  <c r="BM124"/>
  <c r="BW123"/>
  <c r="BO123"/>
  <c r="BP123"/>
  <c r="BY123"/>
  <c r="BS122"/>
  <c r="BQ122"/>
  <c r="BR122" s="1"/>
  <c r="BT121"/>
  <c r="U124" i="14" l="1"/>
  <c r="Y124" s="1"/>
  <c r="AA124" s="1"/>
  <c r="W124"/>
  <c r="X124" s="1"/>
  <c r="P126"/>
  <c r="R125"/>
  <c r="T125"/>
  <c r="Z123"/>
  <c r="BZ123" i="11"/>
  <c r="BM125"/>
  <c r="BW124"/>
  <c r="BO124"/>
  <c r="BP124"/>
  <c r="BY124"/>
  <c r="BS123"/>
  <c r="BQ123"/>
  <c r="BR123" s="1"/>
  <c r="BT122"/>
  <c r="Z124" i="14" l="1"/>
  <c r="T126"/>
  <c r="R126"/>
  <c r="P127"/>
  <c r="W125"/>
  <c r="X125" s="1"/>
  <c r="U125"/>
  <c r="Y125" s="1"/>
  <c r="AA125" s="1"/>
  <c r="BZ124" i="11"/>
  <c r="BM126"/>
  <c r="BO125"/>
  <c r="BW125"/>
  <c r="BP125"/>
  <c r="BY125"/>
  <c r="BS124"/>
  <c r="BQ124"/>
  <c r="BR124" s="1"/>
  <c r="BT123"/>
  <c r="U126" i="14" l="1"/>
  <c r="Y126" s="1"/>
  <c r="AA126" s="1"/>
  <c r="W126"/>
  <c r="X126" s="1"/>
  <c r="T127"/>
  <c r="R127"/>
  <c r="P128"/>
  <c r="Z125"/>
  <c r="BM127" i="11"/>
  <c r="BW126"/>
  <c r="BO126"/>
  <c r="BP126"/>
  <c r="BY126"/>
  <c r="BS125"/>
  <c r="BQ125"/>
  <c r="BR125" s="1"/>
  <c r="BT124"/>
  <c r="BZ125"/>
  <c r="T128" i="14" l="1"/>
  <c r="R128"/>
  <c r="P129"/>
  <c r="Z126"/>
  <c r="U127"/>
  <c r="Y127" s="1"/>
  <c r="AA127" s="1"/>
  <c r="W127"/>
  <c r="X127" s="1"/>
  <c r="BT125" i="11"/>
  <c r="BM128"/>
  <c r="BW127"/>
  <c r="BO127"/>
  <c r="BP127"/>
  <c r="BY127"/>
  <c r="BS126"/>
  <c r="BQ126"/>
  <c r="BR126" s="1"/>
  <c r="BZ126"/>
  <c r="Z127" i="14" l="1"/>
  <c r="P130"/>
  <c r="R129"/>
  <c r="T129"/>
  <c r="U128"/>
  <c r="Y128" s="1"/>
  <c r="AA128" s="1"/>
  <c r="W128"/>
  <c r="X128" s="1"/>
  <c r="BZ127" i="11"/>
  <c r="BM129"/>
  <c r="BW128"/>
  <c r="BO128"/>
  <c r="BP128"/>
  <c r="BY128"/>
  <c r="BS127"/>
  <c r="BQ127"/>
  <c r="BR127" s="1"/>
  <c r="BT126"/>
  <c r="Z128" i="14" l="1"/>
  <c r="T130"/>
  <c r="R130"/>
  <c r="P131"/>
  <c r="W129"/>
  <c r="X129" s="1"/>
  <c r="U129"/>
  <c r="Y129" s="1"/>
  <c r="AA129" s="1"/>
  <c r="BZ128" i="11"/>
  <c r="BM130"/>
  <c r="BW129"/>
  <c r="BO129"/>
  <c r="BP129"/>
  <c r="BY129"/>
  <c r="BS128"/>
  <c r="BQ128"/>
  <c r="BR128" s="1"/>
  <c r="BT127"/>
  <c r="U130" i="14" l="1"/>
  <c r="Y130" s="1"/>
  <c r="AA130" s="1"/>
  <c r="W130"/>
  <c r="X130" s="1"/>
  <c r="P132"/>
  <c r="T131"/>
  <c r="R131"/>
  <c r="Z129"/>
  <c r="BZ129" i="11"/>
  <c r="BM131"/>
  <c r="BW130"/>
  <c r="BO130"/>
  <c r="BP130"/>
  <c r="BY130"/>
  <c r="BS129"/>
  <c r="BQ129"/>
  <c r="BR129" s="1"/>
  <c r="BT128"/>
  <c r="U131" i="14" l="1"/>
  <c r="Y131" s="1"/>
  <c r="AA131" s="1"/>
  <c r="W131"/>
  <c r="X131" s="1"/>
  <c r="T132"/>
  <c r="P133"/>
  <c r="R132"/>
  <c r="Z130"/>
  <c r="BM132" i="11"/>
  <c r="BW131"/>
  <c r="BO131"/>
  <c r="BP131"/>
  <c r="BY131"/>
  <c r="BS130"/>
  <c r="BQ130"/>
  <c r="BR130" s="1"/>
  <c r="BZ130"/>
  <c r="BT129"/>
  <c r="W132" i="14" l="1"/>
  <c r="X132" s="1"/>
  <c r="U132"/>
  <c r="Y132" s="1"/>
  <c r="AA132" s="1"/>
  <c r="Z131"/>
  <c r="T133"/>
  <c r="P134"/>
  <c r="R133"/>
  <c r="BZ131" i="11"/>
  <c r="BM133"/>
  <c r="BO132"/>
  <c r="BW132"/>
  <c r="BP132"/>
  <c r="BY132"/>
  <c r="BS131"/>
  <c r="BQ131"/>
  <c r="BR131" s="1"/>
  <c r="BT130"/>
  <c r="Z132" i="14" l="1"/>
  <c r="U133"/>
  <c r="Y133" s="1"/>
  <c r="AA133" s="1"/>
  <c r="W133"/>
  <c r="X133" s="1"/>
  <c r="P135"/>
  <c r="R134"/>
  <c r="T134"/>
  <c r="BM134" i="11"/>
  <c r="BO133"/>
  <c r="BW133"/>
  <c r="BP133"/>
  <c r="BY133"/>
  <c r="BS132"/>
  <c r="BQ132"/>
  <c r="BR132" s="1"/>
  <c r="BT131"/>
  <c r="BZ132"/>
  <c r="Z133" i="14" l="1"/>
  <c r="T135"/>
  <c r="P136"/>
  <c r="P137" s="1"/>
  <c r="R135"/>
  <c r="U134"/>
  <c r="Y134" s="1"/>
  <c r="AA134" s="1"/>
  <c r="W134"/>
  <c r="X134" s="1"/>
  <c r="BM135" i="11"/>
  <c r="BW134"/>
  <c r="BO134"/>
  <c r="BP134"/>
  <c r="BY134"/>
  <c r="BS133"/>
  <c r="BQ133"/>
  <c r="BR133" s="1"/>
  <c r="BT132"/>
  <c r="BZ133"/>
  <c r="T137" i="14" l="1"/>
  <c r="P138"/>
  <c r="R137"/>
  <c r="T136"/>
  <c r="R136"/>
  <c r="U135"/>
  <c r="Y135" s="1"/>
  <c r="AA135" s="1"/>
  <c r="W135"/>
  <c r="X135" s="1"/>
  <c r="Z134"/>
  <c r="BM136" i="11"/>
  <c r="BW135"/>
  <c r="BO135"/>
  <c r="BP135"/>
  <c r="BY135"/>
  <c r="BS134"/>
  <c r="BQ134"/>
  <c r="BR134" s="1"/>
  <c r="BZ134"/>
  <c r="BT133"/>
  <c r="R138" i="14" l="1"/>
  <c r="P139"/>
  <c r="T138"/>
  <c r="U137"/>
  <c r="Y137" s="1"/>
  <c r="AA137" s="1"/>
  <c r="W137"/>
  <c r="X137" s="1"/>
  <c r="Z137" s="1"/>
  <c r="W136"/>
  <c r="X136" s="1"/>
  <c r="U136"/>
  <c r="Y136" s="1"/>
  <c r="AA136" s="1"/>
  <c r="Z135"/>
  <c r="BM137" i="11"/>
  <c r="BW136"/>
  <c r="BO136"/>
  <c r="BP136"/>
  <c r="BY136"/>
  <c r="BS135"/>
  <c r="BQ135"/>
  <c r="BR135" s="1"/>
  <c r="BZ135"/>
  <c r="BT134"/>
  <c r="W138" i="14" l="1"/>
  <c r="X138" s="1"/>
  <c r="Z138" s="1"/>
  <c r="U138"/>
  <c r="Y138" s="1"/>
  <c r="AA138" s="1"/>
  <c r="T139"/>
  <c r="R139"/>
  <c r="P140"/>
  <c r="Z136"/>
  <c r="BM138" i="11"/>
  <c r="BW137"/>
  <c r="BO137"/>
  <c r="BP137"/>
  <c r="BY137"/>
  <c r="BT135"/>
  <c r="BS136"/>
  <c r="BQ136"/>
  <c r="BR136" s="1"/>
  <c r="BZ136"/>
  <c r="T140" i="14" l="1"/>
  <c r="R140"/>
  <c r="P141"/>
  <c r="W139"/>
  <c r="X139" s="1"/>
  <c r="U139"/>
  <c r="Y139" s="1"/>
  <c r="AA139" s="1"/>
  <c r="BS137" i="11"/>
  <c r="BQ137"/>
  <c r="BR137" s="1"/>
  <c r="BZ137"/>
  <c r="BM139"/>
  <c r="BO138"/>
  <c r="BW138"/>
  <c r="BP138"/>
  <c r="BY138"/>
  <c r="BT136"/>
  <c r="W140" i="14" l="1"/>
  <c r="X140" s="1"/>
  <c r="Z140" s="1"/>
  <c r="U140"/>
  <c r="Y140" s="1"/>
  <c r="AA140" s="1"/>
  <c r="R141"/>
  <c r="P142"/>
  <c r="T141"/>
  <c r="Z139"/>
  <c r="BZ138" i="11"/>
  <c r="BS138"/>
  <c r="BQ138"/>
  <c r="BR138" s="1"/>
  <c r="BT137"/>
  <c r="BM140"/>
  <c r="BW139"/>
  <c r="BO139"/>
  <c r="BP139"/>
  <c r="BY139"/>
  <c r="W141" i="14" l="1"/>
  <c r="X141" s="1"/>
  <c r="Z141" s="1"/>
  <c r="U141"/>
  <c r="Y141" s="1"/>
  <c r="AA141" s="1"/>
  <c r="R142"/>
  <c r="P143"/>
  <c r="T142"/>
  <c r="BZ139" i="11"/>
  <c r="BS139"/>
  <c r="BQ139"/>
  <c r="BR139" s="1"/>
  <c r="BM141"/>
  <c r="BW140"/>
  <c r="BO140"/>
  <c r="BP140"/>
  <c r="BY140"/>
  <c r="BT138"/>
  <c r="U142" i="14" l="1"/>
  <c r="Y142" s="1"/>
  <c r="AA142" s="1"/>
  <c r="W142"/>
  <c r="X142" s="1"/>
  <c r="P144"/>
  <c r="T143"/>
  <c r="R143"/>
  <c r="BS140" i="11"/>
  <c r="BQ140"/>
  <c r="BR140" s="1"/>
  <c r="BM142"/>
  <c r="BW141"/>
  <c r="BO141"/>
  <c r="BP141"/>
  <c r="BY141"/>
  <c r="BT139"/>
  <c r="BZ140"/>
  <c r="U143" i="14" l="1"/>
  <c r="Y143" s="1"/>
  <c r="AA143" s="1"/>
  <c r="W143"/>
  <c r="X143" s="1"/>
  <c r="P145"/>
  <c r="R144"/>
  <c r="T144"/>
  <c r="Z142"/>
  <c r="BM143" i="11"/>
  <c r="BW142"/>
  <c r="BO142"/>
  <c r="BP142"/>
  <c r="BY142"/>
  <c r="BT140"/>
  <c r="BS141"/>
  <c r="BQ141"/>
  <c r="BR141" s="1"/>
  <c r="BZ141"/>
  <c r="Z143" i="14" l="1"/>
  <c r="T145"/>
  <c r="R145"/>
  <c r="P146"/>
  <c r="U144"/>
  <c r="Y144" s="1"/>
  <c r="AA144" s="1"/>
  <c r="W144"/>
  <c r="X144" s="1"/>
  <c r="BT141" i="11"/>
  <c r="BM144"/>
  <c r="BW143"/>
  <c r="BO143"/>
  <c r="BP143"/>
  <c r="BY143"/>
  <c r="BS142"/>
  <c r="BQ142"/>
  <c r="BR142" s="1"/>
  <c r="BZ142"/>
  <c r="Z144" i="14" l="1"/>
  <c r="P147"/>
  <c r="R146"/>
  <c r="T146"/>
  <c r="W145"/>
  <c r="X145" s="1"/>
  <c r="U145"/>
  <c r="Y145" s="1"/>
  <c r="AA145" s="1"/>
  <c r="BM145" i="11"/>
  <c r="BW144"/>
  <c r="BO144"/>
  <c r="BP144"/>
  <c r="BY144"/>
  <c r="BS143"/>
  <c r="BQ143"/>
  <c r="BR143" s="1"/>
  <c r="BT142"/>
  <c r="BZ143"/>
  <c r="W146" i="14" l="1"/>
  <c r="X146" s="1"/>
  <c r="U146"/>
  <c r="Y146" s="1"/>
  <c r="AA146" s="1"/>
  <c r="R147"/>
  <c r="P148"/>
  <c r="T147"/>
  <c r="Z145"/>
  <c r="BS144" i="11"/>
  <c r="BQ144"/>
  <c r="BR144" s="1"/>
  <c r="BT143"/>
  <c r="BM146"/>
  <c r="BW145"/>
  <c r="BO145"/>
  <c r="BP145"/>
  <c r="BY145"/>
  <c r="BZ144"/>
  <c r="Z146" i="14" l="1"/>
  <c r="U147"/>
  <c r="Y147" s="1"/>
  <c r="AA147" s="1"/>
  <c r="W147"/>
  <c r="X147" s="1"/>
  <c r="P149"/>
  <c r="R148"/>
  <c r="T148"/>
  <c r="BT144" i="11"/>
  <c r="BZ145"/>
  <c r="BS145"/>
  <c r="BQ145"/>
  <c r="BR145" s="1"/>
  <c r="BM147"/>
  <c r="BO146"/>
  <c r="BW146"/>
  <c r="BP146"/>
  <c r="BY146"/>
  <c r="Z147" i="14" l="1"/>
  <c r="T149"/>
  <c r="P150"/>
  <c r="R149"/>
  <c r="U148"/>
  <c r="Y148" s="1"/>
  <c r="AA148" s="1"/>
  <c r="W148"/>
  <c r="X148" s="1"/>
  <c r="Z148" s="1"/>
  <c r="BZ146" i="11"/>
  <c r="BT145"/>
  <c r="BM148"/>
  <c r="BW147"/>
  <c r="BO147"/>
  <c r="BP147"/>
  <c r="BY147"/>
  <c r="BS146"/>
  <c r="BQ146"/>
  <c r="BR146" s="1"/>
  <c r="W149" i="14" l="1"/>
  <c r="X149" s="1"/>
  <c r="U149"/>
  <c r="Y149" s="1"/>
  <c r="AA149" s="1"/>
  <c r="T150"/>
  <c r="P151"/>
  <c r="R150"/>
  <c r="BM149" i="11"/>
  <c r="BW148"/>
  <c r="BO148"/>
  <c r="BP148"/>
  <c r="BY148"/>
  <c r="BZ147"/>
  <c r="BS147"/>
  <c r="BQ147"/>
  <c r="BR147" s="1"/>
  <c r="BT146"/>
  <c r="Z149" i="14" l="1"/>
  <c r="U150"/>
  <c r="Y150" s="1"/>
  <c r="AA150" s="1"/>
  <c r="W150"/>
  <c r="X150" s="1"/>
  <c r="Z150" s="1"/>
  <c r="T151"/>
  <c r="P152"/>
  <c r="R151"/>
  <c r="BS148" i="11"/>
  <c r="BQ148"/>
  <c r="BR148" s="1"/>
  <c r="BZ148"/>
  <c r="BM150"/>
  <c r="BW149"/>
  <c r="BO149"/>
  <c r="BP149"/>
  <c r="BY149"/>
  <c r="BT147"/>
  <c r="W151" i="14" l="1"/>
  <c r="X151" s="1"/>
  <c r="U151"/>
  <c r="Y151" s="1"/>
  <c r="AA151" s="1"/>
  <c r="T152"/>
  <c r="P153"/>
  <c r="R152"/>
  <c r="BZ149" i="11"/>
  <c r="BS149"/>
  <c r="BQ149"/>
  <c r="BR149" s="1"/>
  <c r="BM151"/>
  <c r="BW150"/>
  <c r="BO150"/>
  <c r="BP150"/>
  <c r="BY150"/>
  <c r="BT148"/>
  <c r="Z151" i="14" l="1"/>
  <c r="U152"/>
  <c r="Y152" s="1"/>
  <c r="AA152" s="1"/>
  <c r="W152"/>
  <c r="X152" s="1"/>
  <c r="T153"/>
  <c r="P154"/>
  <c r="R153"/>
  <c r="BS150" i="11"/>
  <c r="BQ150"/>
  <c r="BR150" s="1"/>
  <c r="BM152"/>
  <c r="BW151"/>
  <c r="BO151"/>
  <c r="BP151"/>
  <c r="BY151"/>
  <c r="BT149"/>
  <c r="BZ150"/>
  <c r="Z152" i="14" l="1"/>
  <c r="U153"/>
  <c r="Y153" s="1"/>
  <c r="AA153" s="1"/>
  <c r="W153"/>
  <c r="X153" s="1"/>
  <c r="T154"/>
  <c r="P155"/>
  <c r="R154"/>
  <c r="BT150" i="11"/>
  <c r="BM153"/>
  <c r="BW152"/>
  <c r="BO152"/>
  <c r="BP152"/>
  <c r="BY152"/>
  <c r="BS151"/>
  <c r="BQ151"/>
  <c r="BR151" s="1"/>
  <c r="BZ151"/>
  <c r="W154" i="14" l="1"/>
  <c r="X154" s="1"/>
  <c r="U154"/>
  <c r="Y154" s="1"/>
  <c r="AA154" s="1"/>
  <c r="T155"/>
  <c r="P156"/>
  <c r="R155"/>
  <c r="Z153"/>
  <c r="BT151" i="11"/>
  <c r="BM154"/>
  <c r="BW153"/>
  <c r="BO153"/>
  <c r="BP153"/>
  <c r="BY153"/>
  <c r="BS152"/>
  <c r="BQ152"/>
  <c r="BR152" s="1"/>
  <c r="BZ152"/>
  <c r="Z154" i="14" l="1"/>
  <c r="U155"/>
  <c r="Y155" s="1"/>
  <c r="AA155" s="1"/>
  <c r="W155"/>
  <c r="X155" s="1"/>
  <c r="T156"/>
  <c r="P157"/>
  <c r="R156"/>
  <c r="BT152" i="11"/>
  <c r="BM155"/>
  <c r="BW154"/>
  <c r="BO154"/>
  <c r="BP154"/>
  <c r="BY154"/>
  <c r="BS153"/>
  <c r="BQ153"/>
  <c r="BR153" s="1"/>
  <c r="BZ153"/>
  <c r="Z155" i="14" l="1"/>
  <c r="W156"/>
  <c r="X156" s="1"/>
  <c r="Z156" s="1"/>
  <c r="U156"/>
  <c r="Y156" s="1"/>
  <c r="AA156" s="1"/>
  <c r="T157"/>
  <c r="P158"/>
  <c r="R157"/>
  <c r="BT153" i="11"/>
  <c r="BM156"/>
  <c r="BW155"/>
  <c r="BO155"/>
  <c r="BP155"/>
  <c r="BY155"/>
  <c r="BS154"/>
  <c r="BQ154"/>
  <c r="BR154" s="1"/>
  <c r="BZ154"/>
  <c r="U157" i="14" l="1"/>
  <c r="Y157" s="1"/>
  <c r="AA157" s="1"/>
  <c r="W157"/>
  <c r="X157" s="1"/>
  <c r="T158"/>
  <c r="R158"/>
  <c r="BS155" i="11"/>
  <c r="BQ155"/>
  <c r="BR155" s="1"/>
  <c r="BZ155"/>
  <c r="BM157"/>
  <c r="BW156"/>
  <c r="BO156"/>
  <c r="BP156"/>
  <c r="BY156"/>
  <c r="BT154"/>
  <c r="U158" i="14" l="1"/>
  <c r="Y158" s="1"/>
  <c r="AA158" s="1"/>
  <c r="W158"/>
  <c r="X158" s="1"/>
  <c r="Z157"/>
  <c r="BZ156" i="11"/>
  <c r="BT155"/>
  <c r="BS156"/>
  <c r="BQ156"/>
  <c r="BR156" s="1"/>
  <c r="BM158"/>
  <c r="BW157"/>
  <c r="BO157"/>
  <c r="BP157"/>
  <c r="BY157"/>
  <c r="Z158" i="14" l="1"/>
  <c r="BT156" i="11"/>
  <c r="BM159"/>
  <c r="BW158"/>
  <c r="BO158"/>
  <c r="BP158"/>
  <c r="BY158"/>
  <c r="BS157"/>
  <c r="BQ157"/>
  <c r="BR157" s="1"/>
  <c r="BZ157"/>
  <c r="BT157" l="1"/>
  <c r="BM160"/>
  <c r="BW159"/>
  <c r="BO159"/>
  <c r="BP159"/>
  <c r="BY159"/>
  <c r="BS158"/>
  <c r="BQ158"/>
  <c r="BR158" s="1"/>
  <c r="BZ158"/>
  <c r="BT158" l="1"/>
  <c r="BM161"/>
  <c r="BO160"/>
  <c r="BW160"/>
  <c r="BP160"/>
  <c r="BY160"/>
  <c r="BS159"/>
  <c r="BQ159"/>
  <c r="BR159" s="1"/>
  <c r="BZ159"/>
  <c r="BT159" l="1"/>
  <c r="BM162"/>
  <c r="BW161"/>
  <c r="BO161"/>
  <c r="BP161"/>
  <c r="BY161"/>
  <c r="BS160"/>
  <c r="BQ160"/>
  <c r="BR160" s="1"/>
  <c r="BZ160"/>
  <c r="BZ161" l="1"/>
  <c r="BM163"/>
  <c r="BO162"/>
  <c r="BW162"/>
  <c r="BP162"/>
  <c r="BY162"/>
  <c r="BS161"/>
  <c r="BQ161"/>
  <c r="BR161" s="1"/>
  <c r="BT160"/>
  <c r="BT161" l="1"/>
  <c r="BM164"/>
  <c r="BW163"/>
  <c r="BO163"/>
  <c r="BP163"/>
  <c r="BY163"/>
  <c r="BS162"/>
  <c r="BQ162"/>
  <c r="BR162" s="1"/>
  <c r="BZ162"/>
  <c r="BZ163" l="1"/>
  <c r="BM165"/>
  <c r="BW164"/>
  <c r="BO164"/>
  <c r="BP164"/>
  <c r="BY164"/>
  <c r="BS163"/>
  <c r="BQ163"/>
  <c r="BR163" s="1"/>
  <c r="BT162"/>
  <c r="BT163" l="1"/>
  <c r="BM166"/>
  <c r="BW165"/>
  <c r="BO165"/>
  <c r="BP165"/>
  <c r="BY165"/>
  <c r="BZ164"/>
  <c r="BS164"/>
  <c r="BQ164"/>
  <c r="BR164" s="1"/>
  <c r="BZ165" l="1"/>
  <c r="BM167"/>
  <c r="BW166"/>
  <c r="BO166"/>
  <c r="BP166"/>
  <c r="BY166"/>
  <c r="BS165"/>
  <c r="BQ165"/>
  <c r="BR165" s="1"/>
  <c r="BT164"/>
  <c r="BM168" l="1"/>
  <c r="BW167"/>
  <c r="BO167"/>
  <c r="BP167"/>
  <c r="BY167"/>
  <c r="BS166"/>
  <c r="BQ166"/>
  <c r="BR166" s="1"/>
  <c r="BZ166"/>
  <c r="BT165"/>
  <c r="BZ167" l="1"/>
  <c r="BM169"/>
  <c r="BW168"/>
  <c r="BO168"/>
  <c r="BP168"/>
  <c r="BY168"/>
  <c r="BS167"/>
  <c r="BQ167"/>
  <c r="BR167" s="1"/>
  <c r="BT166"/>
  <c r="BZ168" l="1"/>
  <c r="BM170"/>
  <c r="BW169"/>
  <c r="BO169"/>
  <c r="BP169"/>
  <c r="BY169"/>
  <c r="BS168"/>
  <c r="BQ168"/>
  <c r="BR168" s="1"/>
  <c r="BT167"/>
  <c r="BM171" l="1"/>
  <c r="BW170"/>
  <c r="BO170"/>
  <c r="BP170"/>
  <c r="BY170"/>
  <c r="BS169"/>
  <c r="BQ169"/>
  <c r="BR169" s="1"/>
  <c r="BZ169"/>
  <c r="BT168"/>
  <c r="BT169" l="1"/>
  <c r="BM172"/>
  <c r="BW171"/>
  <c r="BO171"/>
  <c r="BP171"/>
  <c r="BY171"/>
  <c r="BS170"/>
  <c r="BQ170"/>
  <c r="BR170" s="1"/>
  <c r="BZ170"/>
  <c r="BT170" l="1"/>
  <c r="BM173"/>
  <c r="BW172"/>
  <c r="BO172"/>
  <c r="BP172"/>
  <c r="BY172"/>
  <c r="BS171"/>
  <c r="BQ171"/>
  <c r="BR171" s="1"/>
  <c r="BZ171"/>
  <c r="BT171" l="1"/>
  <c r="BM174"/>
  <c r="BW173"/>
  <c r="BO173"/>
  <c r="BP173"/>
  <c r="BY173"/>
  <c r="BS172"/>
  <c r="BQ172"/>
  <c r="BR172" s="1"/>
  <c r="BZ172"/>
  <c r="BT172" l="1"/>
  <c r="BM175"/>
  <c r="BO174"/>
  <c r="BW174"/>
  <c r="BP174"/>
  <c r="BY174"/>
  <c r="BS173"/>
  <c r="BQ173"/>
  <c r="BR173" s="1"/>
  <c r="BZ173"/>
  <c r="BT173" l="1"/>
  <c r="BM176"/>
  <c r="BW175"/>
  <c r="BO175"/>
  <c r="BP175"/>
  <c r="BY175"/>
  <c r="BS174"/>
  <c r="BQ174"/>
  <c r="BR174" s="1"/>
  <c r="BZ174"/>
  <c r="BT174" l="1"/>
  <c r="BM177"/>
  <c r="BW176"/>
  <c r="BO176"/>
  <c r="BP176"/>
  <c r="BY176"/>
  <c r="BS175"/>
  <c r="BQ175"/>
  <c r="BR175" s="1"/>
  <c r="BZ175"/>
  <c r="BT175" l="1"/>
  <c r="BM178"/>
  <c r="BW177"/>
  <c r="BO177"/>
  <c r="BP177"/>
  <c r="BY177"/>
  <c r="BS176"/>
  <c r="BQ176"/>
  <c r="BR176" s="1"/>
  <c r="BZ176"/>
  <c r="BZ177" l="1"/>
  <c r="BM179"/>
  <c r="BW178"/>
  <c r="BO178"/>
  <c r="BP178"/>
  <c r="BY178"/>
  <c r="BT176"/>
  <c r="BS177"/>
  <c r="BQ177"/>
  <c r="BR177" s="1"/>
  <c r="BZ178" l="1"/>
  <c r="BM180"/>
  <c r="BW179"/>
  <c r="BO179"/>
  <c r="BP179"/>
  <c r="BY179"/>
  <c r="BS178"/>
  <c r="BQ178"/>
  <c r="BR178" s="1"/>
  <c r="BT177"/>
  <c r="BZ179" l="1"/>
  <c r="BM181"/>
  <c r="BW180"/>
  <c r="BO180"/>
  <c r="BP180"/>
  <c r="BY180"/>
  <c r="BS179"/>
  <c r="BQ179"/>
  <c r="BR179" s="1"/>
  <c r="BT178"/>
  <c r="BT179" l="1"/>
  <c r="BM182"/>
  <c r="BW181"/>
  <c r="BO181"/>
  <c r="BP181"/>
  <c r="BY181"/>
  <c r="BS180"/>
  <c r="BQ180"/>
  <c r="BR180" s="1"/>
  <c r="BZ180"/>
  <c r="BM183" l="1"/>
  <c r="BW182"/>
  <c r="BO182"/>
  <c r="BP182"/>
  <c r="BY182"/>
  <c r="BS181"/>
  <c r="BQ181"/>
  <c r="BR181" s="1"/>
  <c r="BZ181"/>
  <c r="BT180"/>
  <c r="BZ182" l="1"/>
  <c r="BM184"/>
  <c r="BW183"/>
  <c r="BO183"/>
  <c r="BP183"/>
  <c r="BY183"/>
  <c r="BS182"/>
  <c r="BQ182"/>
  <c r="BR182" s="1"/>
  <c r="BT181"/>
  <c r="BZ183" l="1"/>
  <c r="BM185"/>
  <c r="BW184"/>
  <c r="BO184"/>
  <c r="BP184"/>
  <c r="BY184"/>
  <c r="BS183"/>
  <c r="BQ183"/>
  <c r="BR183" s="1"/>
  <c r="BT182"/>
  <c r="BM186" l="1"/>
  <c r="BW185"/>
  <c r="BO185"/>
  <c r="BP185"/>
  <c r="BY185"/>
  <c r="BS184"/>
  <c r="BQ184"/>
  <c r="BR184" s="1"/>
  <c r="BZ184"/>
  <c r="BT183"/>
  <c r="BT184" l="1"/>
  <c r="BM187"/>
  <c r="BW186"/>
  <c r="BO186"/>
  <c r="BP186"/>
  <c r="BY186"/>
  <c r="BS185"/>
  <c r="BQ185"/>
  <c r="BR185" s="1"/>
  <c r="BZ185"/>
  <c r="BT185" l="1"/>
  <c r="BM188"/>
  <c r="BW187"/>
  <c r="BO187"/>
  <c r="BP187"/>
  <c r="BY187"/>
  <c r="BS186"/>
  <c r="BQ186"/>
  <c r="BR186" s="1"/>
  <c r="BZ186"/>
  <c r="BT186" l="1"/>
  <c r="BM189"/>
  <c r="BW188"/>
  <c r="BO188"/>
  <c r="BP188"/>
  <c r="BY188"/>
  <c r="BS187"/>
  <c r="BQ187"/>
  <c r="BR187" s="1"/>
  <c r="BZ187"/>
  <c r="BT187" l="1"/>
  <c r="BM190"/>
  <c r="BO189"/>
  <c r="BW189"/>
  <c r="BP189"/>
  <c r="BY189"/>
  <c r="BS188"/>
  <c r="BQ188"/>
  <c r="BR188" s="1"/>
  <c r="BZ188"/>
  <c r="BT188" l="1"/>
  <c r="BM191"/>
  <c r="BO190"/>
  <c r="BW190"/>
  <c r="BP190"/>
  <c r="BY190"/>
  <c r="BS189"/>
  <c r="BQ189"/>
  <c r="BR189" s="1"/>
  <c r="BZ189"/>
  <c r="BT189" l="1"/>
  <c r="BM192"/>
  <c r="BW191"/>
  <c r="BO191"/>
  <c r="BP191"/>
  <c r="BY191"/>
  <c r="BS190"/>
  <c r="BQ190"/>
  <c r="BR190" s="1"/>
  <c r="BZ190"/>
  <c r="BT190" l="1"/>
  <c r="BM193"/>
  <c r="BW192"/>
  <c r="BO192"/>
  <c r="BP192"/>
  <c r="BY192"/>
  <c r="BS191"/>
  <c r="BQ191"/>
  <c r="BR191" s="1"/>
  <c r="BZ191"/>
  <c r="BZ192" l="1"/>
  <c r="BM194"/>
  <c r="BW193"/>
  <c r="BO193"/>
  <c r="BP193"/>
  <c r="BY193"/>
  <c r="BS192"/>
  <c r="BQ192"/>
  <c r="BR192" s="1"/>
  <c r="BT191"/>
  <c r="BT192" l="1"/>
  <c r="BM195"/>
  <c r="BO194"/>
  <c r="BW194"/>
  <c r="BP194"/>
  <c r="BY194"/>
  <c r="BS193"/>
  <c r="BQ193"/>
  <c r="BR193" s="1"/>
  <c r="BZ193"/>
  <c r="BS194" l="1"/>
  <c r="BQ194"/>
  <c r="BR194" s="1"/>
  <c r="BM196"/>
  <c r="BW195"/>
  <c r="BO195"/>
  <c r="BP195"/>
  <c r="BY195"/>
  <c r="BT193"/>
  <c r="BZ194"/>
  <c r="BM197" l="1"/>
  <c r="BW196"/>
  <c r="BO196"/>
  <c r="BP196"/>
  <c r="BY196"/>
  <c r="BS195"/>
  <c r="BQ195"/>
  <c r="BR195" s="1"/>
  <c r="BT194"/>
  <c r="BZ195"/>
  <c r="BM198" l="1"/>
  <c r="BW197"/>
  <c r="BO197"/>
  <c r="BP197"/>
  <c r="BY197"/>
  <c r="BZ196"/>
  <c r="BS196"/>
  <c r="BQ196"/>
  <c r="BR196" s="1"/>
  <c r="BT195"/>
  <c r="BS197" l="1"/>
  <c r="BQ197"/>
  <c r="BR197" s="1"/>
  <c r="BZ197"/>
  <c r="BM199"/>
  <c r="BW198"/>
  <c r="BO198"/>
  <c r="BP198"/>
  <c r="BY198"/>
  <c r="BT196"/>
  <c r="BZ198" l="1"/>
  <c r="BS198"/>
  <c r="BQ198"/>
  <c r="BR198" s="1"/>
  <c r="BM200"/>
  <c r="BW199"/>
  <c r="BO199"/>
  <c r="BP199"/>
  <c r="BY199"/>
  <c r="BT197"/>
  <c r="BT198" l="1"/>
  <c r="BM201"/>
  <c r="BO200"/>
  <c r="BW200"/>
  <c r="BP200"/>
  <c r="BY200"/>
  <c r="BS199"/>
  <c r="BQ199"/>
  <c r="BR199" s="1"/>
  <c r="BZ199"/>
  <c r="BT199" l="1"/>
  <c r="BM202"/>
  <c r="BO201"/>
  <c r="BW201"/>
  <c r="BP201"/>
  <c r="BY201"/>
  <c r="BS200"/>
  <c r="BQ200"/>
  <c r="BR200" s="1"/>
  <c r="BZ200"/>
  <c r="BZ201" l="1"/>
  <c r="BM203"/>
  <c r="BW202"/>
  <c r="BO202"/>
  <c r="BP202"/>
  <c r="BY202"/>
  <c r="BT200"/>
  <c r="BS201"/>
  <c r="BQ201"/>
  <c r="BR201" s="1"/>
  <c r="BZ202" l="1"/>
  <c r="BM204"/>
  <c r="BW203"/>
  <c r="BO203"/>
  <c r="BP203"/>
  <c r="BY203"/>
  <c r="BS202"/>
  <c r="BQ202"/>
  <c r="BR202" s="1"/>
  <c r="BT201"/>
  <c r="BM205" l="1"/>
  <c r="BW204"/>
  <c r="BO204"/>
  <c r="BP204"/>
  <c r="BY204"/>
  <c r="BS203"/>
  <c r="BQ203"/>
  <c r="BR203" s="1"/>
  <c r="BZ203"/>
  <c r="BT202"/>
  <c r="BT203" l="1"/>
  <c r="BM206"/>
  <c r="BW205"/>
  <c r="BO205"/>
  <c r="BP205"/>
  <c r="BY205"/>
  <c r="BS204"/>
  <c r="BQ204"/>
  <c r="BR204" s="1"/>
  <c r="BZ204"/>
  <c r="BT204" l="1"/>
  <c r="BM207"/>
  <c r="BW206"/>
  <c r="BO206"/>
  <c r="BP206"/>
  <c r="BY206"/>
  <c r="BS205"/>
  <c r="BQ205"/>
  <c r="BR205" s="1"/>
  <c r="BZ205"/>
  <c r="BZ206" l="1"/>
  <c r="BM208"/>
  <c r="BW207"/>
  <c r="BO207"/>
  <c r="BP207"/>
  <c r="BY207"/>
  <c r="BS206"/>
  <c r="BQ206"/>
  <c r="BR206" s="1"/>
  <c r="BT205"/>
  <c r="BT206" l="1"/>
  <c r="BM209"/>
  <c r="BW208"/>
  <c r="BO208"/>
  <c r="BP208"/>
  <c r="BY208"/>
  <c r="BS207"/>
  <c r="BQ207"/>
  <c r="BR207" s="1"/>
  <c r="BZ207"/>
  <c r="BZ208" l="1"/>
  <c r="BM210"/>
  <c r="BW209"/>
  <c r="BO209"/>
  <c r="BP209"/>
  <c r="BY209"/>
  <c r="BS208"/>
  <c r="BQ208"/>
  <c r="BR208" s="1"/>
  <c r="BT207"/>
  <c r="BZ209" l="1"/>
  <c r="BM211"/>
  <c r="BO210"/>
  <c r="BW210"/>
  <c r="BP210"/>
  <c r="BY210"/>
  <c r="BS209"/>
  <c r="BQ209"/>
  <c r="BR209" s="1"/>
  <c r="BT208"/>
  <c r="BM212" l="1"/>
  <c r="BW211"/>
  <c r="BO211"/>
  <c r="BP211"/>
  <c r="BY211"/>
  <c r="BS210"/>
  <c r="BQ210"/>
  <c r="BR210" s="1"/>
  <c r="BT209"/>
  <c r="BZ210"/>
  <c r="BZ211" l="1"/>
  <c r="BM213"/>
  <c r="BW212"/>
  <c r="BO212"/>
  <c r="BP212"/>
  <c r="BY212"/>
  <c r="BS211"/>
  <c r="BQ211"/>
  <c r="BR211" s="1"/>
  <c r="BT210"/>
  <c r="BZ212" l="1"/>
  <c r="BM214"/>
  <c r="BW213"/>
  <c r="BO213"/>
  <c r="BP213"/>
  <c r="BY213"/>
  <c r="BS212"/>
  <c r="BQ212"/>
  <c r="BR212" s="1"/>
  <c r="BT211"/>
  <c r="BM215" l="1"/>
  <c r="BW214"/>
  <c r="BO214"/>
  <c r="BP214"/>
  <c r="BY214"/>
  <c r="BS213"/>
  <c r="BQ213"/>
  <c r="BR213" s="1"/>
  <c r="BZ213"/>
  <c r="BT212"/>
  <c r="BT213" l="1"/>
  <c r="BM216"/>
  <c r="BW215"/>
  <c r="BO215"/>
  <c r="BP215"/>
  <c r="BY215"/>
  <c r="BS214"/>
  <c r="BQ214"/>
  <c r="BR214" s="1"/>
  <c r="BZ214"/>
  <c r="BZ215" l="1"/>
  <c r="BM217"/>
  <c r="BW216"/>
  <c r="BO216"/>
  <c r="BP216"/>
  <c r="BY216"/>
  <c r="BS215"/>
  <c r="BQ215"/>
  <c r="BR215" s="1"/>
  <c r="BT214"/>
  <c r="BM218" l="1"/>
  <c r="BW217"/>
  <c r="BO217"/>
  <c r="BP217"/>
  <c r="BY217"/>
  <c r="BS216"/>
  <c r="BQ216"/>
  <c r="BR216" s="1"/>
  <c r="BZ216"/>
  <c r="BT215"/>
  <c r="BZ217" l="1"/>
  <c r="BM219"/>
  <c r="BW218"/>
  <c r="BO218"/>
  <c r="BP218"/>
  <c r="BY218"/>
  <c r="BS217"/>
  <c r="BQ217"/>
  <c r="BR217" s="1"/>
  <c r="BT216"/>
  <c r="BZ218" l="1"/>
  <c r="BM220"/>
  <c r="BW219"/>
  <c r="BO219"/>
  <c r="BP219"/>
  <c r="BY219"/>
  <c r="BS218"/>
  <c r="BQ218"/>
  <c r="BR218" s="1"/>
  <c r="BT217"/>
  <c r="BM221" l="1"/>
  <c r="BW220"/>
  <c r="BO220"/>
  <c r="BP220"/>
  <c r="BY220"/>
  <c r="BS219"/>
  <c r="BQ219"/>
  <c r="BR219" s="1"/>
  <c r="BZ219"/>
  <c r="BT218"/>
  <c r="BZ220" l="1"/>
  <c r="BM222"/>
  <c r="BO221"/>
  <c r="BW221"/>
  <c r="BP221"/>
  <c r="BY221"/>
  <c r="BS220"/>
  <c r="BQ220"/>
  <c r="BR220" s="1"/>
  <c r="BT219"/>
  <c r="BM223" l="1"/>
  <c r="BO222"/>
  <c r="BW222"/>
  <c r="BP222"/>
  <c r="BY222"/>
  <c r="BS221"/>
  <c r="BQ221"/>
  <c r="BR221" s="1"/>
  <c r="BT220"/>
  <c r="BZ221"/>
  <c r="BT221" l="1"/>
  <c r="BM224"/>
  <c r="BW223"/>
  <c r="BO223"/>
  <c r="BP223"/>
  <c r="BY223"/>
  <c r="BS222"/>
  <c r="BQ222"/>
  <c r="BR222" s="1"/>
  <c r="BZ222"/>
  <c r="BZ223" l="1"/>
  <c r="BM225"/>
  <c r="BW224"/>
  <c r="BO224"/>
  <c r="BP224"/>
  <c r="BY224"/>
  <c r="BS223"/>
  <c r="BQ223"/>
  <c r="BR223" s="1"/>
  <c r="BT222"/>
  <c r="BM226" l="1"/>
  <c r="BW225"/>
  <c r="BO225"/>
  <c r="BP225"/>
  <c r="BY225"/>
  <c r="BS224"/>
  <c r="BQ224"/>
  <c r="BR224" s="1"/>
  <c r="BZ224"/>
  <c r="BT223"/>
  <c r="BZ225" l="1"/>
  <c r="BM227"/>
  <c r="BO226"/>
  <c r="BW226"/>
  <c r="BP226"/>
  <c r="BY226"/>
  <c r="BS225"/>
  <c r="BQ225"/>
  <c r="BR225" s="1"/>
  <c r="BT224"/>
  <c r="BM228" l="1"/>
  <c r="BW227"/>
  <c r="BO227"/>
  <c r="BP227"/>
  <c r="BY227"/>
  <c r="BS226"/>
  <c r="BQ226"/>
  <c r="BR226" s="1"/>
  <c r="BT225"/>
  <c r="BZ226"/>
  <c r="BZ227" l="1"/>
  <c r="BM229"/>
  <c r="BW228"/>
  <c r="BO228"/>
  <c r="BP228"/>
  <c r="BY228"/>
  <c r="BS227"/>
  <c r="BQ227"/>
  <c r="BR227" s="1"/>
  <c r="BT226"/>
  <c r="BM230" l="1"/>
  <c r="BW229"/>
  <c r="BO229"/>
  <c r="BP229"/>
  <c r="BY229"/>
  <c r="BS228"/>
  <c r="BQ228"/>
  <c r="BR228" s="1"/>
  <c r="BZ228"/>
  <c r="BT227"/>
  <c r="BZ229" l="1"/>
  <c r="BM231"/>
  <c r="BW230"/>
  <c r="BO230"/>
  <c r="BP230"/>
  <c r="BY230"/>
  <c r="BS229"/>
  <c r="BQ229"/>
  <c r="BR229" s="1"/>
  <c r="BT228"/>
  <c r="BZ230" l="1"/>
  <c r="BM232"/>
  <c r="BW231"/>
  <c r="BO231"/>
  <c r="BP231"/>
  <c r="BY231"/>
  <c r="BS230"/>
  <c r="BQ230"/>
  <c r="BR230" s="1"/>
  <c r="BT229"/>
  <c r="BZ231" l="1"/>
  <c r="BM233"/>
  <c r="BO232"/>
  <c r="BW232"/>
  <c r="BP232"/>
  <c r="BY232"/>
  <c r="BS231"/>
  <c r="BQ231"/>
  <c r="BR231" s="1"/>
  <c r="BT230"/>
  <c r="BM234" l="1"/>
  <c r="BO233"/>
  <c r="BW233"/>
  <c r="BP233"/>
  <c r="BY233"/>
  <c r="BS232"/>
  <c r="BQ232"/>
  <c r="BR232" s="1"/>
  <c r="BT231"/>
  <c r="BZ232"/>
  <c r="BM235" l="1"/>
  <c r="BW234"/>
  <c r="BO234"/>
  <c r="BP234"/>
  <c r="BY234"/>
  <c r="BS233"/>
  <c r="BQ233"/>
  <c r="BR233" s="1"/>
  <c r="BT232"/>
  <c r="BZ233"/>
  <c r="BZ234" l="1"/>
  <c r="BM236"/>
  <c r="BW235"/>
  <c r="BO235"/>
  <c r="BP235"/>
  <c r="BY235"/>
  <c r="BS234"/>
  <c r="BQ234"/>
  <c r="BR234" s="1"/>
  <c r="BT233"/>
  <c r="BZ235" l="1"/>
  <c r="BM237"/>
  <c r="BW236"/>
  <c r="BO236"/>
  <c r="BP236"/>
  <c r="BY236"/>
  <c r="BS235"/>
  <c r="BQ235"/>
  <c r="BR235" s="1"/>
  <c r="BT234"/>
  <c r="BZ236" l="1"/>
  <c r="BM238"/>
  <c r="BW237"/>
  <c r="BO237"/>
  <c r="BP237"/>
  <c r="BY237"/>
  <c r="BS236"/>
  <c r="BQ236"/>
  <c r="BR236" s="1"/>
  <c r="BT235"/>
  <c r="BZ237" l="1"/>
  <c r="BM239"/>
  <c r="BW238"/>
  <c r="BO238"/>
  <c r="BP238"/>
  <c r="BY238"/>
  <c r="BS237"/>
  <c r="BQ237"/>
  <c r="BR237" s="1"/>
  <c r="BT236"/>
  <c r="BZ238" l="1"/>
  <c r="BM240"/>
  <c r="BW239"/>
  <c r="BO239"/>
  <c r="BP239"/>
  <c r="BY239"/>
  <c r="BS238"/>
  <c r="BQ238"/>
  <c r="BR238" s="1"/>
  <c r="BT237"/>
  <c r="BM241" l="1"/>
  <c r="BW240"/>
  <c r="BO240"/>
  <c r="BP240"/>
  <c r="BY240"/>
  <c r="BS239"/>
  <c r="BQ239"/>
  <c r="BR239" s="1"/>
  <c r="BZ239"/>
  <c r="BT238"/>
  <c r="BM242" l="1"/>
  <c r="BW241"/>
  <c r="BO241"/>
  <c r="BP241"/>
  <c r="BY241"/>
  <c r="BS240"/>
  <c r="BQ240"/>
  <c r="BR240" s="1"/>
  <c r="BZ240"/>
  <c r="BT239"/>
  <c r="BZ241" l="1"/>
  <c r="BM243"/>
  <c r="BO242"/>
  <c r="BW242"/>
  <c r="BP242"/>
  <c r="BY242"/>
  <c r="BS241"/>
  <c r="BQ241"/>
  <c r="BR241" s="1"/>
  <c r="BT240"/>
  <c r="BS242" l="1"/>
  <c r="BQ242"/>
  <c r="BR242" s="1"/>
  <c r="BM244"/>
  <c r="BW243"/>
  <c r="BO243"/>
  <c r="BP243"/>
  <c r="BY243"/>
  <c r="BT241"/>
  <c r="BZ242"/>
  <c r="BT242" l="1"/>
  <c r="BS243"/>
  <c r="BQ243"/>
  <c r="BR243" s="1"/>
  <c r="BM245"/>
  <c r="BW244"/>
  <c r="BO244"/>
  <c r="BP244"/>
  <c r="BY244"/>
  <c r="BZ243"/>
  <c r="BT243" l="1"/>
  <c r="BS244"/>
  <c r="BQ244"/>
  <c r="BR244" s="1"/>
  <c r="BM246"/>
  <c r="BW245"/>
  <c r="BO245"/>
  <c r="BP245"/>
  <c r="BY245"/>
  <c r="BZ244"/>
  <c r="BT244" l="1"/>
  <c r="BS245"/>
  <c r="BQ245"/>
  <c r="BR245" s="1"/>
  <c r="BM247"/>
  <c r="BW246"/>
  <c r="BO246"/>
  <c r="BP246"/>
  <c r="BY246"/>
  <c r="BZ245"/>
  <c r="BT245" l="1"/>
  <c r="BS246"/>
  <c r="BQ246"/>
  <c r="BR246" s="1"/>
  <c r="BM248"/>
  <c r="BW247"/>
  <c r="BO247"/>
  <c r="BP247"/>
  <c r="BY247"/>
  <c r="BZ246"/>
  <c r="BT246" l="1"/>
  <c r="BS247"/>
  <c r="BQ247"/>
  <c r="BR247" s="1"/>
  <c r="BM249"/>
  <c r="BW248"/>
  <c r="BO248"/>
  <c r="BP248"/>
  <c r="BY248"/>
  <c r="BZ247"/>
  <c r="BT247" l="1"/>
  <c r="BS248"/>
  <c r="BQ248"/>
  <c r="BR248" s="1"/>
  <c r="BM250"/>
  <c r="BW249"/>
  <c r="BO249"/>
  <c r="BP249"/>
  <c r="BY249"/>
  <c r="BZ248"/>
  <c r="BT248" l="1"/>
  <c r="BS249"/>
  <c r="BQ249"/>
  <c r="BR249" s="1"/>
  <c r="BM251"/>
  <c r="BW250"/>
  <c r="BO250"/>
  <c r="BP250"/>
  <c r="BY250"/>
  <c r="BZ249"/>
  <c r="BT249" l="1"/>
  <c r="BS250"/>
  <c r="BQ250"/>
  <c r="BR250" s="1"/>
  <c r="BM252"/>
  <c r="BW251"/>
  <c r="BO251"/>
  <c r="BP251"/>
  <c r="BY251"/>
  <c r="BZ250"/>
  <c r="BT250" l="1"/>
  <c r="BS251"/>
  <c r="BQ251"/>
  <c r="BR251" s="1"/>
  <c r="BM253"/>
  <c r="BW252"/>
  <c r="BO252"/>
  <c r="BP252"/>
  <c r="BY252"/>
  <c r="BZ251"/>
  <c r="BT251" l="1"/>
  <c r="BM254"/>
  <c r="BO253"/>
  <c r="BW253"/>
  <c r="BP253"/>
  <c r="BY253"/>
  <c r="BS252"/>
  <c r="BQ252"/>
  <c r="BR252" s="1"/>
  <c r="BZ252"/>
  <c r="BT252" l="1"/>
  <c r="BM255"/>
  <c r="BO254"/>
  <c r="BW254"/>
  <c r="BP254"/>
  <c r="BY254"/>
  <c r="BS253"/>
  <c r="BQ253"/>
  <c r="BR253" s="1"/>
  <c r="BZ253"/>
  <c r="BT253" l="1"/>
  <c r="BS254"/>
  <c r="BQ254"/>
  <c r="BR254" s="1"/>
  <c r="BM256"/>
  <c r="BW255"/>
  <c r="BO255"/>
  <c r="BP255"/>
  <c r="BY255"/>
  <c r="BZ254"/>
  <c r="BT254" l="1"/>
  <c r="BS255"/>
  <c r="BQ255"/>
  <c r="BR255" s="1"/>
  <c r="BM257"/>
  <c r="BW256"/>
  <c r="BO256"/>
  <c r="BP256"/>
  <c r="BY256"/>
  <c r="BZ255"/>
  <c r="BT255" l="1"/>
  <c r="BS256"/>
  <c r="BQ256"/>
  <c r="BR256" s="1"/>
  <c r="BM258"/>
  <c r="BW257"/>
  <c r="BO257"/>
  <c r="BP257"/>
  <c r="BY257"/>
  <c r="BZ256"/>
  <c r="BT256" l="1"/>
  <c r="BS257"/>
  <c r="BQ257"/>
  <c r="BR257" s="1"/>
  <c r="BM259"/>
  <c r="BO258"/>
  <c r="BW258"/>
  <c r="BP258"/>
  <c r="BY258"/>
  <c r="BZ257"/>
  <c r="BT257" l="1"/>
  <c r="BZ258"/>
  <c r="BM260"/>
  <c r="BW259"/>
  <c r="BO259"/>
  <c r="BP259"/>
  <c r="BY259"/>
  <c r="BS258"/>
  <c r="BQ258"/>
  <c r="BR258" s="1"/>
  <c r="BM261" l="1"/>
  <c r="BW260"/>
  <c r="BO260"/>
  <c r="BP260"/>
  <c r="BY260"/>
  <c r="BS259"/>
  <c r="BQ259"/>
  <c r="BR259" s="1"/>
  <c r="BZ259"/>
  <c r="BT258"/>
  <c r="BZ260" l="1"/>
  <c r="BM262"/>
  <c r="BW261"/>
  <c r="BO261"/>
  <c r="BP261"/>
  <c r="BY261"/>
  <c r="BS260"/>
  <c r="BQ260"/>
  <c r="BR260" s="1"/>
  <c r="BT259"/>
  <c r="BZ261" l="1"/>
  <c r="BM263"/>
  <c r="BW262"/>
  <c r="BO262"/>
  <c r="BP262"/>
  <c r="BY262"/>
  <c r="BS261"/>
  <c r="BQ261"/>
  <c r="BR261" s="1"/>
  <c r="BT260"/>
  <c r="BM264" l="1"/>
  <c r="BW263"/>
  <c r="BO263"/>
  <c r="BP263"/>
  <c r="BY263"/>
  <c r="BS262"/>
  <c r="BQ262"/>
  <c r="BR262" s="1"/>
  <c r="BZ262"/>
  <c r="BT261"/>
  <c r="BT262" l="1"/>
  <c r="BM265"/>
  <c r="BO264"/>
  <c r="BW264"/>
  <c r="BP264"/>
  <c r="BY264"/>
  <c r="BS263"/>
  <c r="BQ263"/>
  <c r="BR263" s="1"/>
  <c r="BZ263"/>
  <c r="BM266" l="1"/>
  <c r="BO265"/>
  <c r="BW265"/>
  <c r="BP265"/>
  <c r="BY265"/>
  <c r="BS264"/>
  <c r="BQ264"/>
  <c r="BR264" s="1"/>
  <c r="BT263"/>
  <c r="BZ264"/>
  <c r="BM267" l="1"/>
  <c r="BW266"/>
  <c r="BO266"/>
  <c r="BP266"/>
  <c r="BY266"/>
  <c r="BS265"/>
  <c r="BQ265"/>
  <c r="BR265" s="1"/>
  <c r="BT264"/>
  <c r="BZ265"/>
  <c r="BZ266" l="1"/>
  <c r="BM268"/>
  <c r="BW267"/>
  <c r="BO267"/>
  <c r="BP267"/>
  <c r="BY267"/>
  <c r="BS266"/>
  <c r="BQ266"/>
  <c r="BR266" s="1"/>
  <c r="BT265"/>
  <c r="BZ267" l="1"/>
  <c r="BM269"/>
  <c r="BW268"/>
  <c r="BO268"/>
  <c r="BP268"/>
  <c r="BY268"/>
  <c r="BS267"/>
  <c r="BQ267"/>
  <c r="BR267" s="1"/>
  <c r="BT266"/>
  <c r="BZ268" l="1"/>
  <c r="BM270"/>
  <c r="BW269"/>
  <c r="BO269"/>
  <c r="BP269"/>
  <c r="BY269"/>
  <c r="BS268"/>
  <c r="BQ268"/>
  <c r="BR268" s="1"/>
  <c r="BT267"/>
  <c r="BM271" l="1"/>
  <c r="BW270"/>
  <c r="BO270"/>
  <c r="BP270"/>
  <c r="BY270"/>
  <c r="BS269"/>
  <c r="BQ269"/>
  <c r="BR269" s="1"/>
  <c r="BZ269"/>
  <c r="BT268"/>
  <c r="BZ270" l="1"/>
  <c r="BM272"/>
  <c r="BW271"/>
  <c r="BO271"/>
  <c r="BP271"/>
  <c r="BY271"/>
  <c r="BS270"/>
  <c r="BQ270"/>
  <c r="BR270" s="1"/>
  <c r="BT269"/>
  <c r="BZ271" l="1"/>
  <c r="BM273"/>
  <c r="BW272"/>
  <c r="BO272"/>
  <c r="BP272"/>
  <c r="BY272"/>
  <c r="BS271"/>
  <c r="BQ271"/>
  <c r="BR271" s="1"/>
  <c r="BT270"/>
  <c r="BZ272" l="1"/>
  <c r="BM274"/>
  <c r="BW273"/>
  <c r="BO273"/>
  <c r="BP273"/>
  <c r="BY273"/>
  <c r="BS272"/>
  <c r="BQ272"/>
  <c r="BR272" s="1"/>
  <c r="BT271"/>
  <c r="BT272" l="1"/>
  <c r="BM275"/>
  <c r="BO274"/>
  <c r="BW274"/>
  <c r="BP274"/>
  <c r="BY274"/>
  <c r="BZ273"/>
  <c r="BS273"/>
  <c r="BQ273"/>
  <c r="BR273" s="1"/>
  <c r="BT273" l="1"/>
  <c r="BM276"/>
  <c r="BW275"/>
  <c r="BO275"/>
  <c r="BP275"/>
  <c r="BY275"/>
  <c r="BS274"/>
  <c r="BQ274"/>
  <c r="BR274" s="1"/>
  <c r="BZ274"/>
  <c r="BM277" l="1"/>
  <c r="BW276"/>
  <c r="BO276"/>
  <c r="BP276"/>
  <c r="BY276"/>
  <c r="BS275"/>
  <c r="BQ275"/>
  <c r="BR275" s="1"/>
  <c r="BT274"/>
  <c r="BZ275"/>
  <c r="BZ276" l="1"/>
  <c r="BM278"/>
  <c r="BW277"/>
  <c r="BO277"/>
  <c r="BP277"/>
  <c r="BY277"/>
  <c r="BS276"/>
  <c r="BQ276"/>
  <c r="BR276" s="1"/>
  <c r="BT275"/>
  <c r="BZ277" l="1"/>
  <c r="BM279"/>
  <c r="BW278"/>
  <c r="BO278"/>
  <c r="BP278"/>
  <c r="BY278"/>
  <c r="BS277"/>
  <c r="BQ277"/>
  <c r="BR277" s="1"/>
  <c r="BT276"/>
  <c r="BT277" l="1"/>
  <c r="BM280"/>
  <c r="BW279"/>
  <c r="BO279"/>
  <c r="BP279"/>
  <c r="BY279"/>
  <c r="BS278"/>
  <c r="BQ278"/>
  <c r="BR278" s="1"/>
  <c r="BZ278"/>
  <c r="BT278" l="1"/>
  <c r="BM281"/>
  <c r="BW280"/>
  <c r="BO280"/>
  <c r="BP280"/>
  <c r="BY280"/>
  <c r="BS279"/>
  <c r="BQ279"/>
  <c r="BR279" s="1"/>
  <c r="BZ279"/>
  <c r="BT279" l="1"/>
  <c r="BM282"/>
  <c r="BW281"/>
  <c r="BO281"/>
  <c r="BP281"/>
  <c r="BY281"/>
  <c r="BS280"/>
  <c r="BQ280"/>
  <c r="BR280" s="1"/>
  <c r="BZ280"/>
  <c r="BT280" l="1"/>
  <c r="BM283"/>
  <c r="BW282"/>
  <c r="BO282"/>
  <c r="BP282"/>
  <c r="BY282"/>
  <c r="BS281"/>
  <c r="BQ281"/>
  <c r="BR281" s="1"/>
  <c r="BZ281"/>
  <c r="BZ282" l="1"/>
  <c r="BM284"/>
  <c r="BW283"/>
  <c r="BO283"/>
  <c r="BP283"/>
  <c r="BY283"/>
  <c r="BS282"/>
  <c r="BQ282"/>
  <c r="BR282" s="1"/>
  <c r="BT281"/>
  <c r="BZ283" l="1"/>
  <c r="BM285"/>
  <c r="BW284"/>
  <c r="BO284"/>
  <c r="BP284"/>
  <c r="BY284"/>
  <c r="BS283"/>
  <c r="BQ283"/>
  <c r="BR283" s="1"/>
  <c r="BT282"/>
  <c r="BZ284" l="1"/>
  <c r="BM286"/>
  <c r="BO285"/>
  <c r="BW285"/>
  <c r="BP285"/>
  <c r="BY285"/>
  <c r="BS284"/>
  <c r="BQ284"/>
  <c r="BR284" s="1"/>
  <c r="BT283"/>
  <c r="BM287" l="1"/>
  <c r="BO286"/>
  <c r="BW286"/>
  <c r="BP286"/>
  <c r="BY286"/>
  <c r="BS285"/>
  <c r="BQ285"/>
  <c r="BR285" s="1"/>
  <c r="BT284"/>
  <c r="BZ285"/>
  <c r="BM288" l="1"/>
  <c r="BW287"/>
  <c r="BO287"/>
  <c r="BP287"/>
  <c r="BY287"/>
  <c r="BS286"/>
  <c r="BQ286"/>
  <c r="BR286" s="1"/>
  <c r="BT285"/>
  <c r="BZ286"/>
  <c r="BZ287" l="1"/>
  <c r="BM289"/>
  <c r="BW288"/>
  <c r="BO288"/>
  <c r="BP288"/>
  <c r="BY288"/>
  <c r="BS287"/>
  <c r="BQ287"/>
  <c r="BR287" s="1"/>
  <c r="BT286"/>
  <c r="BZ288" l="1"/>
  <c r="BM290"/>
  <c r="BW289"/>
  <c r="BO289"/>
  <c r="BP289"/>
  <c r="BY289"/>
  <c r="BS288"/>
  <c r="BQ288"/>
  <c r="BR288" s="1"/>
  <c r="BT287"/>
  <c r="BZ289" l="1"/>
  <c r="BM291"/>
  <c r="BO290"/>
  <c r="BW290"/>
  <c r="BP290"/>
  <c r="BY290"/>
  <c r="BS289"/>
  <c r="BQ289"/>
  <c r="BR289" s="1"/>
  <c r="BT288"/>
  <c r="BS290" l="1"/>
  <c r="BQ290"/>
  <c r="BR290" s="1"/>
  <c r="BM292"/>
  <c r="BW291"/>
  <c r="BO291"/>
  <c r="BP291"/>
  <c r="BY291"/>
  <c r="BT289"/>
  <c r="BZ290"/>
  <c r="BT290" l="1"/>
  <c r="BS291"/>
  <c r="BQ291"/>
  <c r="BR291" s="1"/>
  <c r="BM293"/>
  <c r="BW292"/>
  <c r="BO292"/>
  <c r="BP292"/>
  <c r="BY292"/>
  <c r="BZ291"/>
  <c r="BT291" l="1"/>
  <c r="BS292"/>
  <c r="BQ292"/>
  <c r="BR292" s="1"/>
  <c r="BM294"/>
  <c r="BW293"/>
  <c r="BO293"/>
  <c r="BP293"/>
  <c r="BY293"/>
  <c r="BZ292"/>
  <c r="BT292" l="1"/>
  <c r="BS293"/>
  <c r="BQ293"/>
  <c r="BR293" s="1"/>
  <c r="BM295"/>
  <c r="BW294"/>
  <c r="BO294"/>
  <c r="BP294"/>
  <c r="BY294"/>
  <c r="BZ293"/>
  <c r="BT293" l="1"/>
  <c r="BS294"/>
  <c r="BQ294"/>
  <c r="BR294" s="1"/>
  <c r="BM296"/>
  <c r="BW295"/>
  <c r="BO295"/>
  <c r="BP295"/>
  <c r="BY295"/>
  <c r="BZ294"/>
  <c r="BT294" l="1"/>
  <c r="BS295"/>
  <c r="BQ295"/>
  <c r="BR295" s="1"/>
  <c r="BM297"/>
  <c r="BO296"/>
  <c r="BW296"/>
  <c r="BP296"/>
  <c r="BY296"/>
  <c r="BZ295"/>
  <c r="BT295" l="1"/>
  <c r="BZ296"/>
  <c r="BM298"/>
  <c r="BO297"/>
  <c r="BW297"/>
  <c r="BP297"/>
  <c r="BY297"/>
  <c r="BS296"/>
  <c r="BQ296"/>
  <c r="BR296" s="1"/>
  <c r="BS297" l="1"/>
  <c r="BQ297"/>
  <c r="BR297" s="1"/>
  <c r="BM299"/>
  <c r="BW298"/>
  <c r="BO298"/>
  <c r="BP298"/>
  <c r="BY298"/>
  <c r="BT296"/>
  <c r="BZ297"/>
  <c r="BT297" l="1"/>
  <c r="BS298"/>
  <c r="BQ298"/>
  <c r="BR298" s="1"/>
  <c r="BM300"/>
  <c r="BW299"/>
  <c r="BO299"/>
  <c r="BP299"/>
  <c r="BY299"/>
  <c r="BZ298"/>
  <c r="BT298" l="1"/>
  <c r="BS299"/>
  <c r="BQ299"/>
  <c r="BR299" s="1"/>
  <c r="BM301"/>
  <c r="BW300"/>
  <c r="BO300"/>
  <c r="BP300"/>
  <c r="BY300"/>
  <c r="BZ299"/>
  <c r="BT299" l="1"/>
  <c r="BS300"/>
  <c r="BQ300"/>
  <c r="BR300" s="1"/>
  <c r="BM302"/>
  <c r="BW301"/>
  <c r="BO301"/>
  <c r="BP301"/>
  <c r="BY301"/>
  <c r="BZ300"/>
  <c r="BT300" l="1"/>
  <c r="BS301"/>
  <c r="BQ301"/>
  <c r="BR301" s="1"/>
  <c r="BM303"/>
  <c r="BW302"/>
  <c r="BO302"/>
  <c r="BP302"/>
  <c r="BY302"/>
  <c r="BZ301"/>
  <c r="BT301" l="1"/>
  <c r="BS302"/>
  <c r="BQ302"/>
  <c r="BR302" s="1"/>
  <c r="BM304"/>
  <c r="BW303"/>
  <c r="BO303"/>
  <c r="BP303"/>
  <c r="BY303"/>
  <c r="BZ302"/>
  <c r="BT302" l="1"/>
  <c r="BS303"/>
  <c r="BQ303"/>
  <c r="BR303" s="1"/>
  <c r="BM305"/>
  <c r="BW304"/>
  <c r="BO304"/>
  <c r="BP304"/>
  <c r="BY304"/>
  <c r="BZ303"/>
  <c r="BT303" l="1"/>
  <c r="BS304"/>
  <c r="BQ304"/>
  <c r="BR304" s="1"/>
  <c r="BM306"/>
  <c r="BW305"/>
  <c r="BO305"/>
  <c r="BP305"/>
  <c r="BY305"/>
  <c r="BZ304"/>
  <c r="BT304" l="1"/>
  <c r="BS305"/>
  <c r="BQ305"/>
  <c r="BR305" s="1"/>
  <c r="BM307"/>
  <c r="BO306"/>
  <c r="BW306"/>
  <c r="BP306"/>
  <c r="BY306"/>
  <c r="BZ305"/>
  <c r="BT305" l="1"/>
  <c r="BZ306"/>
  <c r="BM308"/>
  <c r="BW307"/>
  <c r="BO307"/>
  <c r="BP307"/>
  <c r="BY307"/>
  <c r="BS306"/>
  <c r="BQ306"/>
  <c r="BR306" s="1"/>
  <c r="BM309" l="1"/>
  <c r="BW308"/>
  <c r="BO308"/>
  <c r="BP308"/>
  <c r="BY308"/>
  <c r="BS307"/>
  <c r="BQ307"/>
  <c r="BR307" s="1"/>
  <c r="BZ307"/>
  <c r="BT306"/>
  <c r="BZ308" l="1"/>
  <c r="BM310"/>
  <c r="BW309"/>
  <c r="BO309"/>
  <c r="BP309"/>
  <c r="BY309"/>
  <c r="BS308"/>
  <c r="BQ308"/>
  <c r="BR308" s="1"/>
  <c r="BT307"/>
  <c r="BZ309" l="1"/>
  <c r="BM311"/>
  <c r="BW310"/>
  <c r="BO310"/>
  <c r="BP310"/>
  <c r="BY310"/>
  <c r="BS309"/>
  <c r="BQ309"/>
  <c r="BR309" s="1"/>
  <c r="BT308"/>
  <c r="BZ310" l="1"/>
  <c r="BM312"/>
  <c r="BW311"/>
  <c r="BO311"/>
  <c r="BP311"/>
  <c r="BY311"/>
  <c r="BS310"/>
  <c r="BQ310"/>
  <c r="BR310" s="1"/>
  <c r="BT309"/>
  <c r="BT310" l="1"/>
  <c r="BM313"/>
  <c r="BW312"/>
  <c r="BO312"/>
  <c r="BP312"/>
  <c r="BY312"/>
  <c r="BS311"/>
  <c r="BQ311"/>
  <c r="BR311" s="1"/>
  <c r="BZ311"/>
  <c r="BT311" l="1"/>
  <c r="BM314"/>
  <c r="BW313"/>
  <c r="BO313"/>
  <c r="BP313"/>
  <c r="BY313"/>
  <c r="BS312"/>
  <c r="BQ312"/>
  <c r="BR312" s="1"/>
  <c r="BZ312"/>
  <c r="BT312" l="1"/>
  <c r="BM315"/>
  <c r="BW314"/>
  <c r="BO314"/>
  <c r="BP314"/>
  <c r="BY314"/>
  <c r="BS313"/>
  <c r="BQ313"/>
  <c r="BR313" s="1"/>
  <c r="BZ313"/>
  <c r="BT313" l="1"/>
  <c r="BM316"/>
  <c r="BW315"/>
  <c r="BO315"/>
  <c r="BP315"/>
  <c r="BY315"/>
  <c r="BS314"/>
  <c r="BQ314"/>
  <c r="BR314" s="1"/>
  <c r="BZ314"/>
  <c r="BT314" l="1"/>
  <c r="BM317"/>
  <c r="BW316"/>
  <c r="BO316"/>
  <c r="BP316"/>
  <c r="BY316"/>
  <c r="BS315"/>
  <c r="BQ315"/>
  <c r="BR315" s="1"/>
  <c r="BZ315"/>
  <c r="BT315" l="1"/>
  <c r="BM318"/>
  <c r="BO317"/>
  <c r="BW317"/>
  <c r="BP317"/>
  <c r="BY317"/>
  <c r="BS316"/>
  <c r="BQ316"/>
  <c r="BR316" s="1"/>
  <c r="BZ316"/>
  <c r="BT316" l="1"/>
  <c r="BM319"/>
  <c r="BO318"/>
  <c r="BW318"/>
  <c r="BP318"/>
  <c r="BY318"/>
  <c r="BS317"/>
  <c r="BQ317"/>
  <c r="BR317" s="1"/>
  <c r="BZ317"/>
  <c r="BT317" l="1"/>
  <c r="BM320"/>
  <c r="BW319"/>
  <c r="BO319"/>
  <c r="BP319"/>
  <c r="BY319"/>
  <c r="BS318"/>
  <c r="BQ318"/>
  <c r="BR318" s="1"/>
  <c r="BZ318"/>
  <c r="BT318" l="1"/>
  <c r="BM321"/>
  <c r="BW320"/>
  <c r="BO320"/>
  <c r="BP320"/>
  <c r="BY320"/>
  <c r="BS319"/>
  <c r="BQ319"/>
  <c r="BR319" s="1"/>
  <c r="BZ319"/>
  <c r="BT319" l="1"/>
  <c r="BM322"/>
  <c r="BW321"/>
  <c r="BO321"/>
  <c r="BP321"/>
  <c r="BY321"/>
  <c r="BS320"/>
  <c r="BQ320"/>
  <c r="BR320" s="1"/>
  <c r="BZ320"/>
  <c r="BT320" l="1"/>
  <c r="BM323"/>
  <c r="BO322"/>
  <c r="BW322"/>
  <c r="BP322"/>
  <c r="BY322"/>
  <c r="BS321"/>
  <c r="BQ321"/>
  <c r="BR321" s="1"/>
  <c r="BZ321"/>
  <c r="BT321" l="1"/>
  <c r="BM324"/>
  <c r="BW323"/>
  <c r="BO323"/>
  <c r="BP323"/>
  <c r="BY323"/>
  <c r="BS322"/>
  <c r="BQ322"/>
  <c r="BR322" s="1"/>
  <c r="BZ322"/>
  <c r="BT322" l="1"/>
  <c r="BM325"/>
  <c r="BW324"/>
  <c r="BO324"/>
  <c r="BP324"/>
  <c r="BY324"/>
  <c r="BS323"/>
  <c r="BQ323"/>
  <c r="BR323" s="1"/>
  <c r="BZ323"/>
  <c r="BZ324" l="1"/>
  <c r="BM326"/>
  <c r="BW325"/>
  <c r="BO325"/>
  <c r="BP325"/>
  <c r="BY325"/>
  <c r="BS324"/>
  <c r="BQ324"/>
  <c r="BR324" s="1"/>
  <c r="BT323"/>
  <c r="BM327" l="1"/>
  <c r="BW326"/>
  <c r="BO326"/>
  <c r="BP326"/>
  <c r="BY326"/>
  <c r="BZ325"/>
  <c r="BS325"/>
  <c r="BQ325"/>
  <c r="BR325" s="1"/>
  <c r="BT324"/>
  <c r="BS326" l="1"/>
  <c r="BQ326"/>
  <c r="BR326" s="1"/>
  <c r="BZ326"/>
  <c r="BM328"/>
  <c r="BW327"/>
  <c r="BO327"/>
  <c r="BP327"/>
  <c r="BY327"/>
  <c r="BT325"/>
  <c r="BZ327" l="1"/>
  <c r="BS327"/>
  <c r="BQ327"/>
  <c r="BR327" s="1"/>
  <c r="BM329"/>
  <c r="BO328"/>
  <c r="BW328"/>
  <c r="BP328"/>
  <c r="BY328"/>
  <c r="BT326"/>
  <c r="BZ328" l="1"/>
  <c r="BM330"/>
  <c r="BO329"/>
  <c r="BW329"/>
  <c r="BP329"/>
  <c r="BY329"/>
  <c r="BS328"/>
  <c r="BQ328"/>
  <c r="BR328" s="1"/>
  <c r="BT327"/>
  <c r="BT328" l="1"/>
  <c r="BM331"/>
  <c r="BW330"/>
  <c r="BO330"/>
  <c r="BP330"/>
  <c r="BY330"/>
  <c r="BS329"/>
  <c r="BQ329"/>
  <c r="BR329" s="1"/>
  <c r="BZ329"/>
  <c r="BT329" l="1"/>
  <c r="BM332"/>
  <c r="BW331"/>
  <c r="BO331"/>
  <c r="BP331"/>
  <c r="BY331"/>
  <c r="BS330"/>
  <c r="BQ330"/>
  <c r="BR330" s="1"/>
  <c r="BZ330"/>
  <c r="BZ331" l="1"/>
  <c r="BM333"/>
  <c r="BW332"/>
  <c r="BO332"/>
  <c r="BP332"/>
  <c r="BY332"/>
  <c r="BS331"/>
  <c r="BQ331"/>
  <c r="BR331" s="1"/>
  <c r="BT330"/>
  <c r="BM334" l="1"/>
  <c r="BW333"/>
  <c r="BO333"/>
  <c r="BP333"/>
  <c r="BY333"/>
  <c r="BS332"/>
  <c r="BQ332"/>
  <c r="BR332" s="1"/>
  <c r="BZ332"/>
  <c r="BT331"/>
  <c r="BZ333" l="1"/>
  <c r="BM335"/>
  <c r="BW334"/>
  <c r="BO334"/>
  <c r="BP334"/>
  <c r="BY334"/>
  <c r="BS333"/>
  <c r="BQ333"/>
  <c r="BR333" s="1"/>
  <c r="BT332"/>
  <c r="BM336" l="1"/>
  <c r="BW335"/>
  <c r="BO335"/>
  <c r="BP335"/>
  <c r="BY335"/>
  <c r="BS334"/>
  <c r="BQ334"/>
  <c r="BR334" s="1"/>
  <c r="BZ334"/>
  <c r="BT333"/>
  <c r="BT334" l="1"/>
  <c r="BM337"/>
  <c r="BW336"/>
  <c r="BO336"/>
  <c r="BP336"/>
  <c r="BY336"/>
  <c r="BS335"/>
  <c r="BQ335"/>
  <c r="BR335" s="1"/>
  <c r="BZ335"/>
  <c r="BM338" l="1"/>
  <c r="BW337"/>
  <c r="BO337"/>
  <c r="BP337"/>
  <c r="BY337"/>
  <c r="BZ336"/>
  <c r="BS336"/>
  <c r="BQ336"/>
  <c r="BR336" s="1"/>
  <c r="BT335"/>
  <c r="BZ337" l="1"/>
  <c r="BM339"/>
  <c r="BO338"/>
  <c r="BW338"/>
  <c r="BP338"/>
  <c r="BY338"/>
  <c r="BS337"/>
  <c r="BQ337"/>
  <c r="BR337" s="1"/>
  <c r="BT336"/>
  <c r="BM340" l="1"/>
  <c r="BW339"/>
  <c r="BO339"/>
  <c r="BP339"/>
  <c r="BY339"/>
  <c r="BS338"/>
  <c r="BQ338"/>
  <c r="BR338" s="1"/>
  <c r="BT337"/>
  <c r="BZ338"/>
  <c r="BZ339" l="1"/>
  <c r="BM341"/>
  <c r="BW340"/>
  <c r="BO340"/>
  <c r="BP340"/>
  <c r="BY340"/>
  <c r="BS339"/>
  <c r="BQ339"/>
  <c r="BR339" s="1"/>
  <c r="BT338"/>
  <c r="BZ340" l="1"/>
  <c r="BM342"/>
  <c r="BW341"/>
  <c r="BO341"/>
  <c r="BP341"/>
  <c r="BY341"/>
  <c r="BS340"/>
  <c r="BQ340"/>
  <c r="BR340" s="1"/>
  <c r="BT339"/>
  <c r="BZ341" l="1"/>
  <c r="BM343"/>
  <c r="BW342"/>
  <c r="BO342"/>
  <c r="BP342"/>
  <c r="BY342"/>
  <c r="BS341"/>
  <c r="BQ341"/>
  <c r="BR341" s="1"/>
  <c r="BT340"/>
  <c r="BM344" l="1"/>
  <c r="BW343"/>
  <c r="BO343"/>
  <c r="BP343"/>
  <c r="BY343"/>
  <c r="BS342"/>
  <c r="BQ342"/>
  <c r="BR342" s="1"/>
  <c r="BZ342"/>
  <c r="BT341"/>
  <c r="BT342" l="1"/>
  <c r="BM345"/>
  <c r="BW344"/>
  <c r="BO344"/>
  <c r="BP344"/>
  <c r="BY344"/>
  <c r="BS343"/>
  <c r="BQ343"/>
  <c r="BR343" s="1"/>
  <c r="BZ343"/>
  <c r="BZ344" l="1"/>
  <c r="BM346"/>
  <c r="BW345"/>
  <c r="BO345"/>
  <c r="BP345"/>
  <c r="BY345"/>
  <c r="BS344"/>
  <c r="BQ344"/>
  <c r="BR344" s="1"/>
  <c r="BT343"/>
  <c r="BZ345" l="1"/>
  <c r="BM347"/>
  <c r="BW346"/>
  <c r="BO346"/>
  <c r="BP346"/>
  <c r="BY346"/>
  <c r="BS345"/>
  <c r="BQ345"/>
  <c r="BR345" s="1"/>
  <c r="BT344"/>
  <c r="BZ346" l="1"/>
  <c r="BM348"/>
  <c r="BW347"/>
  <c r="BO347"/>
  <c r="BP347"/>
  <c r="BY347"/>
  <c r="BS346"/>
  <c r="BQ346"/>
  <c r="BR346" s="1"/>
  <c r="BT345"/>
  <c r="BZ347" l="1"/>
  <c r="BM349"/>
  <c r="BW348"/>
  <c r="BO348"/>
  <c r="BP348"/>
  <c r="BY348"/>
  <c r="BS347"/>
  <c r="BQ347"/>
  <c r="BR347" s="1"/>
  <c r="BT346"/>
  <c r="BM350" l="1"/>
  <c r="BO349"/>
  <c r="BW349"/>
  <c r="BP349"/>
  <c r="BY349"/>
  <c r="BS348"/>
  <c r="BQ348"/>
  <c r="BR348" s="1"/>
  <c r="BZ348"/>
  <c r="BT347"/>
  <c r="BS349" l="1"/>
  <c r="BQ349"/>
  <c r="BR349" s="1"/>
  <c r="BZ349"/>
  <c r="BM351"/>
  <c r="BO350"/>
  <c r="BW350"/>
  <c r="BP350"/>
  <c r="BY350"/>
  <c r="BT348"/>
  <c r="BZ350" l="1"/>
  <c r="BS350"/>
  <c r="BQ350"/>
  <c r="BR350" s="1"/>
  <c r="BM352"/>
  <c r="BW351"/>
  <c r="BO351"/>
  <c r="BP351"/>
  <c r="BY351"/>
  <c r="BT349"/>
  <c r="BT350" l="1"/>
  <c r="BM353"/>
  <c r="BW352"/>
  <c r="BO352"/>
  <c r="BP352"/>
  <c r="BY352"/>
  <c r="BS351"/>
  <c r="BQ351"/>
  <c r="BR351" s="1"/>
  <c r="BZ351"/>
  <c r="BS352" l="1"/>
  <c r="BQ352"/>
  <c r="BR352" s="1"/>
  <c r="BZ352"/>
  <c r="BM354"/>
  <c r="BW353"/>
  <c r="BO353"/>
  <c r="BP353"/>
  <c r="BY353"/>
  <c r="BT351"/>
  <c r="BZ353" l="1"/>
  <c r="BT352"/>
  <c r="BS353"/>
  <c r="BQ353"/>
  <c r="BR353" s="1"/>
  <c r="BM355"/>
  <c r="BO354"/>
  <c r="BW354"/>
  <c r="BP354"/>
  <c r="BY354"/>
  <c r="BZ354" l="1"/>
  <c r="BM356"/>
  <c r="BW355"/>
  <c r="BO355"/>
  <c r="BP355"/>
  <c r="BY355"/>
  <c r="BS354"/>
  <c r="BQ354"/>
  <c r="BR354" s="1"/>
  <c r="BT353"/>
  <c r="BT354" l="1"/>
  <c r="BM357"/>
  <c r="BW356"/>
  <c r="BO356"/>
  <c r="BP356"/>
  <c r="BY356"/>
  <c r="BS355"/>
  <c r="BQ355"/>
  <c r="BR355" s="1"/>
  <c r="BZ355"/>
  <c r="BZ356" l="1"/>
  <c r="BM358"/>
  <c r="BW357"/>
  <c r="BO357"/>
  <c r="BP357"/>
  <c r="BY357"/>
  <c r="BS356"/>
  <c r="BQ356"/>
  <c r="BR356" s="1"/>
  <c r="BT355"/>
  <c r="BM359" l="1"/>
  <c r="BW358"/>
  <c r="BO358"/>
  <c r="BP358"/>
  <c r="BY358"/>
  <c r="BZ357"/>
  <c r="BS357"/>
  <c r="BQ357"/>
  <c r="BR357" s="1"/>
  <c r="BT356"/>
  <c r="BZ358" l="1"/>
  <c r="BM360"/>
  <c r="BW359"/>
  <c r="BO359"/>
  <c r="BP359"/>
  <c r="BY359"/>
  <c r="BS358"/>
  <c r="BQ358"/>
  <c r="BR358" s="1"/>
  <c r="BT357"/>
  <c r="BM361" l="1"/>
  <c r="BO360"/>
  <c r="BW360"/>
  <c r="BP360"/>
  <c r="BY360"/>
  <c r="BS359"/>
  <c r="BQ359"/>
  <c r="BR359" s="1"/>
  <c r="BZ359"/>
  <c r="BT358"/>
  <c r="BM362" l="1"/>
  <c r="BO361"/>
  <c r="BW361"/>
  <c r="BP361"/>
  <c r="BY361"/>
  <c r="BS360"/>
  <c r="BQ360"/>
  <c r="BR360" s="1"/>
  <c r="BT359"/>
  <c r="BZ360"/>
  <c r="BS361" l="1"/>
  <c r="BQ361"/>
  <c r="BR361" s="1"/>
  <c r="BM363"/>
  <c r="BW362"/>
  <c r="BO362"/>
  <c r="BP362"/>
  <c r="BY362"/>
  <c r="BT360"/>
  <c r="BZ361"/>
  <c r="BT361" l="1"/>
  <c r="BS362"/>
  <c r="BQ362"/>
  <c r="BR362" s="1"/>
  <c r="BM364"/>
  <c r="BW363"/>
  <c r="BO363"/>
  <c r="BP363"/>
  <c r="BY363"/>
  <c r="BZ362"/>
  <c r="BT362" l="1"/>
  <c r="BS363"/>
  <c r="BQ363"/>
  <c r="BR363" s="1"/>
  <c r="BM365"/>
  <c r="BW364"/>
  <c r="BO364"/>
  <c r="BP364"/>
  <c r="BY364"/>
  <c r="BZ363"/>
  <c r="BT363" l="1"/>
  <c r="BS364"/>
  <c r="BQ364"/>
  <c r="BR364" s="1"/>
  <c r="BM366"/>
  <c r="BW365"/>
  <c r="BO365"/>
  <c r="BP365"/>
  <c r="BY365"/>
  <c r="BZ364"/>
  <c r="BT364" l="1"/>
  <c r="BS365"/>
  <c r="BQ365"/>
  <c r="BR365" s="1"/>
  <c r="BM367"/>
  <c r="BW366"/>
  <c r="BO366"/>
  <c r="BP366"/>
  <c r="BY366"/>
  <c r="BZ365"/>
  <c r="BT365" l="1"/>
  <c r="BS366"/>
  <c r="BQ366"/>
  <c r="BR366" s="1"/>
  <c r="BM368"/>
  <c r="BW367"/>
  <c r="BO367"/>
  <c r="BP367"/>
  <c r="BY367"/>
  <c r="BZ366"/>
  <c r="BT366" l="1"/>
  <c r="BS367"/>
  <c r="BQ367"/>
  <c r="BR367" s="1"/>
  <c r="BM369"/>
  <c r="BW368"/>
  <c r="BO368"/>
  <c r="BP368"/>
  <c r="BY368"/>
  <c r="BZ367"/>
  <c r="BT367" l="1"/>
  <c r="BS368"/>
  <c r="BQ368"/>
  <c r="BR368" s="1"/>
  <c r="BM370"/>
  <c r="BW369"/>
  <c r="BO369"/>
  <c r="BP369"/>
  <c r="BY369"/>
  <c r="BZ368"/>
  <c r="BT368" l="1"/>
  <c r="BS369"/>
  <c r="BQ369"/>
  <c r="BR369" s="1"/>
  <c r="BM371"/>
  <c r="BO370"/>
  <c r="BW370"/>
  <c r="BP370"/>
  <c r="BY370"/>
  <c r="BZ369"/>
  <c r="BT369" l="1"/>
  <c r="BZ370"/>
  <c r="BM372"/>
  <c r="BW371"/>
  <c r="BO371"/>
  <c r="BP371"/>
  <c r="BY371"/>
  <c r="BS370"/>
  <c r="BQ370"/>
  <c r="BR370" s="1"/>
  <c r="BZ371" l="1"/>
  <c r="BM373"/>
  <c r="BW372"/>
  <c r="BO372"/>
  <c r="BP372"/>
  <c r="BY372"/>
  <c r="BS371"/>
  <c r="BQ371"/>
  <c r="BR371" s="1"/>
  <c r="BT370"/>
  <c r="BM374" l="1"/>
  <c r="BW373"/>
  <c r="BO373"/>
  <c r="BP373"/>
  <c r="BY373"/>
  <c r="BS372"/>
  <c r="BQ372"/>
  <c r="BR372" s="1"/>
  <c r="BZ372"/>
  <c r="BT371"/>
  <c r="BZ373" l="1"/>
  <c r="BM375"/>
  <c r="BW374"/>
  <c r="BO374"/>
  <c r="BP374"/>
  <c r="BY374"/>
  <c r="BS373"/>
  <c r="BQ373"/>
  <c r="BR373" s="1"/>
  <c r="BT372"/>
  <c r="BZ374" l="1"/>
  <c r="BM376"/>
  <c r="BW375"/>
  <c r="BO375"/>
  <c r="BP375"/>
  <c r="BY375"/>
  <c r="BS374"/>
  <c r="BQ374"/>
  <c r="BR374" s="1"/>
  <c r="BT373"/>
  <c r="BZ375" l="1"/>
  <c r="BM377"/>
  <c r="BW376"/>
  <c r="BO376"/>
  <c r="BP376"/>
  <c r="BY376"/>
  <c r="BS375"/>
  <c r="BQ375"/>
  <c r="BR375" s="1"/>
  <c r="BT374"/>
  <c r="BM378" l="1"/>
  <c r="BW377"/>
  <c r="BO377"/>
  <c r="BP377"/>
  <c r="BY377"/>
  <c r="BS376"/>
  <c r="BQ376"/>
  <c r="BR376" s="1"/>
  <c r="BZ376"/>
  <c r="BT375"/>
  <c r="BT376" l="1"/>
  <c r="BM379"/>
  <c r="BW378"/>
  <c r="BO378"/>
  <c r="BP378"/>
  <c r="BY378"/>
  <c r="BS377"/>
  <c r="BQ377"/>
  <c r="BR377" s="1"/>
  <c r="BZ377"/>
  <c r="BZ378" l="1"/>
  <c r="BM380"/>
  <c r="BW379"/>
  <c r="BO379"/>
  <c r="BP379"/>
  <c r="BY379"/>
  <c r="BS378"/>
  <c r="BQ378"/>
  <c r="BR378" s="1"/>
  <c r="BT377"/>
  <c r="BZ379" l="1"/>
  <c r="BM381"/>
  <c r="BW380"/>
  <c r="BO380"/>
  <c r="BP380"/>
  <c r="BY380"/>
  <c r="BS379"/>
  <c r="BQ379"/>
  <c r="BR379" s="1"/>
  <c r="BT378"/>
  <c r="BM382" l="1"/>
  <c r="BO381"/>
  <c r="BW381"/>
  <c r="BP381"/>
  <c r="BY381"/>
  <c r="BS380"/>
  <c r="BQ380"/>
  <c r="BR380" s="1"/>
  <c r="BZ380"/>
  <c r="BT379"/>
  <c r="BM383" l="1"/>
  <c r="BO382"/>
  <c r="BW382"/>
  <c r="BP382"/>
  <c r="BY382"/>
  <c r="BS381"/>
  <c r="BQ381"/>
  <c r="BR381" s="1"/>
  <c r="BT380"/>
  <c r="BZ381"/>
  <c r="BM384" l="1"/>
  <c r="BW383"/>
  <c r="BO383"/>
  <c r="BP383"/>
  <c r="BY383"/>
  <c r="BS382"/>
  <c r="BQ382"/>
  <c r="BR382" s="1"/>
  <c r="BT381"/>
  <c r="BZ382"/>
  <c r="BZ383" l="1"/>
  <c r="BM385"/>
  <c r="BW384"/>
  <c r="BO384"/>
  <c r="BP384"/>
  <c r="BY384"/>
  <c r="BS383"/>
  <c r="BQ383"/>
  <c r="BR383" s="1"/>
  <c r="BT382"/>
  <c r="BZ384" l="1"/>
  <c r="BM386"/>
  <c r="BW385"/>
  <c r="BO385"/>
  <c r="BP385"/>
  <c r="BY385"/>
  <c r="BS384"/>
  <c r="BQ384"/>
  <c r="BR384" s="1"/>
  <c r="BT383"/>
  <c r="BZ385" l="1"/>
  <c r="BM387"/>
  <c r="BO386"/>
  <c r="BW386"/>
  <c r="BP386"/>
  <c r="BY386"/>
  <c r="BS385"/>
  <c r="BQ385"/>
  <c r="BR385" s="1"/>
  <c r="BT384"/>
  <c r="BM388" l="1"/>
  <c r="BW387"/>
  <c r="BO387"/>
  <c r="BP387"/>
  <c r="BY387"/>
  <c r="BS386"/>
  <c r="BQ386"/>
  <c r="BR386" s="1"/>
  <c r="BT385"/>
  <c r="BZ386"/>
  <c r="BZ387" l="1"/>
  <c r="BM389"/>
  <c r="BW388"/>
  <c r="BO388"/>
  <c r="BP388"/>
  <c r="BY388"/>
  <c r="BS387"/>
  <c r="BQ387"/>
  <c r="BR387" s="1"/>
  <c r="BT386"/>
  <c r="BZ388" l="1"/>
  <c r="BM390"/>
  <c r="BW389"/>
  <c r="BO389"/>
  <c r="BP389"/>
  <c r="BY389"/>
  <c r="BS388"/>
  <c r="BQ388"/>
  <c r="BR388" s="1"/>
  <c r="BT387"/>
  <c r="BZ389" l="1"/>
  <c r="BM391"/>
  <c r="BW390"/>
  <c r="BO390"/>
  <c r="BP390"/>
  <c r="BY390"/>
  <c r="BS389"/>
  <c r="BQ389"/>
  <c r="BR389" s="1"/>
  <c r="BT388"/>
  <c r="BM392" l="1"/>
  <c r="BW391"/>
  <c r="BO391"/>
  <c r="BP391"/>
  <c r="BY391"/>
  <c r="BS390"/>
  <c r="BQ390"/>
  <c r="BR390" s="1"/>
  <c r="BZ390"/>
  <c r="BT389"/>
  <c r="BZ391" l="1"/>
  <c r="BM393"/>
  <c r="BO392"/>
  <c r="BW392"/>
  <c r="BP392"/>
  <c r="BY392"/>
  <c r="BS391"/>
  <c r="BQ391"/>
  <c r="BR391" s="1"/>
  <c r="BT390"/>
  <c r="BS392" l="1"/>
  <c r="BQ392"/>
  <c r="BR392" s="1"/>
  <c r="BM394"/>
  <c r="BO393"/>
  <c r="BW393"/>
  <c r="BP393"/>
  <c r="BY393"/>
  <c r="BT391"/>
  <c r="BZ392"/>
  <c r="BT392" l="1"/>
  <c r="BZ393"/>
  <c r="BW394"/>
  <c r="BO394"/>
  <c r="BP394"/>
  <c r="BY394"/>
  <c r="BS393"/>
  <c r="BQ393"/>
  <c r="BR393" s="1"/>
  <c r="BZ394" l="1"/>
  <c r="BS394"/>
  <c r="BQ394"/>
  <c r="BR394" s="1"/>
  <c r="BT393"/>
  <c r="BT394" l="1"/>
</calcChain>
</file>

<file path=xl/sharedStrings.xml><?xml version="1.0" encoding="utf-8"?>
<sst xmlns="http://schemas.openxmlformats.org/spreadsheetml/2006/main" count="1182" uniqueCount="320">
  <si>
    <t>КПД антенны</t>
  </si>
  <si>
    <t>Rw</t>
  </si>
  <si>
    <t>Ом</t>
  </si>
  <si>
    <t>В</t>
  </si>
  <si>
    <t>U</t>
  </si>
  <si>
    <t>Вт</t>
  </si>
  <si>
    <t>λ</t>
  </si>
  <si>
    <t>м</t>
  </si>
  <si>
    <t>γ</t>
  </si>
  <si>
    <t xml:space="preserve"> </t>
  </si>
  <si>
    <t>f</t>
  </si>
  <si>
    <t>кГц</t>
  </si>
  <si>
    <t>ПН</t>
  </si>
  <si>
    <t>дБ</t>
  </si>
  <si>
    <t>α</t>
  </si>
  <si>
    <t>R</t>
  </si>
  <si>
    <t>β</t>
  </si>
  <si>
    <t>град</t>
  </si>
  <si>
    <t>Ω</t>
  </si>
  <si>
    <t>ср</t>
  </si>
  <si>
    <t>10lgA</t>
  </si>
  <si>
    <t>BS</t>
  </si>
  <si>
    <t>EL</t>
  </si>
  <si>
    <t>Па</t>
  </si>
  <si>
    <t>р</t>
  </si>
  <si>
    <t>ПО</t>
  </si>
  <si>
    <t>см</t>
  </si>
  <si>
    <t>η</t>
  </si>
  <si>
    <t>УЭ</t>
  </si>
  <si>
    <t>τ</t>
  </si>
  <si>
    <t>мкс</t>
  </si>
  <si>
    <t>Гц</t>
  </si>
  <si>
    <t>Nсп</t>
  </si>
  <si>
    <t>p</t>
  </si>
  <si>
    <t>Н, м</t>
  </si>
  <si>
    <t>cos α/2</t>
  </si>
  <si>
    <t>α, град</t>
  </si>
  <si>
    <t>с, м/с</t>
  </si>
  <si>
    <t>τ, мкс</t>
  </si>
  <si>
    <t>Lимп, м</t>
  </si>
  <si>
    <t>Δf</t>
  </si>
  <si>
    <t>Δf, кГц</t>
  </si>
  <si>
    <t>Nсп0</t>
  </si>
  <si>
    <t>Па*м/В</t>
  </si>
  <si>
    <t>d</t>
  </si>
  <si>
    <t>Ss</t>
  </si>
  <si>
    <t>Urms</t>
  </si>
  <si>
    <t>УР</t>
  </si>
  <si>
    <t>УШ</t>
  </si>
  <si>
    <t>Pat</t>
  </si>
  <si>
    <t>мкВ/Па</t>
  </si>
  <si>
    <t>dB</t>
  </si>
  <si>
    <t>МГ</t>
  </si>
  <si>
    <t>СГ</t>
  </si>
  <si>
    <t>БГ</t>
  </si>
  <si>
    <t>Patr</t>
  </si>
  <si>
    <t>град.</t>
  </si>
  <si>
    <t>dB/km</t>
  </si>
  <si>
    <t>m</t>
  </si>
  <si>
    <t>Z</t>
  </si>
  <si>
    <t>Uetr</t>
  </si>
  <si>
    <t>Uetrrms</t>
  </si>
  <si>
    <t>Рetr</t>
  </si>
  <si>
    <t>Рабочая частота</t>
  </si>
  <si>
    <t>Диаметр антенны</t>
  </si>
  <si>
    <t>Амлитуда ЗИ</t>
  </si>
  <si>
    <t>Амплитуда ЗИ rms</t>
  </si>
  <si>
    <t>Коэфф. Затухания</t>
  </si>
  <si>
    <t>Коэфф.концентрации</t>
  </si>
  <si>
    <t>Длина волны</t>
  </si>
  <si>
    <t>Показатель направленности</t>
  </si>
  <si>
    <t>Уровень излучения</t>
  </si>
  <si>
    <t>Сила обратного рассеянья</t>
  </si>
  <si>
    <t>Порог обнаружения</t>
  </si>
  <si>
    <t>Электрическая мощность</t>
  </si>
  <si>
    <t>Аккустическая мощность</t>
  </si>
  <si>
    <t>Глубина диапазона</t>
  </si>
  <si>
    <t>Н</t>
  </si>
  <si>
    <t>Длительность ЗИ (расчетная)</t>
  </si>
  <si>
    <t>ХН (-3dB)</t>
  </si>
  <si>
    <t>Скорость звука</t>
  </si>
  <si>
    <t>с</t>
  </si>
  <si>
    <t>м/с</t>
  </si>
  <si>
    <t>Длительность ЗИ</t>
  </si>
  <si>
    <t>Глубина по длительности</t>
  </si>
  <si>
    <t>Нlim</t>
  </si>
  <si>
    <t>в полосе</t>
  </si>
  <si>
    <t>на частоте</t>
  </si>
  <si>
    <t>Спектральный уровень шумов</t>
  </si>
  <si>
    <t>на частоте 1кГц в полосе 1 Гц</t>
  </si>
  <si>
    <t>на частоте 200 кГц в полосе 1 Гц</t>
  </si>
  <si>
    <t>Полоса пропускания приемника</t>
  </si>
  <si>
    <r>
      <t>Nсп</t>
    </r>
    <r>
      <rPr>
        <sz val="11"/>
        <color theme="1"/>
        <rFont val="Calibri"/>
        <family val="2"/>
        <charset val="204"/>
      </rPr>
      <t>Δf</t>
    </r>
  </si>
  <si>
    <t>на частоте 200кГц в полосе 13 кГц</t>
  </si>
  <si>
    <t>с учетом направленности антенны</t>
  </si>
  <si>
    <t>Давление шумовой помехи</t>
  </si>
  <si>
    <t>на частоте 200 кГц в полосе 13 кГц</t>
  </si>
  <si>
    <r>
      <t>Первое знач.формула Торпа для солености 35</t>
    </r>
    <r>
      <rPr>
        <sz val="11"/>
        <color theme="1"/>
        <rFont val="Calibri"/>
        <family val="2"/>
        <charset val="204"/>
      </rPr>
      <t>‰, второе из Судовых эхолотов</t>
    </r>
  </si>
  <si>
    <t>Чувствительность в излучении</t>
  </si>
  <si>
    <t>su</t>
  </si>
  <si>
    <t>dB re μPa V⁻¹</t>
  </si>
  <si>
    <t>Su</t>
  </si>
  <si>
    <t>УИ, dB</t>
  </si>
  <si>
    <t>УИ (по Su) dB</t>
  </si>
  <si>
    <t>Шаг ВРУ</t>
  </si>
  <si>
    <t>Чувствительность в приеме</t>
  </si>
  <si>
    <t>mu</t>
  </si>
  <si>
    <t>Mu</t>
  </si>
  <si>
    <r>
      <t xml:space="preserve">dB re V </t>
    </r>
    <r>
      <rPr>
        <sz val="11"/>
        <color theme="1"/>
        <rFont val="Calibri"/>
        <family val="2"/>
        <charset val="204"/>
      </rPr>
      <t>μPa</t>
    </r>
  </si>
  <si>
    <t>Эквивалентная ХН</t>
  </si>
  <si>
    <t>Φ</t>
  </si>
  <si>
    <t>Расчет по Урик (стр.254)</t>
  </si>
  <si>
    <t>10lgc</t>
  </si>
  <si>
    <t>dB re 1 sr</t>
  </si>
  <si>
    <t>dB re 1 s</t>
  </si>
  <si>
    <t>Ф</t>
  </si>
  <si>
    <t>Плотноть воды</t>
  </si>
  <si>
    <t>ρ</t>
  </si>
  <si>
    <r>
      <t>кг/м</t>
    </r>
    <r>
      <rPr>
        <sz val="11"/>
        <color theme="1"/>
        <rFont val="Calibri"/>
        <family val="2"/>
        <charset val="204"/>
      </rPr>
      <t>³</t>
    </r>
  </si>
  <si>
    <t>Акустический импеданс</t>
  </si>
  <si>
    <t>ρс</t>
  </si>
  <si>
    <r>
      <t>кг/м</t>
    </r>
    <r>
      <rPr>
        <sz val="11"/>
        <color theme="1"/>
        <rFont val="Calibri"/>
        <family val="2"/>
        <charset val="204"/>
      </rPr>
      <t>²*с</t>
    </r>
  </si>
  <si>
    <t>Х1</t>
  </si>
  <si>
    <t>Х2</t>
  </si>
  <si>
    <t>Х3</t>
  </si>
  <si>
    <t>Х4</t>
  </si>
  <si>
    <r>
      <t>10lg</t>
    </r>
    <r>
      <rPr>
        <sz val="11"/>
        <color theme="1"/>
        <rFont val="Calibri"/>
        <family val="2"/>
        <charset val="204"/>
      </rPr>
      <t>τ</t>
    </r>
  </si>
  <si>
    <t>10lg2</t>
  </si>
  <si>
    <t>Диапазон</t>
  </si>
  <si>
    <t>мс</t>
  </si>
  <si>
    <t>t1</t>
  </si>
  <si>
    <t>t2</t>
  </si>
  <si>
    <r>
      <t>Δ</t>
    </r>
    <r>
      <rPr>
        <sz val="7.7"/>
        <color theme="1"/>
        <rFont val="Calibri"/>
        <family val="2"/>
        <charset val="204"/>
      </rPr>
      <t>h1</t>
    </r>
  </si>
  <si>
    <t>Δh2</t>
  </si>
  <si>
    <t>t3</t>
  </si>
  <si>
    <t>Δh3</t>
  </si>
  <si>
    <t>КК1</t>
  </si>
  <si>
    <t>КК2</t>
  </si>
  <si>
    <t>30lgr+2βr</t>
  </si>
  <si>
    <t>Ur rms, мВ (Su)</t>
  </si>
  <si>
    <t>Ur, мВ</t>
  </si>
  <si>
    <t>Ку &gt; 50 мВ</t>
  </si>
  <si>
    <t>K1 (DA1|12)</t>
  </si>
  <si>
    <t>КББ (DA4|1)</t>
  </si>
  <si>
    <t>СД</t>
  </si>
  <si>
    <r>
      <rPr>
        <b/>
        <sz val="12"/>
        <color theme="1"/>
        <rFont val="Arial"/>
        <family val="2"/>
        <charset val="204"/>
      </rPr>
      <t>KK1</t>
    </r>
    <r>
      <rPr>
        <sz val="12"/>
        <color theme="1"/>
        <rFont val="Arial"/>
        <family val="2"/>
        <charset val="204"/>
      </rPr>
      <t xml:space="preserve"> (DA4|7)</t>
    </r>
  </si>
  <si>
    <r>
      <rPr>
        <b/>
        <sz val="12"/>
        <color theme="1"/>
        <rFont val="Arial"/>
        <family val="2"/>
        <charset val="204"/>
      </rPr>
      <t>KK2</t>
    </r>
    <r>
      <rPr>
        <sz val="12"/>
        <color theme="1"/>
        <rFont val="Arial"/>
        <family val="2"/>
        <charset val="204"/>
      </rPr>
      <t xml:space="preserve"> (DA6|1)</t>
    </r>
  </si>
  <si>
    <t>К1*К2*СД</t>
  </si>
  <si>
    <t>КК1КК2</t>
  </si>
  <si>
    <t>Контроль</t>
  </si>
  <si>
    <t>Глубина</t>
  </si>
  <si>
    <t>20lgU (Su)</t>
  </si>
  <si>
    <t>ВВОД И РАСЧЕТ ДАННЫХ</t>
  </si>
  <si>
    <t>20lgR</t>
  </si>
  <si>
    <t>2βR</t>
  </si>
  <si>
    <t>TVG</t>
  </si>
  <si>
    <t>K</t>
  </si>
  <si>
    <t>Расчет напряжения помехи послезвучания антенны</t>
  </si>
  <si>
    <t>Sv</t>
  </si>
  <si>
    <t>40lgR</t>
  </si>
  <si>
    <t>V</t>
  </si>
  <si>
    <t>УРv</t>
  </si>
  <si>
    <t>10LgV</t>
  </si>
  <si>
    <t>ψ</t>
  </si>
  <si>
    <t>A</t>
  </si>
  <si>
    <t>УРs</t>
  </si>
  <si>
    <t>10lgPa</t>
  </si>
  <si>
    <t>10lgτ</t>
  </si>
  <si>
    <t>10lgK</t>
  </si>
  <si>
    <t>20lgr</t>
  </si>
  <si>
    <t>Nор</t>
  </si>
  <si>
    <t>mд</t>
  </si>
  <si>
    <t>10lgH</t>
  </si>
  <si>
    <t>Nдр</t>
  </si>
  <si>
    <t>Ввод исходных данных</t>
  </si>
  <si>
    <t>Частота</t>
  </si>
  <si>
    <t>Импеданс</t>
  </si>
  <si>
    <t>Диаметр</t>
  </si>
  <si>
    <t>Радиус</t>
  </si>
  <si>
    <t xml:space="preserve">r </t>
  </si>
  <si>
    <t>ϕ3dB</t>
  </si>
  <si>
    <t>ХН</t>
  </si>
  <si>
    <t>Чувствительность</t>
  </si>
  <si>
    <t>Излучение</t>
  </si>
  <si>
    <t>Прием</t>
  </si>
  <si>
    <t>Амплитуда ЗИ</t>
  </si>
  <si>
    <t>Uзи</t>
  </si>
  <si>
    <t xml:space="preserve">Плотность </t>
  </si>
  <si>
    <t>ρw</t>
  </si>
  <si>
    <t>кг/м³</t>
  </si>
  <si>
    <t>Диапазоны</t>
  </si>
  <si>
    <r>
      <t xml:space="preserve">Давление шумовой помехи (f=1 кГц </t>
    </r>
    <r>
      <rPr>
        <sz val="11"/>
        <color theme="1"/>
        <rFont val="Calibri"/>
        <family val="2"/>
        <charset val="204"/>
      </rPr>
      <t>Δf=</t>
    </r>
    <r>
      <rPr>
        <sz val="11"/>
        <color theme="1"/>
        <rFont val="Calibri"/>
        <family val="2"/>
        <charset val="204"/>
        <scheme val="minor"/>
      </rPr>
      <t>1 Гц)</t>
    </r>
  </si>
  <si>
    <t>Δfпр</t>
  </si>
  <si>
    <t>Сила дна (Bottom scattering strenght)</t>
  </si>
  <si>
    <t>Sb</t>
  </si>
  <si>
    <r>
      <t xml:space="preserve"> </t>
    </r>
    <r>
      <rPr>
        <sz val="11"/>
        <color theme="1"/>
        <rFont val="Calibri"/>
        <family val="2"/>
        <charset val="204"/>
      </rPr>
      <t>Δtwg</t>
    </r>
  </si>
  <si>
    <t>Промежуточный расчет</t>
  </si>
  <si>
    <t>Торп</t>
  </si>
  <si>
    <t>Хребтов</t>
  </si>
  <si>
    <t>Коэфф.затухания</t>
  </si>
  <si>
    <t>Коэфф. Концентр.</t>
  </si>
  <si>
    <t>Показатель направл.</t>
  </si>
  <si>
    <t>ПН (DI)</t>
  </si>
  <si>
    <t>КПД</t>
  </si>
  <si>
    <t>Предельная глубина для τ (Long pulse regime)</t>
  </si>
  <si>
    <t>Расчетная длительность для заданного диапазона</t>
  </si>
  <si>
    <t>τ расч.</t>
  </si>
  <si>
    <t>Pet</t>
  </si>
  <si>
    <t>Акустическая мощность</t>
  </si>
  <si>
    <t>10lgψ</t>
  </si>
  <si>
    <t>10lgΦ</t>
  </si>
  <si>
    <t>Телесный угол</t>
  </si>
  <si>
    <t>*Расчет по Урик</t>
  </si>
  <si>
    <t>Эквивалентный угол ХН*</t>
  </si>
  <si>
    <t>10lgΩ</t>
  </si>
  <si>
    <t>Уровень шумовой помехи на f=1 кГц Δf=1 Гц</t>
  </si>
  <si>
    <t>Уровень шумовой помехи на f=</t>
  </si>
  <si>
    <t>кГц Δf=1 Гц</t>
  </si>
  <si>
    <t>кГц     Δf=</t>
  </si>
  <si>
    <t>Уровень шума УП-ПН</t>
  </si>
  <si>
    <t>Шаг ВРУ в метрах</t>
  </si>
  <si>
    <t>дБ re В мкПа</t>
  </si>
  <si>
    <t>дБ re  мкПа В⁻¹</t>
  </si>
  <si>
    <t>дБ re 1 ср</t>
  </si>
  <si>
    <t>УИ*</t>
  </si>
  <si>
    <t>по Su</t>
  </si>
  <si>
    <t xml:space="preserve">*расчет </t>
  </si>
  <si>
    <t>10lgS</t>
  </si>
  <si>
    <t>Урик</t>
  </si>
  <si>
    <t>10logH</t>
  </si>
  <si>
    <t>Колчеданцев</t>
  </si>
  <si>
    <t>20lgθ</t>
  </si>
  <si>
    <t>30lgR</t>
  </si>
  <si>
    <t>10lgc/8П</t>
  </si>
  <si>
    <t>КУ</t>
  </si>
  <si>
    <t>ПР</t>
  </si>
  <si>
    <t>Urms мВ</t>
  </si>
  <si>
    <t>Uампл мВ</t>
  </si>
  <si>
    <t xml:space="preserve">  </t>
  </si>
  <si>
    <t>УИ</t>
  </si>
  <si>
    <t>КУ2</t>
  </si>
  <si>
    <t>Uампл2 мВ</t>
  </si>
  <si>
    <t>КУ50 мВ</t>
  </si>
  <si>
    <t>Uампл 50мВ</t>
  </si>
  <si>
    <t>КУ1</t>
  </si>
  <si>
    <t>КУ 50 мВ</t>
  </si>
  <si>
    <t>ХК.01</t>
  </si>
  <si>
    <t>50 кГц</t>
  </si>
  <si>
    <t>коэффициент усиления для компенсации потерь на распостранение</t>
  </si>
  <si>
    <t>коэффициент усиления для пересечения уровня 50 мВ</t>
  </si>
  <si>
    <t>коэффициент усиления                                  приведенный к КУ1</t>
  </si>
  <si>
    <t>КУ2 99 мВ</t>
  </si>
  <si>
    <t>240 кГц</t>
  </si>
  <si>
    <t>КУ2 47 мВ</t>
  </si>
  <si>
    <t>КУ2 47мВ</t>
  </si>
  <si>
    <t>FF</t>
  </si>
  <si>
    <t>FD</t>
  </si>
  <si>
    <t>E9</t>
  </si>
  <si>
    <t>DA</t>
  </si>
  <si>
    <t>CE</t>
  </si>
  <si>
    <t>C2</t>
  </si>
  <si>
    <t>B8</t>
  </si>
  <si>
    <t>A8</t>
  </si>
  <si>
    <t>A1</t>
  </si>
  <si>
    <t>9C</t>
  </si>
  <si>
    <t>8D</t>
  </si>
  <si>
    <t>7E</t>
  </si>
  <si>
    <t>7B</t>
  </si>
  <si>
    <t>6E</t>
  </si>
  <si>
    <t>6A</t>
  </si>
  <si>
    <t>5D</t>
  </si>
  <si>
    <t>4F</t>
  </si>
  <si>
    <t>4E</t>
  </si>
  <si>
    <t>4D</t>
  </si>
  <si>
    <t>4C</t>
  </si>
  <si>
    <t>4B</t>
  </si>
  <si>
    <t>4A</t>
  </si>
  <si>
    <t>3F</t>
  </si>
  <si>
    <t>3E</t>
  </si>
  <si>
    <t>3D</t>
  </si>
  <si>
    <t>3C</t>
  </si>
  <si>
    <t>3B</t>
  </si>
  <si>
    <t>3A</t>
  </si>
  <si>
    <t>Шаг</t>
  </si>
  <si>
    <t>EB</t>
  </si>
  <si>
    <t>DB</t>
  </si>
  <si>
    <t>CC</t>
  </si>
  <si>
    <t>C3</t>
  </si>
  <si>
    <t>BA</t>
  </si>
  <si>
    <t>A9</t>
  </si>
  <si>
    <t>8C</t>
  </si>
  <si>
    <t>7C</t>
  </si>
  <si>
    <t>6B</t>
  </si>
  <si>
    <t>5E</t>
  </si>
  <si>
    <t>5A</t>
  </si>
  <si>
    <t>5F</t>
  </si>
  <si>
    <t>5C</t>
  </si>
  <si>
    <t>6C</t>
  </si>
  <si>
    <t>B0</t>
  </si>
  <si>
    <t>B1</t>
  </si>
  <si>
    <t>2E</t>
  </si>
  <si>
    <t>2C</t>
  </si>
  <si>
    <t>2A</t>
  </si>
  <si>
    <t>1F</t>
  </si>
  <si>
    <t>1E</t>
  </si>
  <si>
    <t>1D</t>
  </si>
  <si>
    <t>1C</t>
  </si>
  <si>
    <t>1B</t>
  </si>
  <si>
    <t>1A</t>
  </si>
  <si>
    <t>F</t>
  </si>
  <si>
    <t>E</t>
  </si>
  <si>
    <t>D</t>
  </si>
  <si>
    <t>C</t>
  </si>
  <si>
    <t>B</t>
  </si>
  <si>
    <t>К1</t>
  </si>
  <si>
    <t>К2</t>
  </si>
  <si>
    <t>К1К2</t>
  </si>
  <si>
    <t>Δ</t>
  </si>
  <si>
    <t>ПР 40lg</t>
  </si>
  <si>
    <t>УЭ2</t>
  </si>
</sst>
</file>

<file path=xl/styles.xml><?xml version="1.0" encoding="utf-8"?>
<styleSheet xmlns="http://schemas.openxmlformats.org/spreadsheetml/2006/main">
  <numFmts count="7">
    <numFmt numFmtId="164" formatCode="0.0000"/>
    <numFmt numFmtId="165" formatCode="0.0"/>
    <numFmt numFmtId="166" formatCode="0.000"/>
    <numFmt numFmtId="167" formatCode="0.00000"/>
    <numFmt numFmtId="168" formatCode="0.00000000000"/>
    <numFmt numFmtId="169" formatCode="0.00000000000000000000"/>
    <numFmt numFmtId="170" formatCode="0.000000"/>
  </numFmts>
  <fonts count="15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Arial"/>
      <family val="2"/>
      <charset val="204"/>
    </font>
    <font>
      <sz val="7.7"/>
      <color theme="1"/>
      <name val="Calibri"/>
      <family val="2"/>
      <charset val="204"/>
    </font>
    <font>
      <b/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2" fontId="5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ont="1" applyBorder="1" applyAlignment="1"/>
    <xf numFmtId="0" fontId="10" fillId="0" borderId="0" xfId="0" applyFont="1" applyBorder="1" applyAlignment="1"/>
    <xf numFmtId="0" fontId="0" fillId="0" borderId="0" xfId="0" applyFont="1" applyBorder="1"/>
    <xf numFmtId="0" fontId="10" fillId="0" borderId="0" xfId="0" applyFont="1" applyBorder="1"/>
    <xf numFmtId="2" fontId="0" fillId="0" borderId="0" xfId="0" applyNumberFormat="1" applyFont="1" applyBorder="1"/>
    <xf numFmtId="2" fontId="10" fillId="0" borderId="0" xfId="0" applyNumberFormat="1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167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/>
    <xf numFmtId="165" fontId="0" fillId="0" borderId="1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9" xfId="0" applyFill="1" applyBorder="1"/>
    <xf numFmtId="165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 applyBorder="1" applyAlignment="1">
      <alignment horizontal="center"/>
    </xf>
    <xf numFmtId="0" fontId="4" fillId="4" borderId="1" xfId="0" applyFont="1" applyFill="1" applyBorder="1"/>
    <xf numFmtId="0" fontId="0" fillId="0" borderId="1" xfId="0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" xfId="0" applyFill="1" applyBorder="1"/>
    <xf numFmtId="1" fontId="3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0" xfId="0" applyNumberFormat="1" applyBorder="1"/>
    <xf numFmtId="0" fontId="4" fillId="0" borderId="1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2" fontId="0" fillId="0" borderId="1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166" fontId="3" fillId="9" borderId="16" xfId="0" applyNumberFormat="1" applyFont="1" applyFill="1" applyBorder="1"/>
    <xf numFmtId="167" fontId="0" fillId="0" borderId="0" xfId="0" applyNumberFormat="1" applyBorder="1"/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165" fontId="0" fillId="0" borderId="20" xfId="0" applyNumberFormat="1" applyBorder="1"/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 applyBorder="1"/>
    <xf numFmtId="0" fontId="11" fillId="0" borderId="0" xfId="0" applyFont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/>
    <xf numFmtId="2" fontId="4" fillId="0" borderId="21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1" xfId="0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3" fillId="9" borderId="16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166" fontId="13" fillId="11" borderId="1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3" fillId="4" borderId="2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 vertical="center"/>
    </xf>
    <xf numFmtId="166" fontId="3" fillId="4" borderId="8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166" fontId="3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/>
    <xf numFmtId="0" fontId="0" fillId="11" borderId="0" xfId="0" applyFill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3" borderId="4" xfId="0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166" fontId="3" fillId="4" borderId="13" xfId="0" applyNumberFormat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5" xfId="0" applyBorder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7" fontId="0" fillId="0" borderId="15" xfId="0" applyNumberFormat="1" applyBorder="1"/>
    <xf numFmtId="166" fontId="3" fillId="9" borderId="25" xfId="0" applyNumberFormat="1" applyFont="1" applyFill="1" applyBorder="1"/>
    <xf numFmtId="166" fontId="0" fillId="0" borderId="1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'КУ для 240 кГц '!$J$10:$J$95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xVal>
          <c:yVal>
            <c:numRef>
              <c:f>'КУ для 240 кГц '!$Y$10:$Y$95</c:f>
              <c:numCache>
                <c:formatCode>General</c:formatCode>
                <c:ptCount val="86"/>
                <c:pt idx="0">
                  <c:v>6.3269892874373568E-4</c:v>
                </c:pt>
                <c:pt idx="1">
                  <c:v>1.3767244953119651E-2</c:v>
                </c:pt>
                <c:pt idx="2">
                  <c:v>-2.8140986363252907E-2</c:v>
                </c:pt>
                <c:pt idx="3">
                  <c:v>4.516663427038381E-2</c:v>
                </c:pt>
                <c:pt idx="4">
                  <c:v>7.2635347233706682E-2</c:v>
                </c:pt>
                <c:pt idx="5">
                  <c:v>1.0721897219358567E-2</c:v>
                </c:pt>
                <c:pt idx="6">
                  <c:v>5.7920651797473965E-2</c:v>
                </c:pt>
                <c:pt idx="7">
                  <c:v>-8.7708995960134928E-2</c:v>
                </c:pt>
                <c:pt idx="8">
                  <c:v>-5.3513879318998647E-2</c:v>
                </c:pt>
                <c:pt idx="9">
                  <c:v>0.18278310017971933</c:v>
                </c:pt>
                <c:pt idx="10">
                  <c:v>-9.5885391934480424E-2</c:v>
                </c:pt>
                <c:pt idx="11">
                  <c:v>0.2341020601122068</c:v>
                </c:pt>
                <c:pt idx="12">
                  <c:v>7.0904271880039005E-3</c:v>
                </c:pt>
                <c:pt idx="13">
                  <c:v>-0.12181526091182349</c:v>
                </c:pt>
                <c:pt idx="14">
                  <c:v>-0.31671163172535444</c:v>
                </c:pt>
                <c:pt idx="15">
                  <c:v>0.37914317823165788</c:v>
                </c:pt>
                <c:pt idx="16">
                  <c:v>-0.30662837489506956</c:v>
                </c:pt>
                <c:pt idx="17">
                  <c:v>-0.16547909456630805</c:v>
                </c:pt>
                <c:pt idx="18">
                  <c:v>-5.7890752882997276E-2</c:v>
                </c:pt>
                <c:pt idx="19">
                  <c:v>-0.41332555471092292</c:v>
                </c:pt>
                <c:pt idx="20">
                  <c:v>-1.01752504865118E-2</c:v>
                </c:pt>
                <c:pt idx="21">
                  <c:v>-0.22570778632727695</c:v>
                </c:pt>
                <c:pt idx="22">
                  <c:v>0.51398862510694698</c:v>
                </c:pt>
                <c:pt idx="23">
                  <c:v>0.73406413498665302</c:v>
                </c:pt>
                <c:pt idx="24">
                  <c:v>0.61096871757486326</c:v>
                </c:pt>
                <c:pt idx="25">
                  <c:v>3.2516591968345665E-2</c:v>
                </c:pt>
                <c:pt idx="26">
                  <c:v>1.247953746115769</c:v>
                </c:pt>
                <c:pt idx="27">
                  <c:v>-0.63197129060134216</c:v>
                </c:pt>
                <c:pt idx="28">
                  <c:v>1.2150667268552127</c:v>
                </c:pt>
                <c:pt idx="29">
                  <c:v>0.72304749521580902</c:v>
                </c:pt>
                <c:pt idx="30">
                  <c:v>-0.12231337163609624</c:v>
                </c:pt>
                <c:pt idx="31">
                  <c:v>-0.73347897242814497</c:v>
                </c:pt>
                <c:pt idx="32">
                  <c:v>-0.82100165998457442</c:v>
                </c:pt>
                <c:pt idx="33">
                  <c:v>-1.0934293024696728</c:v>
                </c:pt>
                <c:pt idx="34">
                  <c:v>-0.50720706352072398</c:v>
                </c:pt>
                <c:pt idx="35">
                  <c:v>-0.51657449112991571</c:v>
                </c:pt>
                <c:pt idx="36">
                  <c:v>1.1765423045739567</c:v>
                </c:pt>
                <c:pt idx="37">
                  <c:v>0.67264361466578748</c:v>
                </c:pt>
                <c:pt idx="38">
                  <c:v>-0.62522552350668548</c:v>
                </c:pt>
                <c:pt idx="39">
                  <c:v>2.3886486522179666</c:v>
                </c:pt>
                <c:pt idx="40">
                  <c:v>1.7727785041501534</c:v>
                </c:pt>
                <c:pt idx="41">
                  <c:v>1.7886110423601167</c:v>
                </c:pt>
                <c:pt idx="42">
                  <c:v>1.1006704327158445</c:v>
                </c:pt>
                <c:pt idx="43">
                  <c:v>-2.2232927332083818</c:v>
                </c:pt>
                <c:pt idx="44">
                  <c:v>-2.11214509106793</c:v>
                </c:pt>
                <c:pt idx="45">
                  <c:v>2.5087932503030288</c:v>
                </c:pt>
                <c:pt idx="46">
                  <c:v>-7.2820797851262569</c:v>
                </c:pt>
                <c:pt idx="47">
                  <c:v>12.597531378176654</c:v>
                </c:pt>
                <c:pt idx="48">
                  <c:v>2.2340080762309071</c:v>
                </c:pt>
                <c:pt idx="49">
                  <c:v>-10.281985600630378</c:v>
                </c:pt>
                <c:pt idx="50">
                  <c:v>1.1447034837931369</c:v>
                </c:pt>
                <c:pt idx="51">
                  <c:v>-9.386066467339333</c:v>
                </c:pt>
                <c:pt idx="52">
                  <c:v>4.2304940182610835</c:v>
                </c:pt>
                <c:pt idx="53">
                  <c:v>-7.8956574624293125</c:v>
                </c:pt>
                <c:pt idx="54">
                  <c:v>-9.6491471849138861</c:v>
                </c:pt>
                <c:pt idx="55">
                  <c:v>35.091074369474768</c:v>
                </c:pt>
                <c:pt idx="56">
                  <c:v>10.452004384182032</c:v>
                </c:pt>
                <c:pt idx="57">
                  <c:v>36.566872346918672</c:v>
                </c:pt>
                <c:pt idx="58">
                  <c:v>9.5754380487044273</c:v>
                </c:pt>
                <c:pt idx="59">
                  <c:v>-34.375696439816011</c:v>
                </c:pt>
                <c:pt idx="60">
                  <c:v>28.867239831188954</c:v>
                </c:pt>
                <c:pt idx="61">
                  <c:v>7.4655285889396055</c:v>
                </c:pt>
                <c:pt idx="62">
                  <c:v>-17.4116797587983</c:v>
                </c:pt>
                <c:pt idx="63">
                  <c:v>-12.586991477116044</c:v>
                </c:pt>
                <c:pt idx="64">
                  <c:v>1.1256226582679574</c:v>
                </c:pt>
                <c:pt idx="65">
                  <c:v>8.9212378463096229</c:v>
                </c:pt>
                <c:pt idx="66">
                  <c:v>33.004404913173175</c:v>
                </c:pt>
                <c:pt idx="67">
                  <c:v>-21.410399985305276</c:v>
                </c:pt>
                <c:pt idx="68">
                  <c:v>6.9016953116456534</c:v>
                </c:pt>
                <c:pt idx="69">
                  <c:v>3.1764515826505431</c:v>
                </c:pt>
                <c:pt idx="70">
                  <c:v>72.661033783606626</c:v>
                </c:pt>
                <c:pt idx="71">
                  <c:v>-12.385449391832481</c:v>
                </c:pt>
                <c:pt idx="72">
                  <c:v>23.308619152135634</c:v>
                </c:pt>
                <c:pt idx="73">
                  <c:v>146.02795583427087</c:v>
                </c:pt>
                <c:pt idx="74">
                  <c:v>-43.929005221174066</c:v>
                </c:pt>
                <c:pt idx="75">
                  <c:v>-2.2494650803264449</c:v>
                </c:pt>
                <c:pt idx="76">
                  <c:v>130.39441714298482</c:v>
                </c:pt>
                <c:pt idx="77">
                  <c:v>-89.6537671545384</c:v>
                </c:pt>
                <c:pt idx="78">
                  <c:v>67.966065347319727</c:v>
                </c:pt>
                <c:pt idx="79">
                  <c:v>-7.3687343352776224</c:v>
                </c:pt>
                <c:pt idx="80">
                  <c:v>166.73726421439733</c:v>
                </c:pt>
                <c:pt idx="81">
                  <c:v>-120.30157990538009</c:v>
                </c:pt>
                <c:pt idx="82">
                  <c:v>-79.051090338974518</c:v>
                </c:pt>
                <c:pt idx="83">
                  <c:v>122.94365619380869</c:v>
                </c:pt>
                <c:pt idx="84">
                  <c:v>-224.84069746603654</c:v>
                </c:pt>
                <c:pt idx="85">
                  <c:v>-1.9047713488016598</c:v>
                </c:pt>
              </c:numCache>
            </c:numRef>
          </c:yVal>
          <c:smooth val="1"/>
        </c:ser>
        <c:axId val="86455424"/>
        <c:axId val="86456960"/>
      </c:scatterChart>
      <c:valAx>
        <c:axId val="86455424"/>
        <c:scaling>
          <c:orientation val="minMax"/>
        </c:scaling>
        <c:axPos val="b"/>
        <c:numFmt formatCode="General" sourceLinked="1"/>
        <c:tickLblPos val="nextTo"/>
        <c:crossAx val="86456960"/>
        <c:crosses val="autoZero"/>
        <c:crossBetween val="midCat"/>
      </c:valAx>
      <c:valAx>
        <c:axId val="86456960"/>
        <c:scaling>
          <c:orientation val="minMax"/>
        </c:scaling>
        <c:axPos val="l"/>
        <c:majorGridlines/>
        <c:numFmt formatCode="General" sourceLinked="1"/>
        <c:tickLblPos val="nextTo"/>
        <c:crossAx val="86455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К20</c:v>
          </c:tx>
          <c:xVal>
            <c:numRef>
              <c:f>'200'!$V$5:$V$57</c:f>
              <c:numCache>
                <c:formatCode>General</c:formatCode>
                <c:ptCount val="53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</c:numCache>
            </c:numRef>
          </c:xVal>
          <c:yVal>
            <c:numRef>
              <c:f>'200'!$AB$5:$AB$57</c:f>
              <c:numCache>
                <c:formatCode>0.00</c:formatCode>
                <c:ptCount val="53"/>
                <c:pt idx="0">
                  <c:v>-5.9621337401487944</c:v>
                </c:pt>
                <c:pt idx="1">
                  <c:v>-1.0575231365747833</c:v>
                </c:pt>
                <c:pt idx="2">
                  <c:v>2.0843656929882024</c:v>
                </c:pt>
                <c:pt idx="3">
                  <c:v>4.40708236897306</c:v>
                </c:pt>
                <c:pt idx="4">
                  <c:v>6.2544646058029425</c:v>
                </c:pt>
                <c:pt idx="5">
                  <c:v>7.7909866015891476</c:v>
                </c:pt>
                <c:pt idx="6">
                  <c:v>9.1082178288248166</c:v>
                </c:pt>
                <c:pt idx="7">
                  <c:v>10.262414015669565</c:v>
                </c:pt>
                <c:pt idx="8">
                  <c:v>11.29062409892132</c:v>
                </c:pt>
                <c:pt idx="9">
                  <c:v>12.218546978610512</c:v>
                </c:pt>
                <c:pt idx="10">
                  <c:v>13.064741072618281</c:v>
                </c:pt>
                <c:pt idx="11">
                  <c:v>13.843046842961202</c:v>
                </c:pt>
                <c:pt idx="12">
                  <c:v>14.564061818028673</c:v>
                </c:pt>
                <c:pt idx="13">
                  <c:v>15.236080732909278</c:v>
                </c:pt>
                <c:pt idx="14">
                  <c:v>15.865717884797149</c:v>
                </c:pt>
                <c:pt idx="15">
                  <c:v>16.458332481584065</c:v>
                </c:pt>
                <c:pt idx="16">
                  <c:v>17.018327383557896</c:v>
                </c:pt>
                <c:pt idx="17">
                  <c:v>17.549363930594911</c:v>
                </c:pt>
                <c:pt idx="18">
                  <c:v>18.054519641816903</c:v>
                </c:pt>
                <c:pt idx="19">
                  <c:v>18.536406100621623</c:v>
                </c:pt>
                <c:pt idx="20">
                  <c:v>18.997258509932145</c:v>
                </c:pt>
                <c:pt idx="21">
                  <c:v>19.439004714119051</c:v>
                </c:pt>
                <c:pt idx="22">
                  <c:v>19.863319090235784</c:v>
                </c:pt>
                <c:pt idx="23">
                  <c:v>20.271665122207885</c:v>
                </c:pt>
                <c:pt idx="24">
                  <c:v>20.665329395262717</c:v>
                </c:pt>
                <c:pt idx="25">
                  <c:v>21.045449005303841</c:v>
                </c:pt>
                <c:pt idx="26">
                  <c:v>21.413033857017467</c:v>
                </c:pt>
                <c:pt idx="27">
                  <c:v>21.768984953477112</c:v>
                </c:pt>
                <c:pt idx="28">
                  <c:v>22.114109512042756</c:v>
                </c:pt>
                <c:pt idx="29">
                  <c:v>22.449133545309376</c:v>
                </c:pt>
                <c:pt idx="30">
                  <c:v>22.774712400729598</c:v>
                </c:pt>
                <c:pt idx="31">
                  <c:v>23.091439643908643</c:v>
                </c:pt>
                <c:pt idx="32">
                  <c:v>23.399854588431868</c:v>
                </c:pt>
                <c:pt idx="33">
                  <c:v>23.700448712383437</c:v>
                </c:pt>
                <c:pt idx="34">
                  <c:v>23.993671153423517</c:v>
                </c:pt>
                <c:pt idx="35">
                  <c:v>24.279933436788706</c:v>
                </c:pt>
                <c:pt idx="36">
                  <c:v>24.559613561227987</c:v>
                </c:pt>
                <c:pt idx="37">
                  <c:v>24.83305954474471</c:v>
                </c:pt>
                <c:pt idx="38">
                  <c:v>25.100592513643107</c:v>
                </c:pt>
                <c:pt idx="39">
                  <c:v>25.362509403697725</c:v>
                </c:pt>
                <c:pt idx="40">
                  <c:v>25.619085330461544</c:v>
                </c:pt>
                <c:pt idx="41">
                  <c:v>25.870575676184107</c:v>
                </c:pt>
                <c:pt idx="42">
                  <c:v>26.117217933049826</c:v>
                </c:pt>
                <c:pt idx="43">
                  <c:v>26.359233336102928</c:v>
                </c:pt>
                <c:pt idx="44">
                  <c:v>26.596828314013685</c:v>
                </c:pt>
                <c:pt idx="45">
                  <c:v>26.830195781539356</c:v>
                </c:pt>
                <c:pt idx="46">
                  <c:v>27.059516293966709</c:v>
                </c:pt>
                <c:pt idx="47">
                  <c:v>27.284959080853199</c:v>
                </c:pt>
                <c:pt idx="48">
                  <c:v>27.506682973900968</c:v>
                </c:pt>
                <c:pt idx="49">
                  <c:v>27.724837241713335</c:v>
                </c:pt>
                <c:pt idx="50">
                  <c:v>27.93956234242733</c:v>
                </c:pt>
                <c:pt idx="51">
                  <c:v>28.150990603730865</c:v>
                </c:pt>
                <c:pt idx="52">
                  <c:v>28.35924683851281</c:v>
                </c:pt>
              </c:numCache>
            </c:numRef>
          </c:yVal>
          <c:smooth val="1"/>
        </c:ser>
        <c:ser>
          <c:idx val="1"/>
          <c:order val="1"/>
          <c:tx>
            <c:v>К100</c:v>
          </c:tx>
          <c:xVal>
            <c:numRef>
              <c:f>'200'!$BB$5:$BB$113</c:f>
              <c:numCache>
                <c:formatCode>General</c:formatCode>
                <c:ptCount val="109"/>
                <c:pt idx="0">
                  <c:v>20</c:v>
                </c:pt>
                <c:pt idx="1">
                  <c:v>20.75</c:v>
                </c:pt>
                <c:pt idx="2">
                  <c:v>21.5</c:v>
                </c:pt>
                <c:pt idx="3">
                  <c:v>22.25</c:v>
                </c:pt>
                <c:pt idx="4">
                  <c:v>23</c:v>
                </c:pt>
                <c:pt idx="5">
                  <c:v>23.75</c:v>
                </c:pt>
                <c:pt idx="6">
                  <c:v>24.5</c:v>
                </c:pt>
                <c:pt idx="7">
                  <c:v>25.25</c:v>
                </c:pt>
                <c:pt idx="8">
                  <c:v>26</c:v>
                </c:pt>
                <c:pt idx="9">
                  <c:v>26.75</c:v>
                </c:pt>
                <c:pt idx="10">
                  <c:v>27.5</c:v>
                </c:pt>
                <c:pt idx="11">
                  <c:v>28.25</c:v>
                </c:pt>
                <c:pt idx="12">
                  <c:v>29</c:v>
                </c:pt>
                <c:pt idx="13">
                  <c:v>29.75</c:v>
                </c:pt>
                <c:pt idx="14">
                  <c:v>30.5</c:v>
                </c:pt>
                <c:pt idx="15">
                  <c:v>31.25</c:v>
                </c:pt>
                <c:pt idx="16">
                  <c:v>32</c:v>
                </c:pt>
                <c:pt idx="17">
                  <c:v>32.75</c:v>
                </c:pt>
                <c:pt idx="18">
                  <c:v>33.5</c:v>
                </c:pt>
                <c:pt idx="19">
                  <c:v>34.25</c:v>
                </c:pt>
                <c:pt idx="20">
                  <c:v>35</c:v>
                </c:pt>
                <c:pt idx="21">
                  <c:v>35.75</c:v>
                </c:pt>
                <c:pt idx="22">
                  <c:v>36.5</c:v>
                </c:pt>
                <c:pt idx="23">
                  <c:v>37.25</c:v>
                </c:pt>
                <c:pt idx="24">
                  <c:v>38</c:v>
                </c:pt>
                <c:pt idx="25">
                  <c:v>38.75</c:v>
                </c:pt>
                <c:pt idx="26">
                  <c:v>39.5</c:v>
                </c:pt>
                <c:pt idx="27">
                  <c:v>40.25</c:v>
                </c:pt>
                <c:pt idx="28">
                  <c:v>41</c:v>
                </c:pt>
                <c:pt idx="29">
                  <c:v>41.75</c:v>
                </c:pt>
                <c:pt idx="30">
                  <c:v>42.5</c:v>
                </c:pt>
                <c:pt idx="31">
                  <c:v>43.25</c:v>
                </c:pt>
                <c:pt idx="32">
                  <c:v>44</c:v>
                </c:pt>
                <c:pt idx="33">
                  <c:v>44.75</c:v>
                </c:pt>
                <c:pt idx="34">
                  <c:v>45.5</c:v>
                </c:pt>
                <c:pt idx="35">
                  <c:v>46.25</c:v>
                </c:pt>
                <c:pt idx="36">
                  <c:v>47</c:v>
                </c:pt>
                <c:pt idx="37">
                  <c:v>47.75</c:v>
                </c:pt>
                <c:pt idx="38">
                  <c:v>48.5</c:v>
                </c:pt>
                <c:pt idx="39">
                  <c:v>49.25</c:v>
                </c:pt>
                <c:pt idx="40">
                  <c:v>50</c:v>
                </c:pt>
                <c:pt idx="41">
                  <c:v>50.75</c:v>
                </c:pt>
                <c:pt idx="42">
                  <c:v>51.5</c:v>
                </c:pt>
                <c:pt idx="43">
                  <c:v>52.25</c:v>
                </c:pt>
                <c:pt idx="44">
                  <c:v>53</c:v>
                </c:pt>
                <c:pt idx="45">
                  <c:v>53.75</c:v>
                </c:pt>
                <c:pt idx="46">
                  <c:v>54.5</c:v>
                </c:pt>
                <c:pt idx="47">
                  <c:v>55.25</c:v>
                </c:pt>
                <c:pt idx="48">
                  <c:v>56</c:v>
                </c:pt>
                <c:pt idx="49">
                  <c:v>56.75</c:v>
                </c:pt>
                <c:pt idx="50">
                  <c:v>57.5</c:v>
                </c:pt>
                <c:pt idx="51">
                  <c:v>58.25</c:v>
                </c:pt>
                <c:pt idx="52">
                  <c:v>59</c:v>
                </c:pt>
                <c:pt idx="53">
                  <c:v>59.75</c:v>
                </c:pt>
                <c:pt idx="54">
                  <c:v>60.5</c:v>
                </c:pt>
                <c:pt idx="55">
                  <c:v>61.25</c:v>
                </c:pt>
                <c:pt idx="56">
                  <c:v>62</c:v>
                </c:pt>
                <c:pt idx="57">
                  <c:v>62.75</c:v>
                </c:pt>
                <c:pt idx="58">
                  <c:v>63.5</c:v>
                </c:pt>
                <c:pt idx="59">
                  <c:v>64.25</c:v>
                </c:pt>
                <c:pt idx="60">
                  <c:v>65</c:v>
                </c:pt>
                <c:pt idx="61">
                  <c:v>65.75</c:v>
                </c:pt>
                <c:pt idx="62">
                  <c:v>66.5</c:v>
                </c:pt>
                <c:pt idx="63">
                  <c:v>67.25</c:v>
                </c:pt>
                <c:pt idx="64">
                  <c:v>68</c:v>
                </c:pt>
                <c:pt idx="65">
                  <c:v>68.75</c:v>
                </c:pt>
                <c:pt idx="66">
                  <c:v>69.5</c:v>
                </c:pt>
                <c:pt idx="67">
                  <c:v>70.25</c:v>
                </c:pt>
                <c:pt idx="68">
                  <c:v>71</c:v>
                </c:pt>
                <c:pt idx="69">
                  <c:v>71.75</c:v>
                </c:pt>
                <c:pt idx="70">
                  <c:v>72.5</c:v>
                </c:pt>
                <c:pt idx="71">
                  <c:v>73.25</c:v>
                </c:pt>
                <c:pt idx="72">
                  <c:v>74</c:v>
                </c:pt>
                <c:pt idx="73">
                  <c:v>74.75</c:v>
                </c:pt>
                <c:pt idx="74">
                  <c:v>75.5</c:v>
                </c:pt>
                <c:pt idx="75">
                  <c:v>76.25</c:v>
                </c:pt>
                <c:pt idx="76">
                  <c:v>77</c:v>
                </c:pt>
                <c:pt idx="77">
                  <c:v>77.75</c:v>
                </c:pt>
                <c:pt idx="78">
                  <c:v>78.5</c:v>
                </c:pt>
                <c:pt idx="79">
                  <c:v>79.25</c:v>
                </c:pt>
                <c:pt idx="80">
                  <c:v>80</c:v>
                </c:pt>
                <c:pt idx="81">
                  <c:v>80.75</c:v>
                </c:pt>
                <c:pt idx="82">
                  <c:v>81.5</c:v>
                </c:pt>
                <c:pt idx="83">
                  <c:v>82.25</c:v>
                </c:pt>
                <c:pt idx="84">
                  <c:v>83</c:v>
                </c:pt>
                <c:pt idx="85">
                  <c:v>83.75</c:v>
                </c:pt>
                <c:pt idx="86">
                  <c:v>84.5</c:v>
                </c:pt>
                <c:pt idx="87">
                  <c:v>85.25</c:v>
                </c:pt>
                <c:pt idx="88">
                  <c:v>86</c:v>
                </c:pt>
                <c:pt idx="89">
                  <c:v>86.75</c:v>
                </c:pt>
                <c:pt idx="90">
                  <c:v>87.5</c:v>
                </c:pt>
                <c:pt idx="91">
                  <c:v>88.25</c:v>
                </c:pt>
                <c:pt idx="92">
                  <c:v>89</c:v>
                </c:pt>
                <c:pt idx="93">
                  <c:v>89.75</c:v>
                </c:pt>
                <c:pt idx="94">
                  <c:v>90.5</c:v>
                </c:pt>
                <c:pt idx="95">
                  <c:v>91.25</c:v>
                </c:pt>
                <c:pt idx="96">
                  <c:v>92</c:v>
                </c:pt>
                <c:pt idx="97">
                  <c:v>92.75</c:v>
                </c:pt>
                <c:pt idx="98">
                  <c:v>93.5</c:v>
                </c:pt>
                <c:pt idx="99">
                  <c:v>94.25</c:v>
                </c:pt>
                <c:pt idx="100">
                  <c:v>95</c:v>
                </c:pt>
                <c:pt idx="101">
                  <c:v>95.75</c:v>
                </c:pt>
                <c:pt idx="102">
                  <c:v>96.5</c:v>
                </c:pt>
                <c:pt idx="103">
                  <c:v>97.25</c:v>
                </c:pt>
                <c:pt idx="104">
                  <c:v>98</c:v>
                </c:pt>
                <c:pt idx="105">
                  <c:v>98.75</c:v>
                </c:pt>
                <c:pt idx="106">
                  <c:v>99.5</c:v>
                </c:pt>
                <c:pt idx="107">
                  <c:v>100.25</c:v>
                </c:pt>
                <c:pt idx="108">
                  <c:v>101</c:v>
                </c:pt>
              </c:numCache>
            </c:numRef>
          </c:xVal>
          <c:yVal>
            <c:numRef>
              <c:f>'200'!$BG$5:$BG$113</c:f>
              <c:numCache>
                <c:formatCode>General</c:formatCode>
                <c:ptCount val="109"/>
                <c:pt idx="0">
                  <c:v>28.35924683851281</c:v>
                </c:pt>
                <c:pt idx="1">
                  <c:v>28.766708205891657</c:v>
                </c:pt>
                <c:pt idx="2">
                  <c:v>29.162814642937782</c:v>
                </c:pt>
                <c:pt idx="3">
                  <c:v>29.548345010660924</c:v>
                </c:pt>
                <c:pt idx="4">
                  <c:v>29.924000684370018</c:v>
                </c:pt>
                <c:pt idx="5">
                  <c:v>30.29041550293211</c:v>
                </c:pt>
                <c:pt idx="6">
                  <c:v>30.648164170701296</c:v>
                </c:pt>
                <c:pt idx="7">
                  <c:v>30.9977693922005</c:v>
                </c:pt>
                <c:pt idx="8">
                  <c:v>31.339707962219499</c:v>
                </c:pt>
                <c:pt idx="9">
                  <c:v>31.674415989644327</c:v>
                </c:pt>
                <c:pt idx="10">
                  <c:v>32.00229339880088</c:v>
                </c:pt>
                <c:pt idx="11">
                  <c:v>32.323707825001023</c:v>
                </c:pt>
                <c:pt idx="12">
                  <c:v>32.638997999567238</c:v>
                </c:pt>
                <c:pt idx="13">
                  <c:v>32.948476702575725</c:v>
                </c:pt>
                <c:pt idx="14">
                  <c:v>33.252433347916323</c:v>
                </c:pt>
                <c:pt idx="15">
                  <c:v>33.551136254278724</c:v>
                </c:pt>
                <c:pt idx="16">
                  <c:v>33.844834646771211</c:v>
                </c:pt>
                <c:pt idx="17">
                  <c:v>34.133760426625379</c:v>
                </c:pt>
                <c:pt idx="18">
                  <c:v>34.418129740502486</c:v>
                </c:pt>
                <c:pt idx="19">
                  <c:v>34.698144376030712</c:v>
                </c:pt>
                <c:pt idx="20">
                  <c:v>34.973993006163582</c:v>
                </c:pt>
                <c:pt idx="21">
                  <c:v>35.245852301596301</c:v>
                </c:pt>
                <c:pt idx="22">
                  <c:v>35.513887927680052</c:v>
                </c:pt>
                <c:pt idx="23">
                  <c:v>35.778255439933034</c:v>
                </c:pt>
                <c:pt idx="24">
                  <c:v>36.039101090279246</c:v>
                </c:pt>
                <c:pt idx="25">
                  <c:v>36.296562554485874</c:v>
                </c:pt>
                <c:pt idx="26">
                  <c:v>36.550769589864743</c:v>
                </c:pt>
                <c:pt idx="27">
                  <c:v>36.801844631109525</c:v>
                </c:pt>
                <c:pt idx="28">
                  <c:v>37.049903331122735</c:v>
                </c:pt>
                <c:pt idx="29">
                  <c:v>37.295055052816686</c:v>
                </c:pt>
                <c:pt idx="30">
                  <c:v>37.537403317126746</c:v>
                </c:pt>
                <c:pt idx="31">
                  <c:v>37.777046211833415</c:v>
                </c:pt>
                <c:pt idx="32">
                  <c:v>38.014076765236751</c:v>
                </c:pt>
                <c:pt idx="33">
                  <c:v>38.248583288247858</c:v>
                </c:pt>
                <c:pt idx="34">
                  <c:v>38.480649688047734</c:v>
                </c:pt>
                <c:pt idx="35">
                  <c:v>38.710355756102764</c:v>
                </c:pt>
                <c:pt idx="36">
                  <c:v>38.937777433012329</c:v>
                </c:pt>
                <c:pt idx="37">
                  <c:v>39.162987052389532</c:v>
                </c:pt>
                <c:pt idx="38">
                  <c:v>39.386053565735743</c:v>
                </c:pt>
                <c:pt idx="39">
                  <c:v>39.607042750059328</c:v>
                </c:pt>
                <c:pt idx="40">
                  <c:v>39.826017399803334</c:v>
                </c:pt>
                <c:pt idx="41">
                  <c:v>40.043037504484211</c:v>
                </c:pt>
                <c:pt idx="42">
                  <c:v>40.258160413299265</c:v>
                </c:pt>
                <c:pt idx="43">
                  <c:v>40.471440987833525</c:v>
                </c:pt>
                <c:pt idx="44">
                  <c:v>40.682931743883714</c:v>
                </c:pt>
                <c:pt idx="45">
                  <c:v>40.892682983317037</c:v>
                </c:pt>
                <c:pt idx="46">
                  <c:v>41.100742916793273</c:v>
                </c:pt>
                <c:pt idx="47">
                  <c:v>41.307157778099629</c:v>
                </c:pt>
                <c:pt idx="48">
                  <c:v>41.511971930776916</c:v>
                </c:pt>
                <c:pt idx="49">
                  <c:v>41.715227967652368</c:v>
                </c:pt>
                <c:pt idx="50">
                  <c:v>41.916966803838015</c:v>
                </c:pt>
                <c:pt idx="51">
                  <c:v>42.117227763702779</c:v>
                </c:pt>
                <c:pt idx="52">
                  <c:v>42.316048662280778</c:v>
                </c:pt>
                <c:pt idx="53">
                  <c:v>42.513465881537641</c:v>
                </c:pt>
                <c:pt idx="54">
                  <c:v>42.709514441879755</c:v>
                </c:pt>
                <c:pt idx="55">
                  <c:v>42.904228069258025</c:v>
                </c:pt>
                <c:pt idx="56">
                  <c:v>43.097639258187947</c:v>
                </c:pt>
                <c:pt idx="57">
                  <c:v>43.289779330980622</c:v>
                </c:pt>
                <c:pt idx="58">
                  <c:v>43.480678493454867</c:v>
                </c:pt>
                <c:pt idx="59">
                  <c:v>43.670365887378239</c:v>
                </c:pt>
                <c:pt idx="60">
                  <c:v>43.858869639864949</c:v>
                </c:pt>
                <c:pt idx="61">
                  <c:v>44.04621690994</c:v>
                </c:pt>
                <c:pt idx="62">
                  <c:v>44.232433932462428</c:v>
                </c:pt>
                <c:pt idx="63">
                  <c:v>44.41754605958549</c:v>
                </c:pt>
                <c:pt idx="64">
                  <c:v>44.60157779991755</c:v>
                </c:pt>
                <c:pt idx="65">
                  <c:v>44.784552855535075</c:v>
                </c:pt>
                <c:pt idx="66">
                  <c:v>44.966494156987594</c:v>
                </c:pt>
                <c:pt idx="67">
                  <c:v>45.147423896423909</c:v>
                </c:pt>
                <c:pt idx="68">
                  <c:v>45.327363558959306</c:v>
                </c:pt>
                <c:pt idx="69">
                  <c:v>45.506333952394641</c:v>
                </c:pt>
                <c:pt idx="70">
                  <c:v>45.684355235390164</c:v>
                </c:pt>
                <c:pt idx="71">
                  <c:v>45.861446944189474</c:v>
                </c:pt>
                <c:pt idx="72">
                  <c:v>46.0376280179823</c:v>
                </c:pt>
                <c:pt idx="73">
                  <c:v>46.212916822988362</c:v>
                </c:pt>
                <c:pt idx="74">
                  <c:v>46.387331175339028</c:v>
                </c:pt>
                <c:pt idx="75">
                  <c:v>46.560888362827981</c:v>
                </c:pt>
                <c:pt idx="76">
                  <c:v>46.733605165597396</c:v>
                </c:pt>
                <c:pt idx="77">
                  <c:v>46.905497875821503</c:v>
                </c:pt>
                <c:pt idx="78">
                  <c:v>47.076582316445297</c:v>
                </c:pt>
                <c:pt idx="79">
                  <c:v>47.24687385903227</c:v>
                </c:pt>
                <c:pt idx="80">
                  <c:v>47.416387440771601</c:v>
                </c:pt>
                <c:pt idx="81">
                  <c:v>47.585137580691786</c:v>
                </c:pt>
                <c:pt idx="82">
                  <c:v>47.753138395124751</c:v>
                </c:pt>
                <c:pt idx="83">
                  <c:v>47.920403612461705</c:v>
                </c:pt>
                <c:pt idx="84">
                  <c:v>48.08694658723919</c:v>
                </c:pt>
                <c:pt idx="85">
                  <c:v>48.252780313591607</c:v>
                </c:pt>
                <c:pt idx="86">
                  <c:v>48.417917438104041</c:v>
                </c:pt>
                <c:pt idx="87">
                  <c:v>48.582370272097151</c:v>
                </c:pt>
                <c:pt idx="88">
                  <c:v>48.746150803374036</c:v>
                </c:pt>
                <c:pt idx="89">
                  <c:v>48.909270707457154</c:v>
                </c:pt>
                <c:pt idx="90">
                  <c:v>49.071741358341441</c:v>
                </c:pt>
                <c:pt idx="91">
                  <c:v>49.233573838788622</c:v>
                </c:pt>
                <c:pt idx="92">
                  <c:v>49.394778950185923</c:v>
                </c:pt>
                <c:pt idx="93">
                  <c:v>49.555367221991048</c:v>
                </c:pt>
                <c:pt idx="94">
                  <c:v>49.715348920784223</c:v>
                </c:pt>
                <c:pt idx="95">
                  <c:v>49.874734058946643</c:v>
                </c:pt>
                <c:pt idx="96">
                  <c:v>50.033532402983745</c:v>
                </c:pt>
                <c:pt idx="97">
                  <c:v>50.191753481510553</c:v>
                </c:pt>
                <c:pt idx="98">
                  <c:v>50.349406592915486</c:v>
                </c:pt>
                <c:pt idx="99">
                  <c:v>50.506500812717981</c:v>
                </c:pt>
                <c:pt idx="100">
                  <c:v>50.663045000634582</c:v>
                </c:pt>
                <c:pt idx="101">
                  <c:v>50.81904780736707</c:v>
                </c:pt>
                <c:pt idx="102">
                  <c:v>50.97451768112596</c:v>
                </c:pt>
                <c:pt idx="103">
                  <c:v>51.129462873901261</c:v>
                </c:pt>
                <c:pt idx="104">
                  <c:v>51.283891447492493</c:v>
                </c:pt>
                <c:pt idx="105">
                  <c:v>51.437811279308796</c:v>
                </c:pt>
                <c:pt idx="106">
                  <c:v>51.591230067949596</c:v>
                </c:pt>
                <c:pt idx="107">
                  <c:v>51.74415533857573</c:v>
                </c:pt>
                <c:pt idx="108">
                  <c:v>51.896594448080428</c:v>
                </c:pt>
              </c:numCache>
            </c:numRef>
          </c:yVal>
          <c:smooth val="1"/>
        </c:ser>
        <c:ser>
          <c:idx val="2"/>
          <c:order val="2"/>
          <c:tx>
            <c:v>К200</c:v>
          </c:tx>
          <c:xVal>
            <c:numRef>
              <c:f>'200'!$BL$5:$BL$72</c:f>
              <c:numCache>
                <c:formatCode>General</c:formatCode>
                <c:ptCount val="68"/>
                <c:pt idx="0">
                  <c:v>100</c:v>
                </c:pt>
                <c:pt idx="1">
                  <c:v>101.5</c:v>
                </c:pt>
                <c:pt idx="2">
                  <c:v>103</c:v>
                </c:pt>
                <c:pt idx="3">
                  <c:v>104.5</c:v>
                </c:pt>
                <c:pt idx="4">
                  <c:v>106</c:v>
                </c:pt>
                <c:pt idx="5">
                  <c:v>107.5</c:v>
                </c:pt>
                <c:pt idx="6">
                  <c:v>109</c:v>
                </c:pt>
                <c:pt idx="7">
                  <c:v>110.5</c:v>
                </c:pt>
                <c:pt idx="8">
                  <c:v>112</c:v>
                </c:pt>
                <c:pt idx="9">
                  <c:v>113.5</c:v>
                </c:pt>
                <c:pt idx="10">
                  <c:v>115</c:v>
                </c:pt>
                <c:pt idx="11">
                  <c:v>116.5</c:v>
                </c:pt>
                <c:pt idx="12">
                  <c:v>118</c:v>
                </c:pt>
                <c:pt idx="13">
                  <c:v>119.5</c:v>
                </c:pt>
                <c:pt idx="14">
                  <c:v>121</c:v>
                </c:pt>
                <c:pt idx="15">
                  <c:v>122.5</c:v>
                </c:pt>
                <c:pt idx="16">
                  <c:v>124</c:v>
                </c:pt>
                <c:pt idx="17">
                  <c:v>125.5</c:v>
                </c:pt>
                <c:pt idx="18">
                  <c:v>127</c:v>
                </c:pt>
                <c:pt idx="19">
                  <c:v>128.5</c:v>
                </c:pt>
                <c:pt idx="20">
                  <c:v>130</c:v>
                </c:pt>
                <c:pt idx="21">
                  <c:v>131.5</c:v>
                </c:pt>
                <c:pt idx="22">
                  <c:v>133</c:v>
                </c:pt>
                <c:pt idx="23">
                  <c:v>134.5</c:v>
                </c:pt>
                <c:pt idx="24">
                  <c:v>136</c:v>
                </c:pt>
                <c:pt idx="25">
                  <c:v>137.5</c:v>
                </c:pt>
                <c:pt idx="26">
                  <c:v>139</c:v>
                </c:pt>
                <c:pt idx="27">
                  <c:v>140.5</c:v>
                </c:pt>
                <c:pt idx="28">
                  <c:v>142</c:v>
                </c:pt>
                <c:pt idx="29">
                  <c:v>143.5</c:v>
                </c:pt>
                <c:pt idx="30">
                  <c:v>145</c:v>
                </c:pt>
                <c:pt idx="31">
                  <c:v>146.5</c:v>
                </c:pt>
                <c:pt idx="32">
                  <c:v>148</c:v>
                </c:pt>
                <c:pt idx="33">
                  <c:v>149.5</c:v>
                </c:pt>
                <c:pt idx="34">
                  <c:v>151</c:v>
                </c:pt>
                <c:pt idx="35">
                  <c:v>152.5</c:v>
                </c:pt>
                <c:pt idx="36">
                  <c:v>154</c:v>
                </c:pt>
                <c:pt idx="37">
                  <c:v>155.5</c:v>
                </c:pt>
                <c:pt idx="38">
                  <c:v>157</c:v>
                </c:pt>
                <c:pt idx="39">
                  <c:v>158.5</c:v>
                </c:pt>
                <c:pt idx="40">
                  <c:v>160</c:v>
                </c:pt>
                <c:pt idx="41">
                  <c:v>161.5</c:v>
                </c:pt>
                <c:pt idx="42">
                  <c:v>163</c:v>
                </c:pt>
                <c:pt idx="43">
                  <c:v>164.5</c:v>
                </c:pt>
                <c:pt idx="44">
                  <c:v>166</c:v>
                </c:pt>
                <c:pt idx="45">
                  <c:v>167.5</c:v>
                </c:pt>
                <c:pt idx="46">
                  <c:v>169</c:v>
                </c:pt>
                <c:pt idx="47">
                  <c:v>170.5</c:v>
                </c:pt>
                <c:pt idx="48">
                  <c:v>172</c:v>
                </c:pt>
                <c:pt idx="49">
                  <c:v>173.5</c:v>
                </c:pt>
                <c:pt idx="50">
                  <c:v>175</c:v>
                </c:pt>
                <c:pt idx="51">
                  <c:v>176.5</c:v>
                </c:pt>
                <c:pt idx="52">
                  <c:v>178</c:v>
                </c:pt>
                <c:pt idx="53">
                  <c:v>179.5</c:v>
                </c:pt>
                <c:pt idx="54">
                  <c:v>181</c:v>
                </c:pt>
                <c:pt idx="55">
                  <c:v>182.5</c:v>
                </c:pt>
                <c:pt idx="56">
                  <c:v>184</c:v>
                </c:pt>
                <c:pt idx="57">
                  <c:v>185.5</c:v>
                </c:pt>
                <c:pt idx="58">
                  <c:v>187</c:v>
                </c:pt>
                <c:pt idx="59">
                  <c:v>188.5</c:v>
                </c:pt>
                <c:pt idx="60">
                  <c:v>190</c:v>
                </c:pt>
                <c:pt idx="61">
                  <c:v>191.5</c:v>
                </c:pt>
                <c:pt idx="62">
                  <c:v>193</c:v>
                </c:pt>
                <c:pt idx="63">
                  <c:v>194.5</c:v>
                </c:pt>
                <c:pt idx="64">
                  <c:v>196</c:v>
                </c:pt>
                <c:pt idx="65">
                  <c:v>197.5</c:v>
                </c:pt>
                <c:pt idx="66">
                  <c:v>199</c:v>
                </c:pt>
                <c:pt idx="67">
                  <c:v>200.5</c:v>
                </c:pt>
              </c:numCache>
            </c:numRef>
          </c:xVal>
          <c:yVal>
            <c:numRef>
              <c:f>'200'!$BQ$5:$BQ$72</c:f>
              <c:numCache>
                <c:formatCode>General</c:formatCode>
                <c:ptCount val="68"/>
                <c:pt idx="0">
                  <c:v>51.693234626165918</c:v>
                </c:pt>
                <c:pt idx="1">
                  <c:v>51.997953990543039</c:v>
                </c:pt>
                <c:pt idx="2">
                  <c:v>52.300776159054337</c:v>
                </c:pt>
                <c:pt idx="3">
                  <c:v>52.60175599328484</c:v>
                </c:pt>
                <c:pt idx="4">
                  <c:v>52.900946009031273</c:v>
                </c:pt>
                <c:pt idx="5">
                  <c:v>53.19839650816084</c:v>
                </c:pt>
                <c:pt idx="6">
                  <c:v>53.494155701333327</c:v>
                </c:pt>
                <c:pt idx="7">
                  <c:v>53.788269822335927</c:v>
                </c:pt>
                <c:pt idx="8">
                  <c:v>54.080783234709457</c:v>
                </c:pt>
                <c:pt idx="9">
                  <c:v>54.371738531281146</c:v>
                </c:pt>
                <c:pt idx="10">
                  <c:v>54.661176627163037</c:v>
                </c:pt>
                <c:pt idx="11">
                  <c:v>54.949136846724045</c:v>
                </c:pt>
                <c:pt idx="12">
                  <c:v>55.235657004998288</c:v>
                </c:pt>
                <c:pt idx="13">
                  <c:v>55.520773483951388</c:v>
                </c:pt>
                <c:pt idx="14">
                  <c:v>55.804521303989766</c:v>
                </c:pt>
                <c:pt idx="15">
                  <c:v>56.086934191064273</c:v>
                </c:pt>
                <c:pt idx="16">
                  <c:v>56.368044639690439</c:v>
                </c:pt>
                <c:pt idx="17">
                  <c:v>56.647883972179365</c:v>
                </c:pt>
                <c:pt idx="18">
                  <c:v>56.926482394349847</c:v>
                </c:pt>
                <c:pt idx="19">
                  <c:v>57.203869047969462</c:v>
                </c:pt>
                <c:pt idx="20">
                  <c:v>57.48007206015243</c:v>
                </c:pt>
                <c:pt idx="21">
                  <c:v>57.755118589923718</c:v>
                </c:pt>
                <c:pt idx="22">
                  <c:v>58.029034872142383</c:v>
                </c:pt>
                <c:pt idx="23">
                  <c:v>58.301846258961689</c:v>
                </c:pt>
                <c:pt idx="24">
                  <c:v>58.573577258989999</c:v>
                </c:pt>
                <c:pt idx="25">
                  <c:v>58.844251574303769</c:v>
                </c:pt>
                <c:pt idx="26">
                  <c:v>59.113892135452524</c:v>
                </c:pt>
                <c:pt idx="27">
                  <c:v>59.382521134585083</c:v>
                </c:pt>
                <c:pt idx="28">
                  <c:v>59.650160056816716</c:v>
                </c:pt>
                <c:pt idx="29">
                  <c:v>59.91682970994831</c:v>
                </c:pt>
                <c:pt idx="30">
                  <c:v>60.18255025264007</c:v>
                </c:pt>
                <c:pt idx="31">
                  <c:v>60.44734122113563</c:v>
                </c:pt>
                <c:pt idx="32">
                  <c:v>60.7112215546247</c:v>
                </c:pt>
                <c:pt idx="33">
                  <c:v>60.974209619327013</c:v>
                </c:pt>
                <c:pt idx="34">
                  <c:v>61.236323231373916</c:v>
                </c:pt>
                <c:pt idx="35">
                  <c:v>61.497579678559113</c:v>
                </c:pt>
                <c:pt idx="36">
                  <c:v>61.757995741024772</c:v>
                </c:pt>
                <c:pt idx="37">
                  <c:v>62.017587710945122</c:v>
                </c:pt>
                <c:pt idx="38">
                  <c:v>62.27637141126516</c:v>
                </c:pt>
                <c:pt idx="39">
                  <c:v>62.534362213548377</c:v>
                </c:pt>
                <c:pt idx="40">
                  <c:v>62.791575054983959</c:v>
                </c:pt>
                <c:pt idx="41">
                  <c:v>63.048024454600387</c:v>
                </c:pt>
                <c:pt idx="42">
                  <c:v>63.303724528729596</c:v>
                </c:pt>
                <c:pt idx="43">
                  <c:v>63.558689005762801</c:v>
                </c:pt>
                <c:pt idx="44">
                  <c:v>63.812931240236523</c:v>
                </c:pt>
                <c:pt idx="45">
                  <c:v>64.066464226285191</c:v>
                </c:pt>
                <c:pt idx="46">
                  <c:v>64.319300610493869</c:v>
                </c:pt>
                <c:pt idx="47">
                  <c:v>64.571452704183201</c:v>
                </c:pt>
                <c:pt idx="48">
                  <c:v>64.822932495156351</c:v>
                </c:pt>
                <c:pt idx="49">
                  <c:v>65.073751658935706</c:v>
                </c:pt>
                <c:pt idx="50">
                  <c:v>65.323921569516244</c:v>
                </c:pt>
                <c:pt idx="51">
                  <c:v>65.573453309659669</c:v>
                </c:pt>
                <c:pt idx="52">
                  <c:v>65.822357680753214</c:v>
                </c:pt>
                <c:pt idx="53">
                  <c:v>66.070645212254576</c:v>
                </c:pt>
                <c:pt idx="54">
                  <c:v>66.318326170744001</c:v>
                </c:pt>
                <c:pt idx="55">
                  <c:v>66.565410568602658</c:v>
                </c:pt>
                <c:pt idx="56">
                  <c:v>66.811908172336018</c:v>
                </c:pt>
                <c:pt idx="57">
                  <c:v>67.057828510559062</c:v>
                </c:pt>
                <c:pt idx="58">
                  <c:v>67.303180881660239</c:v>
                </c:pt>
                <c:pt idx="59">
                  <c:v>67.547974361158978</c:v>
                </c:pt>
                <c:pt idx="60">
                  <c:v>67.792217808771824</c:v>
                </c:pt>
                <c:pt idx="61">
                  <c:v>68.035919875200563</c:v>
                </c:pt>
                <c:pt idx="62">
                  <c:v>68.279089008655689</c:v>
                </c:pt>
                <c:pt idx="63">
                  <c:v>68.521733461127241</c:v>
                </c:pt>
                <c:pt idx="64">
                  <c:v>68.76386129441471</c:v>
                </c:pt>
                <c:pt idx="65">
                  <c:v>69.005480385927257</c:v>
                </c:pt>
                <c:pt idx="66">
                  <c:v>69.246598434264314</c:v>
                </c:pt>
                <c:pt idx="67">
                  <c:v>69.487222964586678</c:v>
                </c:pt>
              </c:numCache>
            </c:numRef>
          </c:yVal>
          <c:smooth val="1"/>
        </c:ser>
        <c:axId val="50604672"/>
        <c:axId val="50614656"/>
      </c:scatterChart>
      <c:valAx>
        <c:axId val="50604672"/>
        <c:scaling>
          <c:orientation val="minMax"/>
        </c:scaling>
        <c:axPos val="b"/>
        <c:numFmt formatCode="General" sourceLinked="1"/>
        <c:tickLblPos val="nextTo"/>
        <c:crossAx val="50614656"/>
        <c:crosses val="autoZero"/>
        <c:crossBetween val="midCat"/>
      </c:valAx>
      <c:valAx>
        <c:axId val="50614656"/>
        <c:scaling>
          <c:orientation val="minMax"/>
        </c:scaling>
        <c:axPos val="l"/>
        <c:majorGridlines/>
        <c:numFmt formatCode="0.00" sourceLinked="1"/>
        <c:tickLblPos val="nextTo"/>
        <c:crossAx val="5060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1</c:v>
          </c:tx>
          <c:marker>
            <c:symbol val="none"/>
          </c:marker>
          <c:xVal>
            <c:numRef>
              <c:f>'200'!$DA$5:$DA$34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'200'!$DB$5:$DB$34</c:f>
              <c:numCache>
                <c:formatCode>General</c:formatCode>
                <c:ptCount val="30"/>
                <c:pt idx="0">
                  <c:v>0.9</c:v>
                </c:pt>
                <c:pt idx="1">
                  <c:v>0.90400000000000003</c:v>
                </c:pt>
                <c:pt idx="2">
                  <c:v>0.90800000000000003</c:v>
                </c:pt>
                <c:pt idx="3">
                  <c:v>0.91200000000000003</c:v>
                </c:pt>
                <c:pt idx="4">
                  <c:v>0.91600000000000004</c:v>
                </c:pt>
                <c:pt idx="5">
                  <c:v>0.92</c:v>
                </c:pt>
                <c:pt idx="6">
                  <c:v>0.92200000000000004</c:v>
                </c:pt>
                <c:pt idx="7">
                  <c:v>0.92400000000000004</c:v>
                </c:pt>
                <c:pt idx="8">
                  <c:v>0.92600000000000005</c:v>
                </c:pt>
                <c:pt idx="9">
                  <c:v>0.92800000000000005</c:v>
                </c:pt>
                <c:pt idx="10">
                  <c:v>0.93</c:v>
                </c:pt>
                <c:pt idx="11">
                  <c:v>0.93700000000000006</c:v>
                </c:pt>
                <c:pt idx="12">
                  <c:v>0.94399999999999995</c:v>
                </c:pt>
                <c:pt idx="13">
                  <c:v>0.95099999999999996</c:v>
                </c:pt>
                <c:pt idx="14">
                  <c:v>0.95799999999999996</c:v>
                </c:pt>
                <c:pt idx="15">
                  <c:v>0.96</c:v>
                </c:pt>
                <c:pt idx="16">
                  <c:v>0.96199999999999997</c:v>
                </c:pt>
                <c:pt idx="17">
                  <c:v>0.96399999999999997</c:v>
                </c:pt>
                <c:pt idx="18">
                  <c:v>0.96599999999999997</c:v>
                </c:pt>
                <c:pt idx="19">
                  <c:v>0.96799999999999997</c:v>
                </c:pt>
                <c:pt idx="20">
                  <c:v>0.97</c:v>
                </c:pt>
                <c:pt idx="21">
                  <c:v>0.97599999999999998</c:v>
                </c:pt>
                <c:pt idx="22">
                  <c:v>0.98199999999999998</c:v>
                </c:pt>
                <c:pt idx="23">
                  <c:v>0.98799999999999999</c:v>
                </c:pt>
                <c:pt idx="24">
                  <c:v>0.99399999999999999</c:v>
                </c:pt>
                <c:pt idx="25">
                  <c:v>1</c:v>
                </c:pt>
                <c:pt idx="26">
                  <c:v>1.004</c:v>
                </c:pt>
                <c:pt idx="27">
                  <c:v>1.008</c:v>
                </c:pt>
                <c:pt idx="28">
                  <c:v>1.012</c:v>
                </c:pt>
                <c:pt idx="29">
                  <c:v>1.016</c:v>
                </c:pt>
              </c:numCache>
            </c:numRef>
          </c:yVal>
          <c:smooth val="1"/>
        </c:ser>
        <c:axId val="50630016"/>
        <c:axId val="50648192"/>
      </c:scatterChart>
      <c:valAx>
        <c:axId val="50630016"/>
        <c:scaling>
          <c:orientation val="minMax"/>
        </c:scaling>
        <c:axPos val="b"/>
        <c:numFmt formatCode="General" sourceLinked="1"/>
        <c:tickLblPos val="nextTo"/>
        <c:crossAx val="50648192"/>
        <c:crosses val="autoZero"/>
        <c:crossBetween val="midCat"/>
      </c:valAx>
      <c:valAx>
        <c:axId val="50648192"/>
        <c:scaling>
          <c:orientation val="minMax"/>
        </c:scaling>
        <c:axPos val="l"/>
        <c:majorGridlines/>
        <c:numFmt formatCode="General" sourceLinked="1"/>
        <c:tickLblPos val="nextTo"/>
        <c:crossAx val="5063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TVG</c:v>
          </c:tx>
          <c:xVal>
            <c:numRef>
              <c:f>'50'!$W$4:$W$88</c:f>
              <c:numCache>
                <c:formatCode>0.000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'50'!$X$4:$X$88</c:f>
              <c:numCache>
                <c:formatCode>0.0</c:formatCode>
                <c:ptCount val="85"/>
                <c:pt idx="0">
                  <c:v>-9.0197998699194351</c:v>
                </c:pt>
                <c:pt idx="1">
                  <c:v>-1.7203334093306026</c:v>
                </c:pt>
                <c:pt idx="2">
                  <c:v>2.9350503902416927</c:v>
                </c:pt>
                <c:pt idx="3">
                  <c:v>6.3616759594467958</c:v>
                </c:pt>
                <c:pt idx="4">
                  <c:v>9.0752998699194354</c:v>
                </c:pt>
                <c:pt idx="5">
                  <c:v>11.322633418826562</c:v>
                </c:pt>
                <c:pt idx="6">
                  <c:v>13.241030814907878</c:v>
                </c:pt>
                <c:pt idx="7">
                  <c:v>14.914875650402822</c:v>
                </c:pt>
                <c:pt idx="8">
                  <c:v>16.39974133050827</c:v>
                </c:pt>
                <c:pt idx="9">
                  <c:v>17.734176205269872</c:v>
                </c:pt>
                <c:pt idx="10">
                  <c:v>18.946017901509343</c:v>
                </c:pt>
                <c:pt idx="11">
                  <c:v>20.056027112251545</c:v>
                </c:pt>
                <c:pt idx="12">
                  <c:v>21.080100130080567</c:v>
                </c:pt>
                <c:pt idx="13">
                  <c:v>22.030679057629289</c:v>
                </c:pt>
                <c:pt idx="14">
                  <c:v>22.917685340688912</c:v>
                </c:pt>
                <c:pt idx="15">
                  <c:v>23.749157791097101</c:v>
                </c:pt>
                <c:pt idx="16">
                  <c:v>24.531700699285668</c:v>
                </c:pt>
                <c:pt idx="17">
                  <c:v>25.270806075069007</c:v>
                </c:pt>
                <c:pt idx="18">
                  <c:v>25.971090197129811</c:v>
                </c:pt>
                <c:pt idx="19">
                  <c:v>26.636470440564704</c:v>
                </c:pt>
                <c:pt idx="20">
                  <c:v>27.270299609758307</c:v>
                </c:pt>
                <c:pt idx="21">
                  <c:v>27.875469471266484</c:v>
                </c:pt>
                <c:pt idx="22">
                  <c:v>28.454491590669399</c:v>
                </c:pt>
                <c:pt idx="23">
                  <c:v>29.009561193855369</c:v>
                </c:pt>
                <c:pt idx="24">
                  <c:v>29.542608158665431</c:v>
                </c:pt>
                <c:pt idx="25">
                  <c:v>30.055338128954936</c:v>
                </c:pt>
                <c:pt idx="26">
                  <c:v>30.549265961753196</c:v>
                </c:pt>
                <c:pt idx="27">
                  <c:v>31.025743161670473</c:v>
                </c:pt>
                <c:pt idx="28">
                  <c:v>31.485980554746753</c:v>
                </c:pt>
                <c:pt idx="29">
                  <c:v>31.931067159874502</c:v>
                </c:pt>
                <c:pt idx="30">
                  <c:v>32.361985998232647</c:v>
                </c:pt>
                <c:pt idx="31">
                  <c:v>32.779627418229033</c:v>
                </c:pt>
                <c:pt idx="32">
                  <c:v>33.184800390241698</c:v>
                </c:pt>
                <c:pt idx="33">
                  <c:v>33.578242131396863</c:v>
                </c:pt>
                <c:pt idx="34">
                  <c:v>33.960626348184803</c:v>
                </c:pt>
                <c:pt idx="35">
                  <c:v>34.332570328460406</c:v>
                </c:pt>
                <c:pt idx="36">
                  <c:v>34.694641070347139</c:v>
                </c:pt>
                <c:pt idx="37">
                  <c:v>35.047360600850041</c:v>
                </c:pt>
                <c:pt idx="38">
                  <c:v>35.39121060942545</c:v>
                </c:pt>
                <c:pt idx="39">
                  <c:v>35.726636499735193</c:v>
                </c:pt>
                <c:pt idx="40">
                  <c:v>36.054050945108742</c:v>
                </c:pt>
                <c:pt idx="41">
                  <c:v>36.373837018920398</c:v>
                </c:pt>
                <c:pt idx="42">
                  <c:v>36.686350959446798</c:v>
                </c:pt>
                <c:pt idx="43">
                  <c:v>36.99192461925427</c:v>
                </c:pt>
                <c:pt idx="44">
                  <c:v>37.290867641348221</c:v>
                </c:pt>
                <c:pt idx="45">
                  <c:v>37.58346939786454</c:v>
                </c:pt>
                <c:pt idx="46">
                  <c:v>37.87000072173339</c:v>
                </c:pt>
                <c:pt idx="47">
                  <c:v>38.150715457290936</c:v>
                </c:pt>
                <c:pt idx="48">
                  <c:v>38.42585185209041</c:v>
                </c:pt>
                <c:pt idx="49">
                  <c:v>38.695633809036778</c:v>
                </c:pt>
                <c:pt idx="50">
                  <c:v>38.960272015335583</c:v>
                </c:pt>
                <c:pt idx="51">
                  <c:v>39.219964962518709</c:v>
                </c:pt>
                <c:pt idx="52">
                  <c:v>39.47489986991944</c:v>
                </c:pt>
                <c:pt idx="53">
                  <c:v>39.725253522360426</c:v>
                </c:pt>
                <c:pt idx="54">
                  <c:v>39.971193031443342</c:v>
                </c:pt>
                <c:pt idx="55">
                  <c:v>40.212876528651897</c:v>
                </c:pt>
                <c:pt idx="56">
                  <c:v>40.450453797468164</c:v>
                </c:pt>
                <c:pt idx="57">
                  <c:v>40.684066850830526</c:v>
                </c:pt>
                <c:pt idx="58">
                  <c:v>40.91385045950851</c:v>
                </c:pt>
                <c:pt idx="59">
                  <c:v>41.139932636317226</c:v>
                </c:pt>
                <c:pt idx="60">
                  <c:v>41.362435080527781</c:v>
                </c:pt>
                <c:pt idx="61">
                  <c:v>41.581473586336671</c:v>
                </c:pt>
                <c:pt idx="62">
                  <c:v>41.797158418826562</c:v>
                </c:pt>
                <c:pt idx="63">
                  <c:v>42.009594660474903</c:v>
                </c:pt>
                <c:pt idx="64">
                  <c:v>42.218882530935971</c:v>
                </c:pt>
                <c:pt idx="65">
                  <c:v>42.425117682532893</c:v>
                </c:pt>
                <c:pt idx="66">
                  <c:v>42.628391473640406</c:v>
                </c:pt>
                <c:pt idx="67">
                  <c:v>42.828791221914315</c:v>
                </c:pt>
                <c:pt idx="68">
                  <c:v>43.026400439124536</c:v>
                </c:pt>
                <c:pt idx="69">
                  <c:v>43.221299049172472</c:v>
                </c:pt>
                <c:pt idx="70">
                  <c:v>43.413563590717416</c:v>
                </c:pt>
                <c:pt idx="71">
                  <c:v>43.603267405697586</c:v>
                </c:pt>
                <c:pt idx="72">
                  <c:v>43.79048081490788</c:v>
                </c:pt>
                <c:pt idx="73">
                  <c:v>43.975271281686517</c:v>
                </c:pt>
                <c:pt idx="74">
                  <c:v>44.15770356466372</c:v>
                </c:pt>
                <c:pt idx="75">
                  <c:v>44.337839860438329</c:v>
                </c:pt>
                <c:pt idx="76">
                  <c:v>44.515739936968679</c:v>
                </c:pt>
                <c:pt idx="77">
                  <c:v>44.69146125839378</c:v>
                </c:pt>
                <c:pt idx="78">
                  <c:v>44.865059101937049</c:v>
                </c:pt>
                <c:pt idx="79">
                  <c:v>45.03658666748774</c:v>
                </c:pt>
                <c:pt idx="80">
                  <c:v>45.20609518040358</c:v>
                </c:pt>
                <c:pt idx="81">
                  <c:v>45.373633988031663</c:v>
                </c:pt>
                <c:pt idx="82">
                  <c:v>45.53925065040282</c:v>
                </c:pt>
                <c:pt idx="83">
                  <c:v>45.702991025516233</c:v>
                </c:pt>
                <c:pt idx="84">
                  <c:v>45.864899349597181</c:v>
                </c:pt>
              </c:numCache>
            </c:numRef>
          </c:yVal>
          <c:smooth val="1"/>
        </c:ser>
        <c:axId val="50821376"/>
        <c:axId val="50827264"/>
      </c:scatterChart>
      <c:valAx>
        <c:axId val="50821376"/>
        <c:scaling>
          <c:orientation val="minMax"/>
        </c:scaling>
        <c:axPos val="b"/>
        <c:numFmt formatCode="0.000" sourceLinked="1"/>
        <c:tickLblPos val="nextTo"/>
        <c:crossAx val="50827264"/>
        <c:crosses val="autoZero"/>
        <c:crossBetween val="midCat"/>
      </c:valAx>
      <c:valAx>
        <c:axId val="50827264"/>
        <c:scaling>
          <c:orientation val="minMax"/>
        </c:scaling>
        <c:axPos val="l"/>
        <c:majorGridlines/>
        <c:numFmt formatCode="0.0" sourceLinked="1"/>
        <c:tickLblPos val="nextTo"/>
        <c:crossAx val="5082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4.4435695538057797E-2"/>
          <c:y val="7.1518779965119877E-2"/>
          <c:w val="0.87890635611108126"/>
          <c:h val="0.90961039107039454"/>
        </c:manualLayout>
      </c:layout>
      <c:scatterChart>
        <c:scatterStyle val="smoothMarker"/>
        <c:ser>
          <c:idx val="0"/>
          <c:order val="0"/>
          <c:tx>
            <c:v>КУ</c:v>
          </c:tx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МГ'!$J$4:$J$88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483</c:v>
                </c:pt>
                <c:pt idx="7">
                  <c:v>1406</c:v>
                </c:pt>
                <c:pt idx="8">
                  <c:v>2600</c:v>
                </c:pt>
                <c:pt idx="9">
                  <c:v>3782</c:v>
                </c:pt>
                <c:pt idx="10">
                  <c:v>5040</c:v>
                </c:pt>
                <c:pt idx="11">
                  <c:v>6320</c:v>
                </c:pt>
                <c:pt idx="12">
                  <c:v>7656</c:v>
                </c:pt>
                <c:pt idx="13">
                  <c:v>9025</c:v>
                </c:pt>
                <c:pt idx="14">
                  <c:v>10000</c:v>
                </c:pt>
                <c:pt idx="15">
                  <c:v>11236</c:v>
                </c:pt>
                <c:pt idx="16">
                  <c:v>12210</c:v>
                </c:pt>
                <c:pt idx="17">
                  <c:v>13340</c:v>
                </c:pt>
                <c:pt idx="18">
                  <c:v>14161</c:v>
                </c:pt>
                <c:pt idx="19">
                  <c:v>15129</c:v>
                </c:pt>
                <c:pt idx="20">
                  <c:v>15876</c:v>
                </c:pt>
                <c:pt idx="21">
                  <c:v>16900</c:v>
                </c:pt>
                <c:pt idx="22">
                  <c:v>17556</c:v>
                </c:pt>
                <c:pt idx="23">
                  <c:v>18360</c:v>
                </c:pt>
                <c:pt idx="24">
                  <c:v>19182</c:v>
                </c:pt>
                <c:pt idx="25">
                  <c:v>19881</c:v>
                </c:pt>
                <c:pt idx="26">
                  <c:v>20592</c:v>
                </c:pt>
                <c:pt idx="27">
                  <c:v>21316</c:v>
                </c:pt>
                <c:pt idx="28">
                  <c:v>22052</c:v>
                </c:pt>
                <c:pt idx="29">
                  <c:v>22650</c:v>
                </c:pt>
                <c:pt idx="30">
                  <c:v>23408</c:v>
                </c:pt>
                <c:pt idx="31">
                  <c:v>24024</c:v>
                </c:pt>
                <c:pt idx="32">
                  <c:v>24492</c:v>
                </c:pt>
                <c:pt idx="33">
                  <c:v>25122</c:v>
                </c:pt>
                <c:pt idx="34">
                  <c:v>25760</c:v>
                </c:pt>
                <c:pt idx="35">
                  <c:v>26244</c:v>
                </c:pt>
                <c:pt idx="36">
                  <c:v>26732</c:v>
                </c:pt>
                <c:pt idx="37">
                  <c:v>27224</c:v>
                </c:pt>
                <c:pt idx="38">
                  <c:v>27888</c:v>
                </c:pt>
                <c:pt idx="39">
                  <c:v>28223</c:v>
                </c:pt>
                <c:pt idx="40">
                  <c:v>28730</c:v>
                </c:pt>
                <c:pt idx="41">
                  <c:v>29070</c:v>
                </c:pt>
                <c:pt idx="42">
                  <c:v>29412</c:v>
                </c:pt>
                <c:pt idx="43">
                  <c:v>29756</c:v>
                </c:pt>
                <c:pt idx="44">
                  <c:v>30102</c:v>
                </c:pt>
                <c:pt idx="45">
                  <c:v>30450</c:v>
                </c:pt>
                <c:pt idx="46">
                  <c:v>30800</c:v>
                </c:pt>
                <c:pt idx="47">
                  <c:v>30976</c:v>
                </c:pt>
                <c:pt idx="48">
                  <c:v>31329</c:v>
                </c:pt>
                <c:pt idx="49">
                  <c:v>31684</c:v>
                </c:pt>
                <c:pt idx="50">
                  <c:v>31862</c:v>
                </c:pt>
                <c:pt idx="51">
                  <c:v>32220</c:v>
                </c:pt>
                <c:pt idx="52">
                  <c:v>32580</c:v>
                </c:pt>
                <c:pt idx="53">
                  <c:v>32761</c:v>
                </c:pt>
                <c:pt idx="54">
                  <c:v>33124</c:v>
                </c:pt>
                <c:pt idx="55">
                  <c:v>33489</c:v>
                </c:pt>
                <c:pt idx="56">
                  <c:v>33672</c:v>
                </c:pt>
                <c:pt idx="57">
                  <c:v>34040</c:v>
                </c:pt>
                <c:pt idx="58">
                  <c:v>34224</c:v>
                </c:pt>
                <c:pt idx="59">
                  <c:v>34596</c:v>
                </c:pt>
                <c:pt idx="60">
                  <c:v>34782</c:v>
                </c:pt>
                <c:pt idx="61">
                  <c:v>35156</c:v>
                </c:pt>
                <c:pt idx="62">
                  <c:v>35532</c:v>
                </c:pt>
                <c:pt idx="63">
                  <c:v>35910</c:v>
                </c:pt>
                <c:pt idx="64">
                  <c:v>36100</c:v>
                </c:pt>
                <c:pt idx="65">
                  <c:v>36481</c:v>
                </c:pt>
                <c:pt idx="66">
                  <c:v>36672</c:v>
                </c:pt>
                <c:pt idx="67">
                  <c:v>37056</c:v>
                </c:pt>
                <c:pt idx="68">
                  <c:v>37249</c:v>
                </c:pt>
                <c:pt idx="69">
                  <c:v>37636</c:v>
                </c:pt>
                <c:pt idx="70">
                  <c:v>37830</c:v>
                </c:pt>
                <c:pt idx="71">
                  <c:v>38025</c:v>
                </c:pt>
                <c:pt idx="72">
                  <c:v>38220</c:v>
                </c:pt>
                <c:pt idx="73">
                  <c:v>38416</c:v>
                </c:pt>
                <c:pt idx="74">
                  <c:v>38416</c:v>
                </c:pt>
                <c:pt idx="75">
                  <c:v>38612</c:v>
                </c:pt>
                <c:pt idx="76">
                  <c:v>38809</c:v>
                </c:pt>
                <c:pt idx="77">
                  <c:v>39006</c:v>
                </c:pt>
                <c:pt idx="78">
                  <c:v>39204</c:v>
                </c:pt>
                <c:pt idx="79">
                  <c:v>39204</c:v>
                </c:pt>
                <c:pt idx="80">
                  <c:v>39402</c:v>
                </c:pt>
                <c:pt idx="81">
                  <c:v>39601</c:v>
                </c:pt>
                <c:pt idx="82">
                  <c:v>39800</c:v>
                </c:pt>
                <c:pt idx="83">
                  <c:v>39800</c:v>
                </c:pt>
                <c:pt idx="84">
                  <c:v>40000</c:v>
                </c:pt>
              </c:numCache>
            </c:numRef>
          </c:yVal>
          <c:smooth val="1"/>
        </c:ser>
        <c:axId val="50365184"/>
        <c:axId val="50366720"/>
      </c:scatterChart>
      <c:valAx>
        <c:axId val="50365184"/>
        <c:scaling>
          <c:orientation val="minMax"/>
        </c:scaling>
        <c:axPos val="b"/>
        <c:numFmt formatCode="General" sourceLinked="1"/>
        <c:tickLblPos val="nextTo"/>
        <c:crossAx val="50366720"/>
        <c:crosses val="autoZero"/>
        <c:crossBetween val="midCat"/>
        <c:majorUnit val="2"/>
        <c:minorUnit val="1"/>
      </c:valAx>
      <c:valAx>
        <c:axId val="50366720"/>
        <c:scaling>
          <c:orientation val="minMax"/>
        </c:scaling>
        <c:axPos val="l"/>
        <c:majorGridlines/>
        <c:numFmt formatCode="General" sourceLinked="1"/>
        <c:tickLblPos val="nextTo"/>
        <c:crossAx val="5036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3.1455562343714411E-2"/>
          <c:y val="6.4057627889977847E-2"/>
          <c:w val="0.91054077077158613"/>
          <c:h val="0.89270459023556781"/>
        </c:manualLayout>
      </c:layout>
      <c:scatterChart>
        <c:scatterStyle val="smoothMarker"/>
        <c:ser>
          <c:idx val="0"/>
          <c:order val="0"/>
          <c:tx>
            <c:v>1</c:v>
          </c:tx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МГ'!$D$4:$D$88</c:f>
              <c:numCache>
                <c:formatCode>General</c:formatCode>
                <c:ptCount val="8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253</c:v>
                </c:pt>
                <c:pt idx="6">
                  <c:v>233</c:v>
                </c:pt>
                <c:pt idx="7">
                  <c:v>218</c:v>
                </c:pt>
                <c:pt idx="8">
                  <c:v>206</c:v>
                </c:pt>
                <c:pt idx="9">
                  <c:v>194</c:v>
                </c:pt>
                <c:pt idx="10">
                  <c:v>184</c:v>
                </c:pt>
                <c:pt idx="11">
                  <c:v>176</c:v>
                </c:pt>
                <c:pt idx="12">
                  <c:v>168</c:v>
                </c:pt>
                <c:pt idx="13">
                  <c:v>161</c:v>
                </c:pt>
                <c:pt idx="14">
                  <c:v>156</c:v>
                </c:pt>
                <c:pt idx="15">
                  <c:v>150</c:v>
                </c:pt>
                <c:pt idx="16">
                  <c:v>146</c:v>
                </c:pt>
                <c:pt idx="17">
                  <c:v>141</c:v>
                </c:pt>
                <c:pt idx="18">
                  <c:v>137</c:v>
                </c:pt>
                <c:pt idx="19">
                  <c:v>133</c:v>
                </c:pt>
                <c:pt idx="20">
                  <c:v>130</c:v>
                </c:pt>
                <c:pt idx="21">
                  <c:v>126</c:v>
                </c:pt>
                <c:pt idx="22">
                  <c:v>123</c:v>
                </c:pt>
                <c:pt idx="23">
                  <c:v>120</c:v>
                </c:pt>
                <c:pt idx="24">
                  <c:v>117</c:v>
                </c:pt>
                <c:pt idx="25">
                  <c:v>115</c:v>
                </c:pt>
                <c:pt idx="26">
                  <c:v>113</c:v>
                </c:pt>
                <c:pt idx="27">
                  <c:v>110</c:v>
                </c:pt>
                <c:pt idx="28">
                  <c:v>108</c:v>
                </c:pt>
                <c:pt idx="29">
                  <c:v>106</c:v>
                </c:pt>
                <c:pt idx="30">
                  <c:v>104</c:v>
                </c:pt>
                <c:pt idx="31">
                  <c:v>102</c:v>
                </c:pt>
                <c:pt idx="32">
                  <c:v>100</c:v>
                </c:pt>
                <c:pt idx="33">
                  <c:v>98</c:v>
                </c:pt>
                <c:pt idx="34">
                  <c:v>96</c:v>
                </c:pt>
                <c:pt idx="35">
                  <c:v>94</c:v>
                </c:pt>
                <c:pt idx="36">
                  <c:v>92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86</c:v>
                </c:pt>
                <c:pt idx="41">
                  <c:v>85</c:v>
                </c:pt>
                <c:pt idx="42">
                  <c:v>84</c:v>
                </c:pt>
                <c:pt idx="43">
                  <c:v>83</c:v>
                </c:pt>
                <c:pt idx="44">
                  <c:v>82</c:v>
                </c:pt>
                <c:pt idx="45">
                  <c:v>81</c:v>
                </c:pt>
                <c:pt idx="46">
                  <c:v>80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72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65</c:v>
                </c:pt>
                <c:pt idx="67">
                  <c:v>64</c:v>
                </c:pt>
                <c:pt idx="68">
                  <c:v>63</c:v>
                </c:pt>
                <c:pt idx="69">
                  <c:v>62</c:v>
                </c:pt>
                <c:pt idx="70">
                  <c:v>62</c:v>
                </c:pt>
                <c:pt idx="71">
                  <c:v>61</c:v>
                </c:pt>
                <c:pt idx="72">
                  <c:v>61</c:v>
                </c:pt>
                <c:pt idx="73">
                  <c:v>60</c:v>
                </c:pt>
                <c:pt idx="74">
                  <c:v>60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56</c:v>
                </c:pt>
                <c:pt idx="84">
                  <c:v>56</c:v>
                </c:pt>
              </c:numCache>
            </c:numRef>
          </c:yVal>
          <c:smooth val="1"/>
        </c:ser>
        <c:axId val="50383488"/>
        <c:axId val="50925952"/>
      </c:scatterChart>
      <c:valAx>
        <c:axId val="50383488"/>
        <c:scaling>
          <c:orientation val="minMax"/>
        </c:scaling>
        <c:axPos val="b"/>
        <c:numFmt formatCode="General" sourceLinked="1"/>
        <c:tickLblPos val="nextTo"/>
        <c:crossAx val="50925952"/>
        <c:crosses val="autoZero"/>
        <c:crossBetween val="midCat"/>
        <c:majorUnit val="2"/>
        <c:minorUnit val="1"/>
      </c:valAx>
      <c:valAx>
        <c:axId val="50925952"/>
        <c:scaling>
          <c:orientation val="minMax"/>
        </c:scaling>
        <c:axPos val="l"/>
        <c:majorGridlines/>
        <c:numFmt formatCode="General" sourceLinked="1"/>
        <c:tickLblPos val="nextTo"/>
        <c:crossAx val="5038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'КУ МГ'!$F$4:$F$88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МГ'!$H$4:$H$88</c:f>
              <c:numCache>
                <c:formatCode>General</c:formatCode>
                <c:ptCount val="8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253</c:v>
                </c:pt>
                <c:pt idx="6">
                  <c:v>235</c:v>
                </c:pt>
                <c:pt idx="7">
                  <c:v>219</c:v>
                </c:pt>
                <c:pt idx="8">
                  <c:v>204</c:v>
                </c:pt>
                <c:pt idx="9">
                  <c:v>195</c:v>
                </c:pt>
                <c:pt idx="10">
                  <c:v>186</c:v>
                </c:pt>
                <c:pt idx="11">
                  <c:v>177</c:v>
                </c:pt>
                <c:pt idx="12">
                  <c:v>169</c:v>
                </c:pt>
                <c:pt idx="13">
                  <c:v>161</c:v>
                </c:pt>
                <c:pt idx="14">
                  <c:v>156</c:v>
                </c:pt>
                <c:pt idx="15">
                  <c:v>150</c:v>
                </c:pt>
                <c:pt idx="16">
                  <c:v>145</c:v>
                </c:pt>
                <c:pt idx="17">
                  <c:v>140</c:v>
                </c:pt>
                <c:pt idx="18">
                  <c:v>137</c:v>
                </c:pt>
                <c:pt idx="19">
                  <c:v>133</c:v>
                </c:pt>
                <c:pt idx="20">
                  <c:v>130</c:v>
                </c:pt>
                <c:pt idx="21">
                  <c:v>126</c:v>
                </c:pt>
                <c:pt idx="22">
                  <c:v>124</c:v>
                </c:pt>
                <c:pt idx="23">
                  <c:v>121</c:v>
                </c:pt>
                <c:pt idx="24">
                  <c:v>118</c:v>
                </c:pt>
                <c:pt idx="25">
                  <c:v>115</c:v>
                </c:pt>
                <c:pt idx="26">
                  <c:v>112</c:v>
                </c:pt>
                <c:pt idx="27">
                  <c:v>110</c:v>
                </c:pt>
                <c:pt idx="28">
                  <c:v>107</c:v>
                </c:pt>
                <c:pt idx="29">
                  <c:v>105</c:v>
                </c:pt>
                <c:pt idx="30">
                  <c:v>102</c:v>
                </c:pt>
                <c:pt idx="31">
                  <c:v>100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90</c:v>
                </c:pt>
                <c:pt idx="39">
                  <c:v>89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77</c:v>
                </c:pt>
                <c:pt idx="52">
                  <c:v>76</c:v>
                </c:pt>
                <c:pt idx="53">
                  <c:v>75</c:v>
                </c:pt>
                <c:pt idx="54">
                  <c:v>74</c:v>
                </c:pt>
                <c:pt idx="55">
                  <c:v>73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70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59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57</c:v>
                </c:pt>
                <c:pt idx="82">
                  <c:v>56</c:v>
                </c:pt>
                <c:pt idx="83">
                  <c:v>57</c:v>
                </c:pt>
                <c:pt idx="84">
                  <c:v>56</c:v>
                </c:pt>
              </c:numCache>
            </c:numRef>
          </c:yVal>
          <c:smooth val="1"/>
        </c:ser>
        <c:axId val="50959104"/>
        <c:axId val="50960640"/>
      </c:scatterChart>
      <c:valAx>
        <c:axId val="50959104"/>
        <c:scaling>
          <c:orientation val="minMax"/>
        </c:scaling>
        <c:axPos val="b"/>
        <c:numFmt formatCode="General" sourceLinked="1"/>
        <c:tickLblPos val="nextTo"/>
        <c:crossAx val="50960640"/>
        <c:crosses val="autoZero"/>
        <c:crossBetween val="midCat"/>
        <c:majorUnit val="2"/>
      </c:valAx>
      <c:valAx>
        <c:axId val="50960640"/>
        <c:scaling>
          <c:orientation val="minMax"/>
        </c:scaling>
        <c:axPos val="l"/>
        <c:majorGridlines/>
        <c:numFmt formatCode="General" sourceLinked="1"/>
        <c:tickLblPos val="nextTo"/>
        <c:crossAx val="50959104"/>
        <c:crosses val="autoZero"/>
        <c:crossBetween val="midCat"/>
        <c:majorUnit val="10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КУ1</c:v>
          </c:tx>
          <c:marker>
            <c:symbol val="none"/>
          </c:marker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МГ'!$N$4:$N$88</c:f>
              <c:numCache>
                <c:formatCode>General</c:formatCode>
                <c:ptCount val="85"/>
                <c:pt idx="0">
                  <c:v>0.30121406001021767</c:v>
                </c:pt>
                <c:pt idx="1">
                  <c:v>0.68116172951925102</c:v>
                </c:pt>
                <c:pt idx="2">
                  <c:v>1.0649476198713399</c:v>
                </c:pt>
                <c:pt idx="3">
                  <c:v>1.4526008501994547</c:v>
                </c:pt>
                <c:pt idx="4">
                  <c:v>1.8441507360720208</c:v>
                </c:pt>
                <c:pt idx="5">
                  <c:v>2.2396267907354028</c:v>
                </c:pt>
                <c:pt idx="6">
                  <c:v>2.6390587263639325</c:v>
                </c:pt>
                <c:pt idx="7">
                  <c:v>3.0424764553175296</c:v>
                </c:pt>
                <c:pt idx="8">
                  <c:v>3.4499100914069514</c:v>
                </c:pt>
                <c:pt idx="9">
                  <c:v>3.8613899511667316</c:v>
                </c:pt>
                <c:pt idx="10">
                  <c:v>4.2769465551358268</c:v>
                </c:pt>
                <c:pt idx="11">
                  <c:v>4.6966106291460585</c:v>
                </c:pt>
                <c:pt idx="12">
                  <c:v>5.1204131056183444</c:v>
                </c:pt>
                <c:pt idx="13">
                  <c:v>5.5483851248668135</c:v>
                </c:pt>
                <c:pt idx="14">
                  <c:v>5.9805580364108124</c:v>
                </c:pt>
                <c:pt idx="15">
                  <c:v>6.4169634002948817</c:v>
                </c:pt>
                <c:pt idx="16">
                  <c:v>6.8576329884167393</c:v>
                </c:pt>
                <c:pt idx="17">
                  <c:v>7.3025987858632666</c:v>
                </c:pt>
                <c:pt idx="18">
                  <c:v>7.7518929922546755</c:v>
                </c:pt>
                <c:pt idx="19">
                  <c:v>8.2055480230967355</c:v>
                </c:pt>
                <c:pt idx="20">
                  <c:v>8.6635965111412503</c:v>
                </c:pt>
                <c:pt idx="21">
                  <c:v>9.1260713077547368</c:v>
                </c:pt>
                <c:pt idx="22">
                  <c:v>9.5930054842954409</c:v>
                </c:pt>
                <c:pt idx="23">
                  <c:v>10.064432333498624</c:v>
                </c:pt>
                <c:pt idx="24">
                  <c:v>10.54038537087032</c:v>
                </c:pt>
                <c:pt idx="25">
                  <c:v>11.02089833608944</c:v>
                </c:pt>
                <c:pt idx="26">
                  <c:v>11.506005194418453</c:v>
                </c:pt>
                <c:pt idx="27">
                  <c:v>11.995740138122505</c:v>
                </c:pt>
                <c:pt idx="28">
                  <c:v>12.490137587897255</c:v>
                </c:pt>
                <c:pt idx="29">
                  <c:v>12.989232194305199</c:v>
                </c:pt>
                <c:pt idx="30">
                  <c:v>13.493058839220788</c:v>
                </c:pt>
                <c:pt idx="31">
                  <c:v>14.00165263728425</c:v>
                </c:pt>
                <c:pt idx="32">
                  <c:v>14.515048937364231</c:v>
                </c:pt>
                <c:pt idx="33">
                  <c:v>15.033283324029192</c:v>
                </c:pt>
                <c:pt idx="34">
                  <c:v>15.55639161902784</c:v>
                </c:pt>
                <c:pt idx="35">
                  <c:v>16.084409882778381</c:v>
                </c:pt>
                <c:pt idx="36">
                  <c:v>16.617374415866792</c:v>
                </c:pt>
                <c:pt idx="37">
                  <c:v>17.155321760554234</c:v>
                </c:pt>
                <c:pt idx="38">
                  <c:v>17.698288702293524</c:v>
                </c:pt>
                <c:pt idx="39">
                  <c:v>18.246312271254666</c:v>
                </c:pt>
                <c:pt idx="40">
                  <c:v>18.799429743859786</c:v>
                </c:pt>
                <c:pt idx="41">
                  <c:v>19.357678644327116</c:v>
                </c:pt>
                <c:pt idx="42">
                  <c:v>19.921096746224546</c:v>
                </c:pt>
                <c:pt idx="43">
                  <c:v>20.489722074032304</c:v>
                </c:pt>
                <c:pt idx="44">
                  <c:v>21.063592904715289</c:v>
                </c:pt>
                <c:pt idx="45">
                  <c:v>21.642747769304677</c:v>
                </c:pt>
                <c:pt idx="46">
                  <c:v>22.2272254544893</c:v>
                </c:pt>
                <c:pt idx="47">
                  <c:v>22.81706500421646</c:v>
                </c:pt>
                <c:pt idx="48">
                  <c:v>23.412305721302328</c:v>
                </c:pt>
                <c:pt idx="49">
                  <c:v>24.012987169052387</c:v>
                </c:pt>
                <c:pt idx="50">
                  <c:v>24.619149172891305</c:v>
                </c:pt>
                <c:pt idx="51">
                  <c:v>25.230831822002699</c:v>
                </c:pt>
                <c:pt idx="52">
                  <c:v>25.848075470979051</c:v>
                </c:pt>
                <c:pt idx="53">
                  <c:v>26.470920741481081</c:v>
                </c:pt>
                <c:pt idx="54">
                  <c:v>27.099408523907695</c:v>
                </c:pt>
                <c:pt idx="55">
                  <c:v>27.733579979075426</c:v>
                </c:pt>
                <c:pt idx="56">
                  <c:v>28.373476539908445</c:v>
                </c:pt>
                <c:pt idx="57">
                  <c:v>29.019139913138478</c:v>
                </c:pt>
                <c:pt idx="58">
                  <c:v>29.670612081015172</c:v>
                </c:pt>
                <c:pt idx="59">
                  <c:v>30.327935303026461</c:v>
                </c:pt>
                <c:pt idx="60">
                  <c:v>30.991152117629593</c:v>
                </c:pt>
                <c:pt idx="61">
                  <c:v>31.660305343992484</c:v>
                </c:pt>
                <c:pt idx="62">
                  <c:v>32.335438083745352</c:v>
                </c:pt>
                <c:pt idx="63">
                  <c:v>33.016593722743259</c:v>
                </c:pt>
                <c:pt idx="64">
                  <c:v>33.703815932838957</c:v>
                </c:pt>
                <c:pt idx="65">
                  <c:v>34.397148673666479</c:v>
                </c:pt>
                <c:pt idx="66">
                  <c:v>35.096636194435533</c:v>
                </c:pt>
                <c:pt idx="67">
                  <c:v>35.802323035736656</c:v>
                </c:pt>
                <c:pt idx="68">
                  <c:v>36.514254031357119</c:v>
                </c:pt>
                <c:pt idx="69">
                  <c:v>37.232474310107904</c:v>
                </c:pt>
                <c:pt idx="70">
                  <c:v>37.957029297661585</c:v>
                </c:pt>
                <c:pt idx="71">
                  <c:v>38.687964718401219</c:v>
                </c:pt>
                <c:pt idx="72">
                  <c:v>39.425326597280453</c:v>
                </c:pt>
                <c:pt idx="73">
                  <c:v>40.169161261694711</c:v>
                </c:pt>
                <c:pt idx="74">
                  <c:v>40.919515343363607</c:v>
                </c:pt>
                <c:pt idx="75">
                  <c:v>41.676435780224899</c:v>
                </c:pt>
                <c:pt idx="76">
                  <c:v>42.439969818339364</c:v>
                </c:pt>
                <c:pt idx="77">
                  <c:v>43.210165013807696</c:v>
                </c:pt>
                <c:pt idx="78">
                  <c:v>43.987069234698232</c:v>
                </c:pt>
                <c:pt idx="79">
                  <c:v>44.770730662987077</c:v>
                </c:pt>
                <c:pt idx="80">
                  <c:v>45.561197796508871</c:v>
                </c:pt>
                <c:pt idx="81">
                  <c:v>46.35851945092044</c:v>
                </c:pt>
                <c:pt idx="82">
                  <c:v>47.162744761674972</c:v>
                </c:pt>
                <c:pt idx="83">
                  <c:v>47.973923186009173</c:v>
                </c:pt>
                <c:pt idx="84">
                  <c:v>48.792104504941491</c:v>
                </c:pt>
              </c:numCache>
            </c:numRef>
          </c:yVal>
          <c:smooth val="1"/>
        </c:ser>
        <c:ser>
          <c:idx val="1"/>
          <c:order val="1"/>
          <c:tx>
            <c:v>КУ УС</c:v>
          </c:tx>
          <c:marker>
            <c:symbol val="none"/>
          </c:marker>
          <c:xVal>
            <c:numRef>
              <c:f>'КУ МГ'!$B$4:$B$88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'КУ МГ'!$M$4:$M$88</c:f>
              <c:numCache>
                <c:formatCode>General</c:formatCode>
                <c:ptCount val="85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2.2472639999999999</c:v>
                </c:pt>
                <c:pt idx="6">
                  <c:v>2.6373600000000006</c:v>
                </c:pt>
                <c:pt idx="7">
                  <c:v>3.0330719999999998</c:v>
                </c:pt>
                <c:pt idx="8">
                  <c:v>3.4564319999999999</c:v>
                </c:pt>
                <c:pt idx="9">
                  <c:v>3.8495520000000001</c:v>
                </c:pt>
                <c:pt idx="10">
                  <c:v>4.2638399999999992</c:v>
                </c:pt>
                <c:pt idx="11">
                  <c:v>4.7312639999999995</c:v>
                </c:pt>
                <c:pt idx="12">
                  <c:v>5.089392000000001</c:v>
                </c:pt>
                <c:pt idx="13">
                  <c:v>5.5296000000000012</c:v>
                </c:pt>
                <c:pt idx="14">
                  <c:v>5.9520959999999992</c:v>
                </c:pt>
                <c:pt idx="15">
                  <c:v>6.464664</c:v>
                </c:pt>
                <c:pt idx="16">
                  <c:v>6.882191999999999</c:v>
                </c:pt>
                <c:pt idx="17">
                  <c:v>7.3126800000000003</c:v>
                </c:pt>
                <c:pt idx="18">
                  <c:v>7.7157359999999997</c:v>
                </c:pt>
                <c:pt idx="19">
                  <c:v>8.2134</c:v>
                </c:pt>
                <c:pt idx="20">
                  <c:v>8.64</c:v>
                </c:pt>
                <c:pt idx="21">
                  <c:v>9.1661759999999983</c:v>
                </c:pt>
                <c:pt idx="22">
                  <c:v>9.6163200000000018</c:v>
                </c:pt>
                <c:pt idx="23">
                  <c:v>10.031040000000001</c:v>
                </c:pt>
                <c:pt idx="24">
                  <c:v>10.596960000000001</c:v>
                </c:pt>
                <c:pt idx="25">
                  <c:v>11.032415999999998</c:v>
                </c:pt>
                <c:pt idx="26">
                  <c:v>11.525759999999998</c:v>
                </c:pt>
                <c:pt idx="27">
                  <c:v>12.235103999999998</c:v>
                </c:pt>
                <c:pt idx="28">
                  <c:v>12.754368000000001</c:v>
                </c:pt>
                <c:pt idx="29">
                  <c:v>13.338000000000003</c:v>
                </c:pt>
                <c:pt idx="30">
                  <c:v>14.208479999999998</c:v>
                </c:pt>
                <c:pt idx="31">
                  <c:v>15.050880000000003</c:v>
                </c:pt>
                <c:pt idx="32">
                  <c:v>15.571872000000001</c:v>
                </c:pt>
                <c:pt idx="33">
                  <c:v>15.80472</c:v>
                </c:pt>
                <c:pt idx="34">
                  <c:v>16.098048000000002</c:v>
                </c:pt>
                <c:pt idx="35">
                  <c:v>16.454015999999996</c:v>
                </c:pt>
                <c:pt idx="36">
                  <c:v>16.753391999999998</c:v>
                </c:pt>
                <c:pt idx="37">
                  <c:v>16.994447999999998</c:v>
                </c:pt>
                <c:pt idx="38">
                  <c:v>17.542655999999997</c:v>
                </c:pt>
                <c:pt idx="39">
                  <c:v>17.852399999999999</c:v>
                </c:pt>
                <c:pt idx="40">
                  <c:v>18.4788</c:v>
                </c:pt>
                <c:pt idx="41">
                  <c:v>19.116000000000003</c:v>
                </c:pt>
                <c:pt idx="42">
                  <c:v>19.763999999999999</c:v>
                </c:pt>
                <c:pt idx="43">
                  <c:v>20.422800000000002</c:v>
                </c:pt>
                <c:pt idx="44">
                  <c:v>21.092400000000001</c:v>
                </c:pt>
                <c:pt idx="45">
                  <c:v>21.7728</c:v>
                </c:pt>
                <c:pt idx="46">
                  <c:v>22.464000000000002</c:v>
                </c:pt>
                <c:pt idx="47">
                  <c:v>22.814999999999998</c:v>
                </c:pt>
                <c:pt idx="48">
                  <c:v>23.522399999999994</c:v>
                </c:pt>
                <c:pt idx="49">
                  <c:v>24.240600000000001</c:v>
                </c:pt>
                <c:pt idx="50">
                  <c:v>24.602400000000003</c:v>
                </c:pt>
                <c:pt idx="51">
                  <c:v>25.3368</c:v>
                </c:pt>
                <c:pt idx="52">
                  <c:v>26.082000000000004</c:v>
                </c:pt>
                <c:pt idx="53">
                  <c:v>26.46</c:v>
                </c:pt>
                <c:pt idx="54">
                  <c:v>27.221399999999999</c:v>
                </c:pt>
                <c:pt idx="55">
                  <c:v>27.993600000000004</c:v>
                </c:pt>
                <c:pt idx="56">
                  <c:v>28.382400000000001</c:v>
                </c:pt>
                <c:pt idx="57">
                  <c:v>29.1708</c:v>
                </c:pt>
                <c:pt idx="58">
                  <c:v>29.564999999999998</c:v>
                </c:pt>
                <c:pt idx="59">
                  <c:v>30.375</c:v>
                </c:pt>
                <c:pt idx="60">
                  <c:v>30.78</c:v>
                </c:pt>
                <c:pt idx="61">
                  <c:v>31.6008</c:v>
                </c:pt>
                <c:pt idx="62">
                  <c:v>32.432400000000001</c:v>
                </c:pt>
                <c:pt idx="63">
                  <c:v>33.274799999999999</c:v>
                </c:pt>
                <c:pt idx="64">
                  <c:v>33.7014</c:v>
                </c:pt>
                <c:pt idx="65">
                  <c:v>34.043543999999997</c:v>
                </c:pt>
                <c:pt idx="66">
                  <c:v>34.300800000000002</c:v>
                </c:pt>
                <c:pt idx="67">
                  <c:v>35.423999999999999</c:v>
                </c:pt>
                <c:pt idx="68">
                  <c:v>36.309599999999996</c:v>
                </c:pt>
                <c:pt idx="69">
                  <c:v>38.102400000000003</c:v>
                </c:pt>
                <c:pt idx="70">
                  <c:v>39.009599999999992</c:v>
                </c:pt>
                <c:pt idx="71">
                  <c:v>39.938399999999994</c:v>
                </c:pt>
                <c:pt idx="72">
                  <c:v>40.867200000000004</c:v>
                </c:pt>
                <c:pt idx="73">
                  <c:v>41.817600000000006</c:v>
                </c:pt>
                <c:pt idx="74">
                  <c:v>41.817600000000006</c:v>
                </c:pt>
                <c:pt idx="75">
                  <c:v>42.768000000000001</c:v>
                </c:pt>
                <c:pt idx="76">
                  <c:v>43.74</c:v>
                </c:pt>
                <c:pt idx="77">
                  <c:v>44.711999999999996</c:v>
                </c:pt>
                <c:pt idx="78">
                  <c:v>45.70559999999999</c:v>
                </c:pt>
                <c:pt idx="79">
                  <c:v>45.70559999999999</c:v>
                </c:pt>
                <c:pt idx="80">
                  <c:v>46.699199999999998</c:v>
                </c:pt>
                <c:pt idx="81">
                  <c:v>47.714400000000005</c:v>
                </c:pt>
                <c:pt idx="82">
                  <c:v>48.729599999999998</c:v>
                </c:pt>
                <c:pt idx="83">
                  <c:v>48.729599999999998</c:v>
                </c:pt>
                <c:pt idx="84">
                  <c:v>49.766399999999997</c:v>
                </c:pt>
              </c:numCache>
            </c:numRef>
          </c:yVal>
          <c:smooth val="1"/>
        </c:ser>
        <c:axId val="51069312"/>
        <c:axId val="51070848"/>
      </c:scatterChart>
      <c:valAx>
        <c:axId val="51069312"/>
        <c:scaling>
          <c:orientation val="minMax"/>
        </c:scaling>
        <c:axPos val="b"/>
        <c:numFmt formatCode="General" sourceLinked="1"/>
        <c:tickLblPos val="nextTo"/>
        <c:crossAx val="51070848"/>
        <c:crosses val="autoZero"/>
        <c:crossBetween val="midCat"/>
      </c:valAx>
      <c:valAx>
        <c:axId val="51070848"/>
        <c:scaling>
          <c:orientation val="minMax"/>
        </c:scaling>
        <c:axPos val="l"/>
        <c:majorGridlines/>
        <c:numFmt formatCode="General" sourceLinked="1"/>
        <c:tickLblPos val="nextTo"/>
        <c:crossAx val="5106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4435695538057804E-2"/>
          <c:y val="7.1518779965119877E-2"/>
          <c:w val="0.8789063561110817"/>
          <c:h val="0.90961039107039454"/>
        </c:manualLayout>
      </c:layout>
      <c:scatterChart>
        <c:scatterStyle val="smoothMarker"/>
        <c:ser>
          <c:idx val="0"/>
          <c:order val="0"/>
          <c:tx>
            <c:v>КУ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СГ'!$J$4:$J$75</c:f>
              <c:numCache>
                <c:formatCode>General</c:formatCode>
                <c:ptCount val="72"/>
                <c:pt idx="0">
                  <c:v>21904</c:v>
                </c:pt>
                <c:pt idx="1">
                  <c:v>26732</c:v>
                </c:pt>
                <c:pt idx="2">
                  <c:v>30450</c:v>
                </c:pt>
                <c:pt idx="3">
                  <c:v>32761</c:v>
                </c:pt>
                <c:pt idx="4">
                  <c:v>35156</c:v>
                </c:pt>
                <c:pt idx="5">
                  <c:v>37636</c:v>
                </c:pt>
                <c:pt idx="6">
                  <c:v>38809</c:v>
                </c:pt>
                <c:pt idx="7">
                  <c:v>40200</c:v>
                </c:pt>
                <c:pt idx="8">
                  <c:v>41412</c:v>
                </c:pt>
                <c:pt idx="9">
                  <c:v>42642</c:v>
                </c:pt>
                <c:pt idx="10">
                  <c:v>44100</c:v>
                </c:pt>
                <c:pt idx="11">
                  <c:v>44944</c:v>
                </c:pt>
                <c:pt idx="12">
                  <c:v>46010</c:v>
                </c:pt>
                <c:pt idx="13">
                  <c:v>47089</c:v>
                </c:pt>
                <c:pt idx="14">
                  <c:v>47961</c:v>
                </c:pt>
                <c:pt idx="15">
                  <c:v>48841</c:v>
                </c:pt>
                <c:pt idx="16">
                  <c:v>49952</c:v>
                </c:pt>
                <c:pt idx="17">
                  <c:v>50625</c:v>
                </c:pt>
                <c:pt idx="18">
                  <c:v>51076</c:v>
                </c:pt>
                <c:pt idx="19">
                  <c:v>51302</c:v>
                </c:pt>
                <c:pt idx="20">
                  <c:v>51756</c:v>
                </c:pt>
                <c:pt idx="21">
                  <c:v>52441</c:v>
                </c:pt>
                <c:pt idx="22">
                  <c:v>52900</c:v>
                </c:pt>
                <c:pt idx="23">
                  <c:v>53361</c:v>
                </c:pt>
                <c:pt idx="24">
                  <c:v>53592</c:v>
                </c:pt>
                <c:pt idx="25">
                  <c:v>54289</c:v>
                </c:pt>
                <c:pt idx="26">
                  <c:v>54522</c:v>
                </c:pt>
                <c:pt idx="27">
                  <c:v>54756</c:v>
                </c:pt>
                <c:pt idx="28">
                  <c:v>55225</c:v>
                </c:pt>
                <c:pt idx="29">
                  <c:v>55696</c:v>
                </c:pt>
                <c:pt idx="30">
                  <c:v>56169</c:v>
                </c:pt>
                <c:pt idx="31">
                  <c:v>56406</c:v>
                </c:pt>
                <c:pt idx="32">
                  <c:v>56882</c:v>
                </c:pt>
                <c:pt idx="33">
                  <c:v>57121</c:v>
                </c:pt>
                <c:pt idx="34">
                  <c:v>57360</c:v>
                </c:pt>
                <c:pt idx="35">
                  <c:v>57840</c:v>
                </c:pt>
                <c:pt idx="36">
                  <c:v>58081</c:v>
                </c:pt>
                <c:pt idx="37">
                  <c:v>58081</c:v>
                </c:pt>
                <c:pt idx="38">
                  <c:v>58322</c:v>
                </c:pt>
                <c:pt idx="39">
                  <c:v>58322</c:v>
                </c:pt>
                <c:pt idx="40">
                  <c:v>58564</c:v>
                </c:pt>
                <c:pt idx="41">
                  <c:v>58806</c:v>
                </c:pt>
                <c:pt idx="42">
                  <c:v>59049</c:v>
                </c:pt>
                <c:pt idx="43">
                  <c:v>59049</c:v>
                </c:pt>
                <c:pt idx="44">
                  <c:v>59292</c:v>
                </c:pt>
                <c:pt idx="45">
                  <c:v>59536</c:v>
                </c:pt>
                <c:pt idx="46">
                  <c:v>59536</c:v>
                </c:pt>
                <c:pt idx="47">
                  <c:v>59780</c:v>
                </c:pt>
                <c:pt idx="48">
                  <c:v>60025</c:v>
                </c:pt>
                <c:pt idx="49">
                  <c:v>60270</c:v>
                </c:pt>
                <c:pt idx="50">
                  <c:v>60762</c:v>
                </c:pt>
                <c:pt idx="51">
                  <c:v>61009</c:v>
                </c:pt>
                <c:pt idx="52">
                  <c:v>61256</c:v>
                </c:pt>
                <c:pt idx="53">
                  <c:v>61504</c:v>
                </c:pt>
                <c:pt idx="54">
                  <c:v>61504</c:v>
                </c:pt>
                <c:pt idx="55">
                  <c:v>61752</c:v>
                </c:pt>
                <c:pt idx="56">
                  <c:v>61752</c:v>
                </c:pt>
                <c:pt idx="57">
                  <c:v>62001</c:v>
                </c:pt>
                <c:pt idx="58">
                  <c:v>62001</c:v>
                </c:pt>
                <c:pt idx="59">
                  <c:v>62001</c:v>
                </c:pt>
                <c:pt idx="60">
                  <c:v>62250</c:v>
                </c:pt>
                <c:pt idx="61">
                  <c:v>62250</c:v>
                </c:pt>
                <c:pt idx="62">
                  <c:v>62250</c:v>
                </c:pt>
                <c:pt idx="63">
                  <c:v>62500</c:v>
                </c:pt>
                <c:pt idx="64">
                  <c:v>62500</c:v>
                </c:pt>
                <c:pt idx="65">
                  <c:v>62500</c:v>
                </c:pt>
                <c:pt idx="66">
                  <c:v>62500</c:v>
                </c:pt>
                <c:pt idx="67">
                  <c:v>62750</c:v>
                </c:pt>
                <c:pt idx="68">
                  <c:v>62750</c:v>
                </c:pt>
                <c:pt idx="69">
                  <c:v>62750</c:v>
                </c:pt>
                <c:pt idx="70">
                  <c:v>62750</c:v>
                </c:pt>
                <c:pt idx="71">
                  <c:v>63001</c:v>
                </c:pt>
              </c:numCache>
            </c:numRef>
          </c:yVal>
          <c:smooth val="1"/>
        </c:ser>
        <c:ser>
          <c:idx val="1"/>
          <c:order val="1"/>
          <c:tx>
            <c:v>КУ д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СГ'!$Y$4:$Y$75</c:f>
              <c:numCache>
                <c:formatCode>General</c:formatCode>
                <c:ptCount val="72"/>
                <c:pt idx="0">
                  <c:v>22052</c:v>
                </c:pt>
                <c:pt idx="1">
                  <c:v>27060</c:v>
                </c:pt>
                <c:pt idx="2">
                  <c:v>30276</c:v>
                </c:pt>
                <c:pt idx="3">
                  <c:v>32580</c:v>
                </c:pt>
                <c:pt idx="4">
                  <c:v>34969</c:v>
                </c:pt>
                <c:pt idx="5">
                  <c:v>37245</c:v>
                </c:pt>
                <c:pt idx="6">
                  <c:v>38610</c:v>
                </c:pt>
                <c:pt idx="7">
                  <c:v>39984</c:v>
                </c:pt>
                <c:pt idx="8">
                  <c:v>41209</c:v>
                </c:pt>
                <c:pt idx="9">
                  <c:v>42436</c:v>
                </c:pt>
                <c:pt idx="10">
                  <c:v>43890</c:v>
                </c:pt>
                <c:pt idx="11">
                  <c:v>44732</c:v>
                </c:pt>
                <c:pt idx="12">
                  <c:v>45796</c:v>
                </c:pt>
                <c:pt idx="13">
                  <c:v>46870</c:v>
                </c:pt>
                <c:pt idx="14">
                  <c:v>47742</c:v>
                </c:pt>
                <c:pt idx="15">
                  <c:v>48618</c:v>
                </c:pt>
                <c:pt idx="16">
                  <c:v>49504</c:v>
                </c:pt>
                <c:pt idx="17">
                  <c:v>50175</c:v>
                </c:pt>
                <c:pt idx="18">
                  <c:v>50625</c:v>
                </c:pt>
                <c:pt idx="19">
                  <c:v>51075</c:v>
                </c:pt>
                <c:pt idx="20">
                  <c:v>51528</c:v>
                </c:pt>
                <c:pt idx="21">
                  <c:v>51983</c:v>
                </c:pt>
                <c:pt idx="22">
                  <c:v>52441</c:v>
                </c:pt>
                <c:pt idx="23">
                  <c:v>52658</c:v>
                </c:pt>
                <c:pt idx="24">
                  <c:v>53352</c:v>
                </c:pt>
                <c:pt idx="25">
                  <c:v>53820</c:v>
                </c:pt>
                <c:pt idx="26">
                  <c:v>54054</c:v>
                </c:pt>
                <c:pt idx="27">
                  <c:v>54522</c:v>
                </c:pt>
                <c:pt idx="28">
                  <c:v>54984</c:v>
                </c:pt>
                <c:pt idx="29">
                  <c:v>55225</c:v>
                </c:pt>
                <c:pt idx="30">
                  <c:v>55696</c:v>
                </c:pt>
                <c:pt idx="31">
                  <c:v>56169</c:v>
                </c:pt>
                <c:pt idx="32">
                  <c:v>56406</c:v>
                </c:pt>
                <c:pt idx="33">
                  <c:v>56169</c:v>
                </c:pt>
                <c:pt idx="34">
                  <c:v>56386</c:v>
                </c:pt>
                <c:pt idx="35">
                  <c:v>56876</c:v>
                </c:pt>
                <c:pt idx="36">
                  <c:v>57600</c:v>
                </c:pt>
                <c:pt idx="37">
                  <c:v>57072</c:v>
                </c:pt>
                <c:pt idx="38">
                  <c:v>57318</c:v>
                </c:pt>
                <c:pt idx="39">
                  <c:v>57040</c:v>
                </c:pt>
                <c:pt idx="40">
                  <c:v>57288</c:v>
                </c:pt>
                <c:pt idx="41">
                  <c:v>58310</c:v>
                </c:pt>
                <c:pt idx="42">
                  <c:v>58564</c:v>
                </c:pt>
                <c:pt idx="43">
                  <c:v>59040</c:v>
                </c:pt>
                <c:pt idx="44">
                  <c:v>58804</c:v>
                </c:pt>
                <c:pt idx="45">
                  <c:v>59048</c:v>
                </c:pt>
                <c:pt idx="46">
                  <c:v>59532</c:v>
                </c:pt>
                <c:pt idx="47">
                  <c:v>59774</c:v>
                </c:pt>
                <c:pt idx="48">
                  <c:v>59536</c:v>
                </c:pt>
                <c:pt idx="49">
                  <c:v>60024</c:v>
                </c:pt>
                <c:pt idx="50">
                  <c:v>60270</c:v>
                </c:pt>
                <c:pt idx="51">
                  <c:v>60515</c:v>
                </c:pt>
                <c:pt idx="52">
                  <c:v>60762</c:v>
                </c:pt>
                <c:pt idx="53">
                  <c:v>61009</c:v>
                </c:pt>
                <c:pt idx="54">
                  <c:v>61008</c:v>
                </c:pt>
                <c:pt idx="55">
                  <c:v>60507</c:v>
                </c:pt>
                <c:pt idx="56">
                  <c:v>60756</c:v>
                </c:pt>
                <c:pt idx="57">
                  <c:v>60500</c:v>
                </c:pt>
                <c:pt idx="58">
                  <c:v>61504</c:v>
                </c:pt>
                <c:pt idx="59">
                  <c:v>61000</c:v>
                </c:pt>
                <c:pt idx="60">
                  <c:v>61000</c:v>
                </c:pt>
                <c:pt idx="61">
                  <c:v>61752</c:v>
                </c:pt>
                <c:pt idx="62">
                  <c:v>60732</c:v>
                </c:pt>
                <c:pt idx="63">
                  <c:v>60984</c:v>
                </c:pt>
                <c:pt idx="64">
                  <c:v>62001</c:v>
                </c:pt>
                <c:pt idx="65">
                  <c:v>61236</c:v>
                </c:pt>
                <c:pt idx="66">
                  <c:v>61226</c:v>
                </c:pt>
                <c:pt idx="67">
                  <c:v>61740</c:v>
                </c:pt>
                <c:pt idx="68">
                  <c:v>62248</c:v>
                </c:pt>
                <c:pt idx="69">
                  <c:v>61732</c:v>
                </c:pt>
                <c:pt idx="70">
                  <c:v>62244</c:v>
                </c:pt>
                <c:pt idx="71">
                  <c:v>62499</c:v>
                </c:pt>
              </c:numCache>
            </c:numRef>
          </c:yVal>
          <c:smooth val="1"/>
        </c:ser>
        <c:axId val="51194880"/>
        <c:axId val="51225344"/>
      </c:scatterChart>
      <c:valAx>
        <c:axId val="51194880"/>
        <c:scaling>
          <c:orientation val="minMax"/>
        </c:scaling>
        <c:axPos val="b"/>
        <c:numFmt formatCode="General" sourceLinked="1"/>
        <c:tickLblPos val="nextTo"/>
        <c:crossAx val="51225344"/>
        <c:crosses val="autoZero"/>
        <c:crossBetween val="midCat"/>
        <c:majorUnit val="2"/>
        <c:minorUnit val="1"/>
      </c:valAx>
      <c:valAx>
        <c:axId val="51225344"/>
        <c:scaling>
          <c:orientation val="minMax"/>
        </c:scaling>
        <c:axPos val="l"/>
        <c:majorGridlines/>
        <c:numFmt formatCode="General" sourceLinked="1"/>
        <c:tickLblPos val="nextTo"/>
        <c:crossAx val="51194880"/>
        <c:crosses val="autoZero"/>
        <c:crossBetween val="midCat"/>
        <c:majorUnit val="2000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>
        <c:manualLayout>
          <c:layoutTarget val="inner"/>
          <c:xMode val="edge"/>
          <c:yMode val="edge"/>
          <c:x val="3.1455562343714411E-2"/>
          <c:y val="6.4057627889977903E-2"/>
          <c:w val="0.91054077077158613"/>
          <c:h val="0.89270459023556781"/>
        </c:manualLayout>
      </c:layout>
      <c:scatterChart>
        <c:scatterStyle val="smoothMarker"/>
        <c:ser>
          <c:idx val="0"/>
          <c:order val="0"/>
          <c:tx>
            <c:v>1</c:v>
          </c:tx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СГ'!$D$4:$D$75</c:f>
              <c:numCache>
                <c:formatCode>General</c:formatCode>
                <c:ptCount val="72"/>
                <c:pt idx="0">
                  <c:v>108</c:v>
                </c:pt>
                <c:pt idx="1">
                  <c:v>92</c:v>
                </c:pt>
                <c:pt idx="2">
                  <c:v>82</c:v>
                </c:pt>
                <c:pt idx="3">
                  <c:v>75</c:v>
                </c:pt>
                <c:pt idx="4">
                  <c:v>68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52</c:v>
                </c:pt>
                <c:pt idx="9">
                  <c:v>49</c:v>
                </c:pt>
                <c:pt idx="10">
                  <c:v>46</c:v>
                </c:pt>
                <c:pt idx="11">
                  <c:v>44</c:v>
                </c:pt>
                <c:pt idx="12">
                  <c:v>42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yVal>
          <c:smooth val="1"/>
        </c:ser>
        <c:axId val="50991104"/>
        <c:axId val="50992640"/>
      </c:scatterChart>
      <c:valAx>
        <c:axId val="50991104"/>
        <c:scaling>
          <c:orientation val="minMax"/>
        </c:scaling>
        <c:axPos val="b"/>
        <c:minorGridlines/>
        <c:numFmt formatCode="General" sourceLinked="1"/>
        <c:tickLblPos val="nextTo"/>
        <c:crossAx val="50992640"/>
        <c:crosses val="autoZero"/>
        <c:crossBetween val="midCat"/>
        <c:majorUnit val="1"/>
        <c:minorUnit val="1"/>
      </c:valAx>
      <c:valAx>
        <c:axId val="50992640"/>
        <c:scaling>
          <c:orientation val="minMax"/>
        </c:scaling>
        <c:axPos val="l"/>
        <c:majorGridlines/>
        <c:numFmt formatCode="General" sourceLinked="1"/>
        <c:tickLblPos val="nextTo"/>
        <c:crossAx val="50991104"/>
        <c:crosses val="autoZero"/>
        <c:crossBetween val="midCat"/>
        <c:majorUnit val="2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'КУ СГ'!$F$4:$F$75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СГ'!$H$4:$H$75</c:f>
              <c:numCache>
                <c:formatCode>General</c:formatCode>
                <c:ptCount val="72"/>
                <c:pt idx="0">
                  <c:v>108</c:v>
                </c:pt>
                <c:pt idx="1">
                  <c:v>93</c:v>
                </c:pt>
                <c:pt idx="2">
                  <c:v>81</c:v>
                </c:pt>
                <c:pt idx="3">
                  <c:v>75</c:v>
                </c:pt>
                <c:pt idx="4">
                  <c:v>69</c:v>
                </c:pt>
                <c:pt idx="5">
                  <c:v>62</c:v>
                </c:pt>
                <c:pt idx="6">
                  <c:v>59</c:v>
                </c:pt>
                <c:pt idx="7">
                  <c:v>55</c:v>
                </c:pt>
                <c:pt idx="8">
                  <c:v>53</c:v>
                </c:pt>
                <c:pt idx="9">
                  <c:v>50</c:v>
                </c:pt>
                <c:pt idx="10">
                  <c:v>46</c:v>
                </c:pt>
                <c:pt idx="11">
                  <c:v>44</c:v>
                </c:pt>
                <c:pt idx="12">
                  <c:v>41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33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</c:numCache>
            </c:numRef>
          </c:yVal>
          <c:smooth val="1"/>
        </c:ser>
        <c:axId val="51016832"/>
        <c:axId val="51018368"/>
      </c:scatterChart>
      <c:valAx>
        <c:axId val="51016832"/>
        <c:scaling>
          <c:orientation val="minMax"/>
        </c:scaling>
        <c:axPos val="b"/>
        <c:minorGridlines/>
        <c:numFmt formatCode="General" sourceLinked="1"/>
        <c:tickLblPos val="nextTo"/>
        <c:crossAx val="51018368"/>
        <c:crosses val="autoZero"/>
        <c:crossBetween val="midCat"/>
        <c:majorUnit val="1"/>
        <c:minorUnit val="1"/>
      </c:valAx>
      <c:valAx>
        <c:axId val="51018368"/>
        <c:scaling>
          <c:orientation val="minMax"/>
        </c:scaling>
        <c:axPos val="l"/>
        <c:majorGridlines/>
        <c:numFmt formatCode="General" sourceLinked="1"/>
        <c:tickLblPos val="nextTo"/>
        <c:crossAx val="51016832"/>
        <c:crosses val="autoZero"/>
        <c:crossBetween val="midCat"/>
        <c:majorUnit val="2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новый для ХК.01'!$T$4:$T$88</c:f>
              <c:numCache>
                <c:formatCode>0.00</c:formatCode>
                <c:ptCount val="85"/>
                <c:pt idx="0">
                  <c:v>-6.0030732905953643</c:v>
                </c:pt>
                <c:pt idx="1">
                  <c:v>-1.1291673498562806</c:v>
                </c:pt>
                <c:pt idx="2">
                  <c:v>1.9820168168717773</c:v>
                </c:pt>
                <c:pt idx="3">
                  <c:v>4.2740288300217077</c:v>
                </c:pt>
                <c:pt idx="4">
                  <c:v>6.0907064040166627</c:v>
                </c:pt>
                <c:pt idx="5">
                  <c:v>7.5965237369679404</c:v>
                </c:pt>
                <c:pt idx="6">
                  <c:v>8.8830503013686819</c:v>
                </c:pt>
                <c:pt idx="7">
                  <c:v>10.006541825378502</c:v>
                </c:pt>
                <c:pt idx="8">
                  <c:v>11.004047245795331</c:v>
                </c:pt>
                <c:pt idx="9">
                  <c:v>11.901265462649596</c:v>
                </c:pt>
                <c:pt idx="10">
                  <c:v>12.716754893822436</c:v>
                </c:pt>
                <c:pt idx="11">
                  <c:v>13.46435600133043</c:v>
                </c:pt>
                <c:pt idx="12">
                  <c:v>14.154666313562974</c:v>
                </c:pt>
                <c:pt idx="13">
                  <c:v>14.79598056560865</c:v>
                </c:pt>
                <c:pt idx="14">
                  <c:v>15.394913054661595</c:v>
                </c:pt>
                <c:pt idx="15">
                  <c:v>15.956822988613583</c:v>
                </c:pt>
                <c:pt idx="16">
                  <c:v>16.486113227752487</c:v>
                </c:pt>
                <c:pt idx="17">
                  <c:v>16.986445111954573</c:v>
                </c:pt>
                <c:pt idx="18">
                  <c:v>17.460896160341637</c:v>
                </c:pt>
                <c:pt idx="19">
                  <c:v>17.912077956311432</c:v>
                </c:pt>
                <c:pt idx="20">
                  <c:v>18.342225702787026</c:v>
                </c:pt>
                <c:pt idx="21">
                  <c:v>18.753267244139003</c:v>
                </c:pt>
                <c:pt idx="22">
                  <c:v>19.146876957420812</c:v>
                </c:pt>
                <c:pt idx="23">
                  <c:v>19.524518326557985</c:v>
                </c:pt>
                <c:pt idx="24">
                  <c:v>19.887477936777888</c:v>
                </c:pt>
                <c:pt idx="25">
                  <c:v>20.236892883984087</c:v>
                </c:pt>
                <c:pt idx="26">
                  <c:v>20.573773072862785</c:v>
                </c:pt>
                <c:pt idx="27">
                  <c:v>20.899019506487498</c:v>
                </c:pt>
                <c:pt idx="28">
                  <c:v>21.213439402218217</c:v>
                </c:pt>
                <c:pt idx="29">
                  <c:v>21.517758772649909</c:v>
                </c:pt>
                <c:pt idx="30">
                  <c:v>21.812632965235203</c:v>
                </c:pt>
                <c:pt idx="31">
                  <c:v>22.098655545579323</c:v>
                </c:pt>
                <c:pt idx="32">
                  <c:v>22.37636582726762</c:v>
                </c:pt>
                <c:pt idx="33">
                  <c:v>22.64625528838426</c:v>
                </c:pt>
                <c:pt idx="34">
                  <c:v>22.908773066589415</c:v>
                </c:pt>
                <c:pt idx="35">
                  <c:v>23.164330687119676</c:v>
                </c:pt>
                <c:pt idx="36">
                  <c:v>23.413306148724029</c:v>
                </c:pt>
                <c:pt idx="37">
                  <c:v>23.656047469405827</c:v>
                </c:pt>
                <c:pt idx="38">
                  <c:v>23.892875775469296</c:v>
                </c:pt>
                <c:pt idx="39">
                  <c:v>24.124088002688985</c:v>
                </c:pt>
                <c:pt idx="40">
                  <c:v>24.349959266617876</c:v>
                </c:pt>
                <c:pt idx="41">
                  <c:v>24.57074494950551</c:v>
                </c:pt>
                <c:pt idx="42">
                  <c:v>24.786682543536301</c:v>
                </c:pt>
                <c:pt idx="43">
                  <c:v>24.997993283754475</c:v>
                </c:pt>
                <c:pt idx="44">
                  <c:v>25.204883598830307</c:v>
                </c:pt>
                <c:pt idx="45">
                  <c:v>25.407546403521049</c:v>
                </c:pt>
                <c:pt idx="46">
                  <c:v>25.606162253113474</c:v>
                </c:pt>
                <c:pt idx="47">
                  <c:v>25.800900377165039</c:v>
                </c:pt>
                <c:pt idx="48">
                  <c:v>25.991919607377881</c:v>
                </c:pt>
                <c:pt idx="49">
                  <c:v>26.179369212355319</c:v>
                </c:pt>
                <c:pt idx="50">
                  <c:v>26.363389650234389</c:v>
                </c:pt>
                <c:pt idx="51">
                  <c:v>26.544113248702995</c:v>
                </c:pt>
                <c:pt idx="52">
                  <c:v>26.721664820650009</c:v>
                </c:pt>
                <c:pt idx="53">
                  <c:v>26.896162222623865</c:v>
                </c:pt>
                <c:pt idx="54">
                  <c:v>27.067716862359003</c:v>
                </c:pt>
                <c:pt idx="55">
                  <c:v>27.236434160844567</c:v>
                </c:pt>
                <c:pt idx="56">
                  <c:v>27.402413973735275</c:v>
                </c:pt>
                <c:pt idx="57">
                  <c:v>27.565750976323375</c:v>
                </c:pt>
                <c:pt idx="58">
                  <c:v>27.72653501578856</c:v>
                </c:pt>
                <c:pt idx="59">
                  <c:v>27.884851434007569</c:v>
                </c:pt>
                <c:pt idx="60">
                  <c:v>28.040781363827801</c:v>
                </c:pt>
                <c:pt idx="61">
                  <c:v>28.194402001380247</c:v>
                </c:pt>
                <c:pt idx="62">
                  <c:v>28.345786856720039</c:v>
                </c:pt>
                <c:pt idx="63">
                  <c:v>28.49500598483213</c:v>
                </c:pt>
                <c:pt idx="64">
                  <c:v>28.642126198819369</c:v>
                </c:pt>
                <c:pt idx="65">
                  <c:v>28.787211266897177</c:v>
                </c:pt>
                <c:pt idx="66">
                  <c:v>28.930322094648716</c:v>
                </c:pt>
                <c:pt idx="67">
                  <c:v>29.071516893844517</c:v>
                </c:pt>
                <c:pt idx="68">
                  <c:v>29.210851338997863</c:v>
                </c:pt>
                <c:pt idx="69">
                  <c:v>29.348378712709678</c:v>
                </c:pt>
                <c:pt idx="70">
                  <c:v>29.484150040752834</c:v>
                </c:pt>
                <c:pt idx="71">
                  <c:v>29.618214217752808</c:v>
                </c:pt>
                <c:pt idx="72">
                  <c:v>29.750618124239534</c:v>
                </c:pt>
                <c:pt idx="73">
                  <c:v>29.881406735771815</c:v>
                </c:pt>
                <c:pt idx="74">
                  <c:v>30.010623224769819</c:v>
                </c:pt>
                <c:pt idx="75">
                  <c:v>30.138309055632753</c:v>
                </c:pt>
                <c:pt idx="76">
                  <c:v>30.264504073666178</c:v>
                </c:pt>
                <c:pt idx="77">
                  <c:v>30.38924658829611</c:v>
                </c:pt>
                <c:pt idx="78">
                  <c:v>30.512573451004815</c:v>
                </c:pt>
                <c:pt idx="79">
                  <c:v>30.634520128385137</c:v>
                </c:pt>
                <c:pt idx="80">
                  <c:v>30.755120770675553</c:v>
                </c:pt>
                <c:pt idx="81">
                  <c:v>30.874408276107474</c:v>
                </c:pt>
                <c:pt idx="82">
                  <c:v>30.992414351368105</c:v>
                </c:pt>
                <c:pt idx="83">
                  <c:v>31.109169568456913</c:v>
                </c:pt>
                <c:pt idx="84">
                  <c:v>31.224703418190739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'50 кГЦ новый для ХК.01'!$AE$9:$AE$41</c:f>
              <c:numCache>
                <c:formatCode>General</c:formatCode>
                <c:ptCount val="33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</c:numCache>
            </c:numRef>
          </c:xVal>
          <c:yVal>
            <c:numRef>
              <c:f>'50 кГЦ новый для ХК.01'!$AI$9:$AI$41</c:f>
              <c:numCache>
                <c:formatCode>0.00</c:formatCode>
                <c:ptCount val="33"/>
                <c:pt idx="0">
                  <c:v>28.835131307653736</c:v>
                </c:pt>
                <c:pt idx="1">
                  <c:v>29.924651497162923</c:v>
                </c:pt>
                <c:pt idx="2">
                  <c:v>30.913884483109552</c:v>
                </c:pt>
                <c:pt idx="3">
                  <c:v>31.82138868337476</c:v>
                </c:pt>
                <c:pt idx="4">
                  <c:v>32.661004559975112</c:v>
                </c:pt>
                <c:pt idx="5">
                  <c:v>33.443329641300011</c:v>
                </c:pt>
                <c:pt idx="6">
                  <c:v>34.176658662438058</c:v>
                </c:pt>
                <c:pt idx="7">
                  <c:v>34.867605920583365</c:v>
                </c:pt>
                <c:pt idx="8">
                  <c:v>35.521530623627712</c:v>
                </c:pt>
                <c:pt idx="9">
                  <c:v>36.142835631858986</c:v>
                </c:pt>
                <c:pt idx="10">
                  <c:v>36.735182285153435</c:v>
                </c:pt>
                <c:pt idx="11">
                  <c:v>37.301648102632861</c:v>
                </c:pt>
                <c:pt idx="12">
                  <c:v>37.844844667695014</c:v>
                </c:pt>
                <c:pt idx="13">
                  <c:v>38.367007183262977</c:v>
                </c:pt>
                <c:pt idx="14">
                  <c:v>38.87006349370732</c:v>
                </c:pt>
                <c:pt idx="15">
                  <c:v>39.355687976081484</c:v>
                </c:pt>
                <c:pt idx="16">
                  <c:v>39.825344114311022</c:v>
                </c:pt>
                <c:pt idx="17">
                  <c:v>40.280318493623291</c:v>
                </c:pt>
                <c:pt idx="18">
                  <c:v>40.721748209921849</c:v>
                </c:pt>
                <c:pt idx="19">
                  <c:v>41.150643167892916</c:v>
                </c:pt>
                <c:pt idx="20">
                  <c:v>41.567904370609988</c:v>
                </c:pt>
                <c:pt idx="21">
                  <c:v>41.974339035433069</c:v>
                </c:pt>
                <c:pt idx="22">
                  <c:v>42.370673174957126</c:v>
                </c:pt>
                <c:pt idx="23">
                  <c:v>42.757562136634782</c:v>
                </c:pt>
                <c:pt idx="24">
                  <c:v>43.135599486071264</c:v>
                </c:pt>
                <c:pt idx="25">
                  <c:v>43.50532453685193</c:v>
                </c:pt>
                <c:pt idx="26">
                  <c:v>43.867228767060929</c:v>
                </c:pt>
                <c:pt idx="27">
                  <c:v>44.221761314358446</c:v>
                </c:pt>
                <c:pt idx="28">
                  <c:v>44.569333703981073</c:v>
                </c:pt>
                <c:pt idx="29">
                  <c:v>44.910323934677791</c:v>
                </c:pt>
                <c:pt idx="30">
                  <c:v>45.245080024451951</c:v>
                </c:pt>
                <c:pt idx="31">
                  <c:v>45.573923099607782</c:v>
                </c:pt>
                <c:pt idx="32">
                  <c:v>45.897150095919841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'50 кГЦ новый для ХК.01'!$AV$6:$AV$57</c:f>
              <c:numCache>
                <c:formatCode>General</c:formatCode>
                <c:ptCount val="52"/>
                <c:pt idx="0">
                  <c:v>104</c:v>
                </c:pt>
                <c:pt idx="1">
                  <c:v>131</c:v>
                </c:pt>
                <c:pt idx="2">
                  <c:v>158</c:v>
                </c:pt>
                <c:pt idx="3">
                  <c:v>185</c:v>
                </c:pt>
                <c:pt idx="4">
                  <c:v>212</c:v>
                </c:pt>
                <c:pt idx="5">
                  <c:v>239</c:v>
                </c:pt>
                <c:pt idx="6">
                  <c:v>266</c:v>
                </c:pt>
                <c:pt idx="7">
                  <c:v>293</c:v>
                </c:pt>
                <c:pt idx="8">
                  <c:v>320</c:v>
                </c:pt>
                <c:pt idx="9">
                  <c:v>347</c:v>
                </c:pt>
                <c:pt idx="10">
                  <c:v>374</c:v>
                </c:pt>
                <c:pt idx="11">
                  <c:v>401</c:v>
                </c:pt>
                <c:pt idx="12">
                  <c:v>428</c:v>
                </c:pt>
                <c:pt idx="13">
                  <c:v>455</c:v>
                </c:pt>
                <c:pt idx="14">
                  <c:v>482</c:v>
                </c:pt>
                <c:pt idx="15">
                  <c:v>509</c:v>
                </c:pt>
                <c:pt idx="16">
                  <c:v>536</c:v>
                </c:pt>
                <c:pt idx="17">
                  <c:v>563</c:v>
                </c:pt>
                <c:pt idx="18">
                  <c:v>590</c:v>
                </c:pt>
                <c:pt idx="19">
                  <c:v>617</c:v>
                </c:pt>
                <c:pt idx="20">
                  <c:v>644</c:v>
                </c:pt>
                <c:pt idx="21">
                  <c:v>671</c:v>
                </c:pt>
                <c:pt idx="22">
                  <c:v>698</c:v>
                </c:pt>
                <c:pt idx="23">
                  <c:v>725</c:v>
                </c:pt>
                <c:pt idx="24">
                  <c:v>752</c:v>
                </c:pt>
                <c:pt idx="25">
                  <c:v>779</c:v>
                </c:pt>
                <c:pt idx="26">
                  <c:v>806</c:v>
                </c:pt>
                <c:pt idx="27">
                  <c:v>833</c:v>
                </c:pt>
                <c:pt idx="28">
                  <c:v>860</c:v>
                </c:pt>
                <c:pt idx="29">
                  <c:v>887</c:v>
                </c:pt>
                <c:pt idx="30">
                  <c:v>914</c:v>
                </c:pt>
                <c:pt idx="31">
                  <c:v>941</c:v>
                </c:pt>
                <c:pt idx="32">
                  <c:v>968</c:v>
                </c:pt>
                <c:pt idx="33">
                  <c:v>995</c:v>
                </c:pt>
                <c:pt idx="34">
                  <c:v>1022</c:v>
                </c:pt>
                <c:pt idx="35">
                  <c:v>1049</c:v>
                </c:pt>
                <c:pt idx="36">
                  <c:v>1076</c:v>
                </c:pt>
                <c:pt idx="37">
                  <c:v>1103</c:v>
                </c:pt>
                <c:pt idx="38">
                  <c:v>1130</c:v>
                </c:pt>
                <c:pt idx="39">
                  <c:v>1157</c:v>
                </c:pt>
                <c:pt idx="40">
                  <c:v>1184</c:v>
                </c:pt>
                <c:pt idx="41">
                  <c:v>1211</c:v>
                </c:pt>
                <c:pt idx="42">
                  <c:v>1238</c:v>
                </c:pt>
                <c:pt idx="43">
                  <c:v>1265</c:v>
                </c:pt>
                <c:pt idx="44">
                  <c:v>1292</c:v>
                </c:pt>
                <c:pt idx="45">
                  <c:v>1319</c:v>
                </c:pt>
                <c:pt idx="46">
                  <c:v>1346</c:v>
                </c:pt>
                <c:pt idx="47">
                  <c:v>1373</c:v>
                </c:pt>
                <c:pt idx="48">
                  <c:v>1400</c:v>
                </c:pt>
                <c:pt idx="49">
                  <c:v>1427</c:v>
                </c:pt>
                <c:pt idx="50">
                  <c:v>1454</c:v>
                </c:pt>
                <c:pt idx="51">
                  <c:v>1481</c:v>
                </c:pt>
              </c:numCache>
            </c:numRef>
          </c:xVal>
          <c:yVal>
            <c:numRef>
              <c:f>'50 кГЦ новый для ХК.01'!$AZ$6:$AZ$57</c:f>
              <c:numCache>
                <c:formatCode>General</c:formatCode>
                <c:ptCount val="52"/>
                <c:pt idx="0">
                  <c:v>43.986204304301609</c:v>
                </c:pt>
                <c:pt idx="1">
                  <c:v>46.937401056391316</c:v>
                </c:pt>
                <c:pt idx="2">
                  <c:v>49.5115545073145</c:v>
                </c:pt>
                <c:pt idx="3">
                  <c:v>51.828284961236335</c:v>
                </c:pt>
                <c:pt idx="4">
                  <c:v>53.958005236701105</c:v>
                </c:pt>
                <c:pt idx="5">
                  <c:v>55.945683662038853</c:v>
                </c:pt>
                <c:pt idx="6">
                  <c:v>57.821796000647467</c:v>
                </c:pt>
                <c:pt idx="7">
                  <c:v>59.607953300058334</c:v>
                </c:pt>
                <c:pt idx="8">
                  <c:v>61.320038084324281</c:v>
                </c:pt>
                <c:pt idx="9">
                  <c:v>62.970065638693654</c:v>
                </c:pt>
                <c:pt idx="10">
                  <c:v>64.567345811835807</c:v>
                </c:pt>
                <c:pt idx="11">
                  <c:v>66.119238845179865</c:v>
                </c:pt>
                <c:pt idx="12">
                  <c:v>67.631664397989695</c:v>
                </c:pt>
                <c:pt idx="13">
                  <c:v>69.109454575818518</c:v>
                </c:pt>
                <c:pt idx="14">
                  <c:v>70.556605032403283</c:v>
                </c:pt>
                <c:pt idx="15">
                  <c:v>71.976457539311482</c:v>
                </c:pt>
                <c:pt idx="16">
                  <c:v>73.37183531138173</c:v>
                </c:pt>
                <c:pt idx="17">
                  <c:v>74.745145039503271</c:v>
                </c:pt>
                <c:pt idx="18">
                  <c:v>76.098455000269254</c:v>
                </c:pt>
                <c:pt idx="19">
                  <c:v>77.433555673041212</c:v>
                </c:pt>
                <c:pt idx="20">
                  <c:v>78.752007364522655</c:v>
                </c:pt>
                <c:pt idx="21">
                  <c:v>80.055178045656277</c:v>
                </c:pt>
                <c:pt idx="22">
                  <c:v>81.344273719689667</c:v>
                </c:pt>
                <c:pt idx="23">
                  <c:v>82.62036302359634</c:v>
                </c:pt>
                <c:pt idx="24">
                  <c:v>83.884397328959324</c:v>
                </c:pt>
                <c:pt idx="25">
                  <c:v>85.137227295527794</c:v>
                </c:pt>
                <c:pt idx="26">
                  <c:v>86.379616603128341</c:v>
                </c:pt>
                <c:pt idx="27">
                  <c:v>87.612253420112296</c:v>
                </c:pt>
                <c:pt idx="28">
                  <c:v>88.835760041797926</c:v>
                </c:pt>
                <c:pt idx="29">
                  <c:v>90.050701038511107</c:v>
                </c:pt>
                <c:pt idx="30">
                  <c:v>91.257590181503232</c:v>
                </c:pt>
                <c:pt idx="31">
                  <c:v>92.456896360321764</c:v>
                </c:pt>
                <c:pt idx="32">
                  <c:v>93.649048662894529</c:v>
                </c:pt>
                <c:pt idx="33">
                  <c:v>94.834440756591178</c:v>
                </c:pt>
                <c:pt idx="34">
                  <c:v>96.013434682600575</c:v>
                </c:pt>
                <c:pt idx="35">
                  <c:v>97.186364155447862</c:v>
                </c:pt>
                <c:pt idx="36">
                  <c:v>98.353537443134144</c:v>
                </c:pt>
                <c:pt idx="37">
                  <c:v>99.515239890280554</c:v>
                </c:pt>
                <c:pt idx="38">
                  <c:v>100.67173613609515</c:v>
                </c:pt>
                <c:pt idx="39">
                  <c:v>101.82327207041178</c:v>
                </c:pt>
                <c:pt idx="40">
                  <c:v>102.97007656406483</c:v>
                </c:pt>
                <c:pt idx="41">
                  <c:v>104.11236300413788</c:v>
                </c:pt>
                <c:pt idx="42">
                  <c:v>105.25033065990883</c:v>
                </c:pt>
                <c:pt idx="43">
                  <c:v>106.38416590141361</c:v>
                </c:pt>
                <c:pt idx="44">
                  <c:v>107.5140432893082</c:v>
                </c:pt>
                <c:pt idx="45">
                  <c:v>108.64012655200422</c:v>
                </c:pt>
                <c:pt idx="46">
                  <c:v>109.76256946378609</c:v>
                </c:pt>
                <c:pt idx="47">
                  <c:v>110.88151663571205</c:v>
                </c:pt>
                <c:pt idx="48">
                  <c:v>111.99710422949173</c:v>
                </c:pt>
                <c:pt idx="49">
                  <c:v>113.10946060316994</c:v>
                </c:pt>
                <c:pt idx="50">
                  <c:v>114.21870689628739</c:v>
                </c:pt>
                <c:pt idx="51">
                  <c:v>115.32495756120122</c:v>
                </c:pt>
              </c:numCache>
            </c:numRef>
          </c:yVal>
          <c:smooth val="1"/>
        </c:ser>
        <c:axId val="49234304"/>
        <c:axId val="49235840"/>
      </c:scatterChart>
      <c:valAx>
        <c:axId val="49234304"/>
        <c:scaling>
          <c:orientation val="minMax"/>
        </c:scaling>
        <c:axPos val="b"/>
        <c:numFmt formatCode="General" sourceLinked="1"/>
        <c:tickLblPos val="nextTo"/>
        <c:crossAx val="49235840"/>
        <c:crosses val="autoZero"/>
        <c:crossBetween val="midCat"/>
      </c:valAx>
      <c:valAx>
        <c:axId val="49235840"/>
        <c:scaling>
          <c:orientation val="minMax"/>
        </c:scaling>
        <c:axPos val="l"/>
        <c:majorGridlines/>
        <c:numFmt formatCode="0.00" sourceLinked="1"/>
        <c:tickLblPos val="nextTo"/>
        <c:crossAx val="49234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УС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СГ'!$M$4:$M$75</c:f>
              <c:numCache>
                <c:formatCode>General</c:formatCode>
                <c:ptCount val="72"/>
                <c:pt idx="0">
                  <c:v>12.649824000000001</c:v>
                </c:pt>
                <c:pt idx="1">
                  <c:v>16.753392000000002</c:v>
                </c:pt>
                <c:pt idx="2">
                  <c:v>21.7728</c:v>
                </c:pt>
                <c:pt idx="3">
                  <c:v>26.46</c:v>
                </c:pt>
                <c:pt idx="4">
                  <c:v>31.6008</c:v>
                </c:pt>
                <c:pt idx="5">
                  <c:v>38.102400000000003</c:v>
                </c:pt>
                <c:pt idx="6">
                  <c:v>43.74</c:v>
                </c:pt>
                <c:pt idx="7">
                  <c:v>50.803200000000004</c:v>
                </c:pt>
                <c:pt idx="8">
                  <c:v>57.283200000000001</c:v>
                </c:pt>
                <c:pt idx="9">
                  <c:v>64.152000000000015</c:v>
                </c:pt>
                <c:pt idx="10">
                  <c:v>72.662400000000005</c:v>
                </c:pt>
                <c:pt idx="11">
                  <c:v>80.373599999999996</c:v>
                </c:pt>
                <c:pt idx="12">
                  <c:v>89.856000000000009</c:v>
                </c:pt>
                <c:pt idx="13">
                  <c:v>102.83760000000002</c:v>
                </c:pt>
                <c:pt idx="14">
                  <c:v>111.97440000000002</c:v>
                </c:pt>
                <c:pt idx="15">
                  <c:v>121.50000000000001</c:v>
                </c:pt>
                <c:pt idx="16">
                  <c:v>136.46879999999999</c:v>
                </c:pt>
                <c:pt idx="17">
                  <c:v>156.06</c:v>
                </c:pt>
                <c:pt idx="18">
                  <c:v>174.96</c:v>
                </c:pt>
                <c:pt idx="19">
                  <c:v>180.79200000000003</c:v>
                </c:pt>
                <c:pt idx="20">
                  <c:v>190.83600000000004</c:v>
                </c:pt>
                <c:pt idx="21">
                  <c:v>216</c:v>
                </c:pt>
                <c:pt idx="22">
                  <c:v>229.15440000000007</c:v>
                </c:pt>
                <c:pt idx="23">
                  <c:v>261.36</c:v>
                </c:pt>
                <c:pt idx="24">
                  <c:v>266.11199999999997</c:v>
                </c:pt>
                <c:pt idx="25">
                  <c:v>311.04000000000002</c:v>
                </c:pt>
                <c:pt idx="26">
                  <c:v>318.81600000000009</c:v>
                </c:pt>
                <c:pt idx="27">
                  <c:v>326.78640000000007</c:v>
                </c:pt>
                <c:pt idx="28">
                  <c:v>365.04</c:v>
                </c:pt>
                <c:pt idx="29">
                  <c:v>393.66</c:v>
                </c:pt>
                <c:pt idx="30">
                  <c:v>423.36</c:v>
                </c:pt>
                <c:pt idx="31">
                  <c:v>453.6</c:v>
                </c:pt>
                <c:pt idx="32">
                  <c:v>505.44000000000005</c:v>
                </c:pt>
                <c:pt idx="33">
                  <c:v>525.6576</c:v>
                </c:pt>
                <c:pt idx="34">
                  <c:v>555.98400000000004</c:v>
                </c:pt>
                <c:pt idx="35">
                  <c:v>677.16000000000008</c:v>
                </c:pt>
                <c:pt idx="36">
                  <c:v>779.7600000000001</c:v>
                </c:pt>
                <c:pt idx="37">
                  <c:v>779.7600000000001</c:v>
                </c:pt>
                <c:pt idx="38">
                  <c:v>820.80000000000007</c:v>
                </c:pt>
                <c:pt idx="39">
                  <c:v>820.80000000000007</c:v>
                </c:pt>
                <c:pt idx="40">
                  <c:v>864</c:v>
                </c:pt>
                <c:pt idx="41">
                  <c:v>950.40000000000009</c:v>
                </c:pt>
                <c:pt idx="42">
                  <c:v>1045.44</c:v>
                </c:pt>
                <c:pt idx="43">
                  <c:v>1045.44</c:v>
                </c:pt>
                <c:pt idx="44">
                  <c:v>1140.48</c:v>
                </c:pt>
                <c:pt idx="45">
                  <c:v>1244.1600000000001</c:v>
                </c:pt>
                <c:pt idx="46">
                  <c:v>1244.1600000000001</c:v>
                </c:pt>
                <c:pt idx="47">
                  <c:v>1296</c:v>
                </c:pt>
                <c:pt idx="48">
                  <c:v>1350</c:v>
                </c:pt>
                <c:pt idx="49">
                  <c:v>1404</c:v>
                </c:pt>
                <c:pt idx="50">
                  <c:v>1572.48</c:v>
                </c:pt>
                <c:pt idx="51">
                  <c:v>1693.44</c:v>
                </c:pt>
                <c:pt idx="52">
                  <c:v>1935.3600000000001</c:v>
                </c:pt>
                <c:pt idx="53">
                  <c:v>2211.84</c:v>
                </c:pt>
                <c:pt idx="54">
                  <c:v>2211.84</c:v>
                </c:pt>
                <c:pt idx="55">
                  <c:v>2626.5600000000004</c:v>
                </c:pt>
                <c:pt idx="56">
                  <c:v>2626.5600000000004</c:v>
                </c:pt>
                <c:pt idx="57">
                  <c:v>3119.0400000000004</c:v>
                </c:pt>
                <c:pt idx="58">
                  <c:v>3119.0400000000004</c:v>
                </c:pt>
                <c:pt idx="59">
                  <c:v>3119.0400000000004</c:v>
                </c:pt>
                <c:pt idx="60">
                  <c:v>3857.76</c:v>
                </c:pt>
                <c:pt idx="61">
                  <c:v>3857.76</c:v>
                </c:pt>
                <c:pt idx="62">
                  <c:v>3857.76</c:v>
                </c:pt>
                <c:pt idx="63">
                  <c:v>4771.4400000000005</c:v>
                </c:pt>
                <c:pt idx="64">
                  <c:v>4771.4400000000005</c:v>
                </c:pt>
                <c:pt idx="65">
                  <c:v>4771.4400000000005</c:v>
                </c:pt>
                <c:pt idx="66">
                  <c:v>4771.4400000000005</c:v>
                </c:pt>
                <c:pt idx="67">
                  <c:v>5685.1200000000008</c:v>
                </c:pt>
                <c:pt idx="68">
                  <c:v>5685.1200000000008</c:v>
                </c:pt>
                <c:pt idx="69">
                  <c:v>5685.1200000000008</c:v>
                </c:pt>
                <c:pt idx="70">
                  <c:v>5685.1200000000008</c:v>
                </c:pt>
                <c:pt idx="71">
                  <c:v>6773.76</c:v>
                </c:pt>
              </c:numCache>
            </c:numRef>
          </c:yVal>
          <c:smooth val="1"/>
        </c:ser>
        <c:ser>
          <c:idx val="1"/>
          <c:order val="1"/>
          <c:tx>
            <c:v>КУ 1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СГ'!$N$4:$N$75</c:f>
              <c:numCache>
                <c:formatCode>General</c:formatCode>
                <c:ptCount val="72"/>
                <c:pt idx="0">
                  <c:v>12.755734629686087</c:v>
                </c:pt>
                <c:pt idx="1">
                  <c:v>16.903657249098739</c:v>
                </c:pt>
                <c:pt idx="2">
                  <c:v>21.371815469455374</c:v>
                </c:pt>
                <c:pt idx="3">
                  <c:v>26.179559930024034</c:v>
                </c:pt>
                <c:pt idx="4">
                  <c:v>31.347292350024809</c:v>
                </c:pt>
                <c:pt idx="5">
                  <c:v>36.896519297993819</c:v>
                </c:pt>
                <c:pt idx="6">
                  <c:v>42.84990860788254</c:v>
                </c:pt>
                <c:pt idx="7">
                  <c:v>49.231348568726119</c:v>
                </c:pt>
                <c:pt idx="8">
                  <c:v>56.066010020670959</c:v>
                </c:pt>
                <c:pt idx="9">
                  <c:v>63.380411496388206</c:v>
                </c:pt>
                <c:pt idx="10">
                  <c:v>71.202487553421534</c:v>
                </c:pt>
                <c:pt idx="11">
                  <c:v>79.561660449842364</c:v>
                </c:pt>
                <c:pt idx="12">
                  <c:v>88.488915322726115</c:v>
                </c:pt>
                <c:pt idx="13">
                  <c:v>98.016879036430467</c:v>
                </c:pt>
                <c:pt idx="14">
                  <c:v>108.17990287547325</c:v>
                </c:pt>
                <c:pt idx="15">
                  <c:v>119.01414926498039</c:v>
                </c:pt>
                <c:pt idx="16">
                  <c:v>130.55768271022666</c:v>
                </c:pt>
                <c:pt idx="17">
                  <c:v>142.85056515573677</c:v>
                </c:pt>
                <c:pt idx="18">
                  <c:v>155.93495597377273</c:v>
                </c:pt>
                <c:pt idx="19">
                  <c:v>169.85521680182444</c:v>
                </c:pt>
                <c:pt idx="20">
                  <c:v>184.65802145894915</c:v>
                </c:pt>
                <c:pt idx="21">
                  <c:v>200.3924711815331</c:v>
                </c:pt>
                <c:pt idx="22">
                  <c:v>217.11021543023102</c:v>
                </c:pt>
                <c:pt idx="23">
                  <c:v>234.86557853157117</c:v>
                </c:pt>
                <c:pt idx="24">
                  <c:v>253.71569242996173</c:v>
                </c:pt>
                <c:pt idx="25">
                  <c:v>273.72063583865167</c:v>
                </c:pt>
                <c:pt idx="26">
                  <c:v>294.9435800916101</c:v>
                </c:pt>
                <c:pt idx="27">
                  <c:v>317.4509420123012</c:v>
                </c:pt>
                <c:pt idx="28">
                  <c:v>341.31254413000727</c:v>
                </c:pt>
                <c:pt idx="29">
                  <c:v>366.60178258966619</c:v>
                </c:pt>
                <c:pt idx="30">
                  <c:v>393.39580311726604</c:v>
                </c:pt>
                <c:pt idx="31">
                  <c:v>421.77568541955526</c:v>
                </c:pt>
                <c:pt idx="32">
                  <c:v>451.82663641443332</c:v>
                </c:pt>
                <c:pt idx="33">
                  <c:v>483.63819270666556</c:v>
                </c:pt>
                <c:pt idx="34">
                  <c:v>517.30443274279526</c:v>
                </c:pt>
                <c:pt idx="35">
                  <c:v>552.92419909915941</c:v>
                </c:pt>
                <c:pt idx="36">
                  <c:v>590.60133137787977</c:v>
                </c:pt>
                <c:pt idx="37">
                  <c:v>630.44491020767816</c:v>
                </c:pt>
                <c:pt idx="38">
                  <c:v>672.5695128692256</c:v>
                </c:pt>
                <c:pt idx="39">
                  <c:v>717.09548108879085</c:v>
                </c:pt>
                <c:pt idx="40">
                  <c:v>764.14920156896437</c:v>
                </c:pt>
                <c:pt idx="41">
                  <c:v>813.86339985149789</c:v>
                </c:pt>
                <c:pt idx="42">
                  <c:v>866.37744813466622</c:v>
                </c:pt>
                <c:pt idx="43">
                  <c:v>921.83768769627</c:v>
                </c:pt>
                <c:pt idx="44">
                  <c:v>980.39776660329335</c:v>
                </c:pt>
                <c:pt idx="45">
                  <c:v>1042.2189934206547</c:v>
                </c:pt>
                <c:pt idx="46">
                  <c:v>1107.4707076641273</c:v>
                </c:pt>
                <c:pt idx="47">
                  <c:v>1176.3306677768617</c:v>
                </c:pt>
                <c:pt idx="48">
                  <c:v>1248.9854574446588</c:v>
                </c:pt>
                <c:pt idx="49">
                  <c:v>1325.6309111026385</c:v>
                </c:pt>
                <c:pt idx="50">
                  <c:v>1406.4725595249934</c:v>
                </c:pt>
                <c:pt idx="51">
                  <c:v>1491.7260964305472</c:v>
                </c:pt>
                <c:pt idx="52">
                  <c:v>1581.6178670794441</c:v>
                </c:pt>
                <c:pt idx="53">
                  <c:v>1676.3853798811529</c:v>
                </c:pt>
                <c:pt idx="54">
                  <c:v>1776.2778420805862</c:v>
                </c:pt>
                <c:pt idx="55">
                  <c:v>1881.5567206380656</c:v>
                </c:pt>
                <c:pt idx="56">
                  <c:v>1992.4963294698334</c:v>
                </c:pt>
                <c:pt idx="57">
                  <c:v>2109.3844442693444</c:v>
                </c:pt>
                <c:pt idx="58">
                  <c:v>2232.5229461852018</c:v>
                </c:pt>
                <c:pt idx="59">
                  <c:v>2362.2284956899975</c:v>
                </c:pt>
                <c:pt idx="60">
                  <c:v>2498.8332380353681</c:v>
                </c:pt>
                <c:pt idx="61">
                  <c:v>2642.6855417521097</c:v>
                </c:pt>
                <c:pt idx="62">
                  <c:v>2794.1507717209961</c:v>
                </c:pt>
                <c:pt idx="63">
                  <c:v>2953.6120984094296</c:v>
                </c:pt>
                <c:pt idx="64">
                  <c:v>3121.4713449418591</c:v>
                </c:pt>
                <c:pt idx="65">
                  <c:v>3298.1498737480292</c:v>
                </c:pt>
                <c:pt idx="66">
                  <c:v>3484.0895146124544</c:v>
                </c:pt>
                <c:pt idx="67">
                  <c:v>3679.7535360317406</c:v>
                </c:pt>
                <c:pt idx="68">
                  <c:v>3885.6276618731549</c:v>
                </c:pt>
                <c:pt idx="69">
                  <c:v>4102.2211354185256</c:v>
                </c:pt>
                <c:pt idx="70">
                  <c:v>4330.0678329725906</c:v>
                </c:pt>
                <c:pt idx="71">
                  <c:v>4569.7274293136425</c:v>
                </c:pt>
              </c:numCache>
            </c:numRef>
          </c:yVal>
          <c:smooth val="1"/>
        </c:ser>
        <c:ser>
          <c:idx val="2"/>
          <c:order val="2"/>
          <c:tx>
            <c:v>КУ Д</c:v>
          </c:tx>
          <c:marker>
            <c:symbol val="none"/>
          </c:marker>
          <c:xVal>
            <c:numRef>
              <c:f>'КУ СГ'!$B$4:$B$75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'КУ для 240 кГц '!$Z$10:$Z$95</c:f>
              <c:numCache>
                <c:formatCode>General</c:formatCode>
                <c:ptCount val="86"/>
                <c:pt idx="0">
                  <c:v>12.754368000000001</c:v>
                </c:pt>
                <c:pt idx="1">
                  <c:v>16.873919999999998</c:v>
                </c:pt>
                <c:pt idx="2">
                  <c:v>21.432600000000001</c:v>
                </c:pt>
                <c:pt idx="3">
                  <c:v>26.082000000000004</c:v>
                </c:pt>
                <c:pt idx="4">
                  <c:v>31.1904</c:v>
                </c:pt>
                <c:pt idx="5">
                  <c:v>36.873360000000005</c:v>
                </c:pt>
                <c:pt idx="6">
                  <c:v>42.724799999999995</c:v>
                </c:pt>
                <c:pt idx="7">
                  <c:v>49.420800000000007</c:v>
                </c:pt>
                <c:pt idx="8">
                  <c:v>56.181599999999996</c:v>
                </c:pt>
                <c:pt idx="9">
                  <c:v>62.985600000000012</c:v>
                </c:pt>
                <c:pt idx="10">
                  <c:v>71.409600000000012</c:v>
                </c:pt>
                <c:pt idx="11">
                  <c:v>79.055999999999997</c:v>
                </c:pt>
                <c:pt idx="12">
                  <c:v>88.473600000000019</c:v>
                </c:pt>
                <c:pt idx="13">
                  <c:v>98.28</c:v>
                </c:pt>
                <c:pt idx="14">
                  <c:v>108.864</c:v>
                </c:pt>
                <c:pt idx="15">
                  <c:v>118.1952</c:v>
                </c:pt>
                <c:pt idx="16">
                  <c:v>131.22</c:v>
                </c:pt>
                <c:pt idx="17">
                  <c:v>143.208</c:v>
                </c:pt>
                <c:pt idx="18">
                  <c:v>156.06</c:v>
                </c:pt>
                <c:pt idx="19">
                  <c:v>170.74800000000005</c:v>
                </c:pt>
                <c:pt idx="20">
                  <c:v>184.68</c:v>
                </c:pt>
                <c:pt idx="21">
                  <c:v>200.88000000000002</c:v>
                </c:pt>
                <c:pt idx="22">
                  <c:v>216</c:v>
                </c:pt>
                <c:pt idx="23">
                  <c:v>233.28000000000003</c:v>
                </c:pt>
                <c:pt idx="24">
                  <c:v>252.39600000000004</c:v>
                </c:pt>
                <c:pt idx="25">
                  <c:v>273.65040000000005</c:v>
                </c:pt>
                <c:pt idx="26">
                  <c:v>292.24800000000005</c:v>
                </c:pt>
                <c:pt idx="27">
                  <c:v>318.81600000000009</c:v>
                </c:pt>
                <c:pt idx="28">
                  <c:v>338.68799999999999</c:v>
                </c:pt>
                <c:pt idx="29">
                  <c:v>365.04</c:v>
                </c:pt>
                <c:pt idx="30">
                  <c:v>393.66</c:v>
                </c:pt>
                <c:pt idx="31">
                  <c:v>423.36</c:v>
                </c:pt>
                <c:pt idx="32">
                  <c:v>453.6</c:v>
                </c:pt>
                <c:pt idx="33">
                  <c:v>486.00000000000006</c:v>
                </c:pt>
                <c:pt idx="34">
                  <c:v>518.40000000000009</c:v>
                </c:pt>
                <c:pt idx="35">
                  <c:v>554.04000000000008</c:v>
                </c:pt>
                <c:pt idx="36">
                  <c:v>588.06000000000006</c:v>
                </c:pt>
                <c:pt idx="37">
                  <c:v>628.99199999999996</c:v>
                </c:pt>
                <c:pt idx="38">
                  <c:v>673.92000000000007</c:v>
                </c:pt>
                <c:pt idx="39">
                  <c:v>711.93600000000015</c:v>
                </c:pt>
                <c:pt idx="40">
                  <c:v>760.32</c:v>
                </c:pt>
                <c:pt idx="41">
                  <c:v>810</c:v>
                </c:pt>
                <c:pt idx="42">
                  <c:v>864</c:v>
                </c:pt>
                <c:pt idx="43">
                  <c:v>926.6400000000001</c:v>
                </c:pt>
                <c:pt idx="44">
                  <c:v>984.96</c:v>
                </c:pt>
                <c:pt idx="45">
                  <c:v>1036.8000000000002</c:v>
                </c:pt>
                <c:pt idx="46">
                  <c:v>1123.2</c:v>
                </c:pt>
                <c:pt idx="47">
                  <c:v>1149.1200000000001</c:v>
                </c:pt>
                <c:pt idx="48">
                  <c:v>1244.1600000000001</c:v>
                </c:pt>
                <c:pt idx="49">
                  <c:v>1347.8400000000001</c:v>
                </c:pt>
                <c:pt idx="50">
                  <c:v>1404</c:v>
                </c:pt>
                <c:pt idx="51">
                  <c:v>1512</c:v>
                </c:pt>
                <c:pt idx="52">
                  <c:v>1572.48</c:v>
                </c:pt>
                <c:pt idx="53">
                  <c:v>1693.44</c:v>
                </c:pt>
                <c:pt idx="54">
                  <c:v>1797.1200000000001</c:v>
                </c:pt>
                <c:pt idx="55">
                  <c:v>1805.7600000000002</c:v>
                </c:pt>
                <c:pt idx="56">
                  <c:v>1969.92</c:v>
                </c:pt>
                <c:pt idx="57">
                  <c:v>2030.4</c:v>
                </c:pt>
                <c:pt idx="58">
                  <c:v>2211.84</c:v>
                </c:pt>
                <c:pt idx="59">
                  <c:v>2436.48</c:v>
                </c:pt>
                <c:pt idx="60">
                  <c:v>2436.48</c:v>
                </c:pt>
                <c:pt idx="61">
                  <c:v>2626.5600000000004</c:v>
                </c:pt>
                <c:pt idx="62">
                  <c:v>2831.76</c:v>
                </c:pt>
                <c:pt idx="63">
                  <c:v>2980.8</c:v>
                </c:pt>
                <c:pt idx="64">
                  <c:v>3119.0400000000004</c:v>
                </c:pt>
                <c:pt idx="65">
                  <c:v>3278.88</c:v>
                </c:pt>
                <c:pt idx="66">
                  <c:v>3412.8</c:v>
                </c:pt>
                <c:pt idx="67">
                  <c:v>3726.0000000000005</c:v>
                </c:pt>
                <c:pt idx="68">
                  <c:v>3870.7200000000003</c:v>
                </c:pt>
                <c:pt idx="69">
                  <c:v>4095.36</c:v>
                </c:pt>
                <c:pt idx="70">
                  <c:v>4173.12</c:v>
                </c:pt>
                <c:pt idx="71">
                  <c:v>4596.4800000000005</c:v>
                </c:pt>
                <c:pt idx="72">
                  <c:v>4771.4400000000005</c:v>
                </c:pt>
                <c:pt idx="73">
                  <c:v>4771.4400000000005</c:v>
                </c:pt>
                <c:pt idx="74">
                  <c:v>5460.4800000000005</c:v>
                </c:pt>
                <c:pt idx="75">
                  <c:v>5663.52</c:v>
                </c:pt>
                <c:pt idx="76">
                  <c:v>5685.1200000000008</c:v>
                </c:pt>
                <c:pt idx="77">
                  <c:v>6484.3200000000006</c:v>
                </c:pt>
                <c:pt idx="78">
                  <c:v>6484.3200000000006</c:v>
                </c:pt>
                <c:pt idx="79">
                  <c:v>7004.88</c:v>
                </c:pt>
                <c:pt idx="80">
                  <c:v>7004.88</c:v>
                </c:pt>
                <c:pt idx="81">
                  <c:v>8020.0800000000008</c:v>
                </c:pt>
                <c:pt idx="82">
                  <c:v>8346.24</c:v>
                </c:pt>
                <c:pt idx="83">
                  <c:v>8346.24</c:v>
                </c:pt>
                <c:pt idx="84">
                  <c:v>9555.84</c:v>
                </c:pt>
                <c:pt idx="85">
                  <c:v>9555.84</c:v>
                </c:pt>
              </c:numCache>
            </c:numRef>
          </c:yVal>
          <c:smooth val="1"/>
        </c:ser>
        <c:axId val="51044736"/>
        <c:axId val="51046272"/>
      </c:scatterChart>
      <c:valAx>
        <c:axId val="51044736"/>
        <c:scaling>
          <c:orientation val="minMax"/>
        </c:scaling>
        <c:axPos val="b"/>
        <c:numFmt formatCode="General" sourceLinked="1"/>
        <c:tickLblPos val="nextTo"/>
        <c:crossAx val="51046272"/>
        <c:crosses val="autoZero"/>
        <c:crossBetween val="midCat"/>
      </c:valAx>
      <c:valAx>
        <c:axId val="51046272"/>
        <c:scaling>
          <c:orientation val="minMax"/>
        </c:scaling>
        <c:axPos val="l"/>
        <c:majorGridlines/>
        <c:numFmt formatCode="General" sourceLinked="1"/>
        <c:tickLblPos val="nextTo"/>
        <c:crossAx val="510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'50 кГЦ новый для ХК.01'!$P$4:$P$88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'50 кГЦ новый для ХК.01'!$W$4:$W$88</c:f>
              <c:numCache>
                <c:formatCode>0.000</c:formatCode>
                <c:ptCount val="85"/>
                <c:pt idx="0">
                  <c:v>0.50100993209453792</c:v>
                </c:pt>
                <c:pt idx="1">
                  <c:v>0.8780952593725766</c:v>
                </c:pt>
                <c:pt idx="2">
                  <c:v>1.2563216409606748</c:v>
                </c:pt>
                <c:pt idx="3">
                  <c:v>1.6356916682060703</c:v>
                </c:pt>
                <c:pt idx="4">
                  <c:v>2.0162079376879709</c:v>
                </c:pt>
                <c:pt idx="5">
                  <c:v>2.3978730512274584</c:v>
                </c:pt>
                <c:pt idx="6">
                  <c:v>2.7806896158974119</c:v>
                </c:pt>
                <c:pt idx="7">
                  <c:v>3.1646602440324454</c:v>
                </c:pt>
                <c:pt idx="8">
                  <c:v>3.5497875532388679</c:v>
                </c:pt>
                <c:pt idx="9">
                  <c:v>3.9360741664046568</c:v>
                </c:pt>
                <c:pt idx="10">
                  <c:v>4.3235227117094555</c:v>
                </c:pt>
                <c:pt idx="11">
                  <c:v>4.7121358226345862</c:v>
                </c:pt>
                <c:pt idx="12">
                  <c:v>5.1019161379730713</c:v>
                </c:pt>
                <c:pt idx="13">
                  <c:v>5.4928663018396948</c:v>
                </c:pt>
                <c:pt idx="14">
                  <c:v>5.8849889636810646</c:v>
                </c:pt>
                <c:pt idx="15">
                  <c:v>6.2782867782856924</c:v>
                </c:pt>
                <c:pt idx="16">
                  <c:v>6.6727624057941028</c:v>
                </c:pt>
                <c:pt idx="17">
                  <c:v>7.0684185117089564</c:v>
                </c:pt>
                <c:pt idx="18">
                  <c:v>7.4652577669051903</c:v>
                </c:pt>
                <c:pt idx="19">
                  <c:v>7.863282847640173</c:v>
                </c:pt>
                <c:pt idx="20">
                  <c:v>8.2624964355638664</c:v>
                </c:pt>
                <c:pt idx="21">
                  <c:v>8.6629012177290683</c:v>
                </c:pt>
                <c:pt idx="22">
                  <c:v>9.0644998866015829</c:v>
                </c:pt>
                <c:pt idx="23">
                  <c:v>9.4672951400704495</c:v>
                </c:pt>
                <c:pt idx="24">
                  <c:v>9.8712896814582454</c:v>
                </c:pt>
                <c:pt idx="25">
                  <c:v>10.276486219531302</c:v>
                </c:pt>
                <c:pt idx="26">
                  <c:v>10.682887468510003</c:v>
                </c:pt>
                <c:pt idx="27">
                  <c:v>11.090496148079124</c:v>
                </c:pt>
                <c:pt idx="28">
                  <c:v>11.499314983398145</c:v>
                </c:pt>
                <c:pt idx="29">
                  <c:v>11.909346705111545</c:v>
                </c:pt>
                <c:pt idx="30">
                  <c:v>12.320594049359229</c:v>
                </c:pt>
                <c:pt idx="31">
                  <c:v>12.733059757786917</c:v>
                </c:pt>
                <c:pt idx="32">
                  <c:v>13.14674657755647</c:v>
                </c:pt>
                <c:pt idx="33">
                  <c:v>13.561657261356387</c:v>
                </c:pt>
                <c:pt idx="34">
                  <c:v>13.977794567412202</c:v>
                </c:pt>
                <c:pt idx="35">
                  <c:v>14.395161259496955</c:v>
                </c:pt>
                <c:pt idx="36">
                  <c:v>14.81376010694167</c:v>
                </c:pt>
                <c:pt idx="37">
                  <c:v>15.233593884645856</c:v>
                </c:pt>
                <c:pt idx="38">
                  <c:v>15.654665373087994</c:v>
                </c:pt>
                <c:pt idx="39">
                  <c:v>16.076977358336098</c:v>
                </c:pt>
                <c:pt idx="40">
                  <c:v>16.500532632058277</c:v>
                </c:pt>
                <c:pt idx="41">
                  <c:v>16.925333991533279</c:v>
                </c:pt>
                <c:pt idx="42">
                  <c:v>17.351384239661094</c:v>
                </c:pt>
                <c:pt idx="43">
                  <c:v>17.778686184973562</c:v>
                </c:pt>
                <c:pt idx="44">
                  <c:v>18.207242641645031</c:v>
                </c:pt>
                <c:pt idx="45">
                  <c:v>18.637056429502938</c:v>
                </c:pt>
                <c:pt idx="46">
                  <c:v>19.068130374038574</c:v>
                </c:pt>
                <c:pt idx="47">
                  <c:v>19.500467306417661</c:v>
                </c:pt>
                <c:pt idx="48">
                  <c:v>19.93407006349117</c:v>
                </c:pt>
                <c:pt idx="49">
                  <c:v>20.368941487805987</c:v>
                </c:pt>
                <c:pt idx="50">
                  <c:v>20.805084427615625</c:v>
                </c:pt>
                <c:pt idx="51">
                  <c:v>21.242501736891054</c:v>
                </c:pt>
                <c:pt idx="52">
                  <c:v>21.681196275331491</c:v>
                </c:pt>
                <c:pt idx="53">
                  <c:v>22.121170908375142</c:v>
                </c:pt>
                <c:pt idx="54">
                  <c:v>22.562428507210083</c:v>
                </c:pt>
                <c:pt idx="55">
                  <c:v>23.004971948785073</c:v>
                </c:pt>
                <c:pt idx="56">
                  <c:v>23.44880411582044</c:v>
                </c:pt>
                <c:pt idx="57">
                  <c:v>23.893927896818894</c:v>
                </c:pt>
                <c:pt idx="58">
                  <c:v>24.340346186076587</c:v>
                </c:pt>
                <c:pt idx="59">
                  <c:v>24.78806188369386</c:v>
                </c:pt>
                <c:pt idx="60">
                  <c:v>25.237077895586268</c:v>
                </c:pt>
                <c:pt idx="61">
                  <c:v>25.687397133495569</c:v>
                </c:pt>
                <c:pt idx="62">
                  <c:v>26.139022515000629</c:v>
                </c:pt>
                <c:pt idx="63">
                  <c:v>26.591956963528514</c:v>
                </c:pt>
                <c:pt idx="64">
                  <c:v>27.046203408365432</c:v>
                </c:pt>
                <c:pt idx="65">
                  <c:v>27.501764784667834</c:v>
                </c:pt>
                <c:pt idx="66">
                  <c:v>27.95864403347343</c:v>
                </c:pt>
                <c:pt idx="67">
                  <c:v>28.416844101712272</c:v>
                </c:pt>
                <c:pt idx="68">
                  <c:v>28.876367942217954</c:v>
                </c:pt>
                <c:pt idx="69">
                  <c:v>29.33721851373857</c:v>
                </c:pt>
                <c:pt idx="70">
                  <c:v>29.79939878094795</c:v>
                </c:pt>
                <c:pt idx="71">
                  <c:v>30.262911714456934</c:v>
                </c:pt>
                <c:pt idx="72">
                  <c:v>30.727760290824254</c:v>
                </c:pt>
                <c:pt idx="73">
                  <c:v>31.193947492568039</c:v>
                </c:pt>
                <c:pt idx="74">
                  <c:v>31.661476308176923</c:v>
                </c:pt>
                <c:pt idx="75">
                  <c:v>32.130349732121196</c:v>
                </c:pt>
                <c:pt idx="76">
                  <c:v>32.600570764864223</c:v>
                </c:pt>
                <c:pt idx="77">
                  <c:v>33.072142412873688</c:v>
                </c:pt>
                <c:pt idx="78">
                  <c:v>33.545067688632784</c:v>
                </c:pt>
                <c:pt idx="79">
                  <c:v>34.019349610651702</c:v>
                </c:pt>
                <c:pt idx="80">
                  <c:v>34.494991203478861</c:v>
                </c:pt>
                <c:pt idx="81">
                  <c:v>34.971995497712314</c:v>
                </c:pt>
                <c:pt idx="82">
                  <c:v>35.450365530011183</c:v>
                </c:pt>
                <c:pt idx="83">
                  <c:v>35.930104343107004</c:v>
                </c:pt>
                <c:pt idx="84">
                  <c:v>36.411214985815093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'50 кГЦ новый для ХК.01'!$AE$4:$AE$89</c:f>
              <c:numCache>
                <c:formatCode>General</c:formatCode>
                <c:ptCount val="86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</c:numCache>
            </c:numRef>
          </c:xVal>
          <c:yVal>
            <c:numRef>
              <c:f>'50 кГЦ новый для ХК.01'!$AL$4:$AL$89</c:f>
              <c:numCache>
                <c:formatCode>0.000</c:formatCode>
                <c:ptCount val="86"/>
                <c:pt idx="0">
                  <c:v>10.411819311564019</c:v>
                </c:pt>
                <c:pt idx="1">
                  <c:v>13.700233268978188</c:v>
                </c:pt>
                <c:pt idx="2">
                  <c:v>17.067211836926404</c:v>
                </c:pt>
                <c:pt idx="3">
                  <c:v>20.514181047424007</c:v>
                </c:pt>
                <c:pt idx="4">
                  <c:v>24.042590015891811</c:v>
                </c:pt>
                <c:pt idx="5">
                  <c:v>27.653911291918838</c:v>
                </c:pt>
                <c:pt idx="6">
                  <c:v>31.349641215145208</c:v>
                </c:pt>
                <c:pt idx="7">
                  <c:v>35.13130027633806</c:v>
                </c:pt>
                <c:pt idx="8">
                  <c:v>39.000433483733758</c:v>
                </c:pt>
                <c:pt idx="9">
                  <c:v>42.958610734721638</c:v>
                </c:pt>
                <c:pt idx="10">
                  <c:v>47.007427192944739</c:v>
                </c:pt>
                <c:pt idx="11">
                  <c:v>51.148503670894598</c:v>
                </c:pt>
                <c:pt idx="12">
                  <c:v>55.383487018077254</c:v>
                </c:pt>
                <c:pt idx="13">
                  <c:v>59.714050514830788</c:v>
                </c:pt>
                <c:pt idx="14">
                  <c:v>64.141894271873198</c:v>
                </c:pt>
                <c:pt idx="15">
                  <c:v>68.668745635662177</c:v>
                </c:pt>
                <c:pt idx="16">
                  <c:v>73.29635959964962</c:v>
                </c:pt>
                <c:pt idx="17">
                  <c:v>78.026519221513638</c:v>
                </c:pt>
                <c:pt idx="18">
                  <c:v>82.861036046452725</c:v>
                </c:pt>
                <c:pt idx="19">
                  <c:v>87.801750536628376</c:v>
                </c:pt>
                <c:pt idx="20">
                  <c:v>92.850532506843066</c:v>
                </c:pt>
                <c:pt idx="21">
                  <c:v>98.009281566540693</c:v>
                </c:pt>
                <c:pt idx="22">
                  <c:v>103.27992756822063</c:v>
                </c:pt>
                <c:pt idx="23">
                  <c:v>108.66443106235431</c:v>
                </c:pt>
                <c:pt idx="24">
                  <c:v>114.1647837588982</c:v>
                </c:pt>
                <c:pt idx="25">
                  <c:v>119.78300899549316</c:v>
                </c:pt>
                <c:pt idx="26">
                  <c:v>125.52116221244961</c:v>
                </c:pt>
                <c:pt idx="27">
                  <c:v>131.38133143460843</c:v>
                </c:pt>
                <c:pt idx="28">
                  <c:v>137.36563776017931</c:v>
                </c:pt>
                <c:pt idx="29">
                  <c:v>143.47623585665335</c:v>
                </c:pt>
                <c:pt idx="30">
                  <c:v>149.71531446388832</c:v>
                </c:pt>
                <c:pt idx="31">
                  <c:v>156.08509690447082</c:v>
                </c:pt>
                <c:pt idx="32">
                  <c:v>162.58784160145501</c:v>
                </c:pt>
                <c:pt idx="33">
                  <c:v>169.22584260358349</c:v>
                </c:pt>
                <c:pt idx="34">
                  <c:v>176.00143011809601</c:v>
                </c:pt>
                <c:pt idx="35">
                  <c:v>182.91697105123114</c:v>
                </c:pt>
                <c:pt idx="36">
                  <c:v>189.97486955653125</c:v>
                </c:pt>
                <c:pt idx="37">
                  <c:v>197.17756759106075</c:v>
                </c:pt>
                <c:pt idx="38">
                  <c:v>204.52754547964554</c:v>
                </c:pt>
                <c:pt idx="39">
                  <c:v>212.02732248725309</c:v>
                </c:pt>
                <c:pt idx="40">
                  <c:v>219.67945739962019</c:v>
                </c:pt>
                <c:pt idx="41">
                  <c:v>227.48654911224932</c:v>
                </c:pt>
                <c:pt idx="42">
                  <c:v>235.45123722789197</c:v>
                </c:pt>
                <c:pt idx="43">
                  <c:v>243.57620266263348</c:v>
                </c:pt>
                <c:pt idx="44">
                  <c:v>251.86416826070439</c:v>
                </c:pt>
                <c:pt idx="45">
                  <c:v>260.31789941814083</c:v>
                </c:pt>
                <c:pt idx="46">
                  <c:v>268.94020471541563</c:v>
                </c:pt>
                <c:pt idx="47">
                  <c:v>277.73393655916834</c:v>
                </c:pt>
                <c:pt idx="48">
                  <c:v>286.70199183316248</c:v>
                </c:pt>
                <c:pt idx="49">
                  <c:v>295.8473125585956</c:v>
                </c:pt>
                <c:pt idx="50">
                  <c:v>305.17288656390213</c:v>
                </c:pt>
                <c:pt idx="51">
                  <c:v>314.68174816416683</c:v>
                </c:pt>
                <c:pt idx="52">
                  <c:v>324.37697885030479</c:v>
                </c:pt>
                <c:pt idx="53">
                  <c:v>334.26170798812586</c:v>
                </c:pt>
                <c:pt idx="54">
                  <c:v>344.33911352743013</c:v>
                </c:pt>
                <c:pt idx="55">
                  <c:v>354.61242272127885</c:v>
                </c:pt>
                <c:pt idx="56">
                  <c:v>365.08491285557596</c:v>
                </c:pt>
                <c:pt idx="57">
                  <c:v>375.75991198910975</c:v>
                </c:pt>
                <c:pt idx="58">
                  <c:v>386.64079970419732</c:v>
                </c:pt>
                <c:pt idx="59">
                  <c:v>397.73100786808715</c:v>
                </c:pt>
                <c:pt idx="60">
                  <c:v>409.03402140526066</c:v>
                </c:pt>
                <c:pt idx="61">
                  <c:v>420.55337908079309</c:v>
                </c:pt>
                <c:pt idx="62">
                  <c:v>432.29267429492694</c:v>
                </c:pt>
                <c:pt idx="63">
                  <c:v>444.25555588901437</c:v>
                </c:pt>
                <c:pt idx="64">
                  <c:v>456.44572896298212</c:v>
                </c:pt>
                <c:pt idx="65">
                  <c:v>468.86695570449098</c:v>
                </c:pt>
                <c:pt idx="66">
                  <c:v>481.52305622994726</c:v>
                </c:pt>
                <c:pt idx="67">
                  <c:v>494.41790943752835</c:v>
                </c:pt>
                <c:pt idx="68">
                  <c:v>507.55545387239658</c:v>
                </c:pt>
                <c:pt idx="69">
                  <c:v>520.93968860427219</c:v>
                </c:pt>
                <c:pt idx="70">
                  <c:v>534.5746741175285</c:v>
                </c:pt>
                <c:pt idx="71">
                  <c:v>548.46453321399974</c:v>
                </c:pt>
                <c:pt idx="72">
                  <c:v>562.61345192866202</c:v>
                </c:pt>
                <c:pt idx="73">
                  <c:v>577.02568045838382</c:v>
                </c:pt>
                <c:pt idx="74">
                  <c:v>591.70553410390983</c:v>
                </c:pt>
                <c:pt idx="75">
                  <c:v>606.6573942252827</c:v>
                </c:pt>
                <c:pt idx="76">
                  <c:v>621.88570921087921</c:v>
                </c:pt>
                <c:pt idx="77">
                  <c:v>637.3949954602449</c:v>
                </c:pt>
                <c:pt idx="78">
                  <c:v>653.18983838093675</c:v>
                </c:pt>
                <c:pt idx="79">
                  <c:v>669.27489339955332</c:v>
                </c:pt>
                <c:pt idx="80">
                  <c:v>685.65488698715524</c:v>
                </c:pt>
                <c:pt idx="81">
                  <c:v>702.33461769928601</c:v>
                </c:pt>
                <c:pt idx="82">
                  <c:v>719.31895723077798</c:v>
                </c:pt>
                <c:pt idx="83">
                  <c:v>736.61285148556601</c:v>
                </c:pt>
                <c:pt idx="84">
                  <c:v>754.2213216617082</c:v>
                </c:pt>
                <c:pt idx="85">
                  <c:v>772.14946535183594</c:v>
                </c:pt>
              </c:numCache>
            </c:numRef>
          </c:yVal>
          <c:smooth val="1"/>
        </c:ser>
        <c:axId val="49157248"/>
        <c:axId val="49158784"/>
      </c:scatterChart>
      <c:valAx>
        <c:axId val="49157248"/>
        <c:scaling>
          <c:orientation val="minMax"/>
        </c:scaling>
        <c:axPos val="b"/>
        <c:numFmt formatCode="General" sourceLinked="1"/>
        <c:tickLblPos val="nextTo"/>
        <c:crossAx val="49158784"/>
        <c:crosses val="autoZero"/>
        <c:crossBetween val="midCat"/>
      </c:valAx>
      <c:valAx>
        <c:axId val="49158784"/>
        <c:scaling>
          <c:orientation val="minMax"/>
        </c:scaling>
        <c:axPos val="l"/>
        <c:majorGridlines/>
        <c:numFmt formatCode="0.000" sourceLinked="1"/>
        <c:tickLblPos val="nextTo"/>
        <c:crossAx val="491572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ПР МГ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'240 кГЦ '!$P$4:$P$88</c:f>
              <c:numCache>
                <c:formatCode>General</c:formatCode>
                <c:ptCount val="85"/>
                <c:pt idx="0">
                  <c:v>0.3</c:v>
                </c:pt>
                <c:pt idx="1">
                  <c:v>0.67500000000000004</c:v>
                </c:pt>
                <c:pt idx="2">
                  <c:v>1.05</c:v>
                </c:pt>
                <c:pt idx="3">
                  <c:v>1.425</c:v>
                </c:pt>
                <c:pt idx="4">
                  <c:v>1.8</c:v>
                </c:pt>
                <c:pt idx="5">
                  <c:v>2.1749999999999998</c:v>
                </c:pt>
                <c:pt idx="6">
                  <c:v>2.5499999999999998</c:v>
                </c:pt>
                <c:pt idx="7">
                  <c:v>2.9249999999999998</c:v>
                </c:pt>
                <c:pt idx="8">
                  <c:v>3.3</c:v>
                </c:pt>
                <c:pt idx="9">
                  <c:v>3.6749999999999998</c:v>
                </c:pt>
                <c:pt idx="10">
                  <c:v>4.05</c:v>
                </c:pt>
                <c:pt idx="11">
                  <c:v>4.4249999999999998</c:v>
                </c:pt>
                <c:pt idx="12">
                  <c:v>4.8</c:v>
                </c:pt>
                <c:pt idx="13">
                  <c:v>5.1749999999999998</c:v>
                </c:pt>
                <c:pt idx="14">
                  <c:v>5.55</c:v>
                </c:pt>
                <c:pt idx="15">
                  <c:v>5.9249999999999998</c:v>
                </c:pt>
                <c:pt idx="16">
                  <c:v>6.3</c:v>
                </c:pt>
                <c:pt idx="17">
                  <c:v>6.6749999999999998</c:v>
                </c:pt>
                <c:pt idx="18">
                  <c:v>7.05</c:v>
                </c:pt>
                <c:pt idx="19">
                  <c:v>7.4249999999999998</c:v>
                </c:pt>
                <c:pt idx="20">
                  <c:v>7.8</c:v>
                </c:pt>
                <c:pt idx="21">
                  <c:v>8.1750000000000007</c:v>
                </c:pt>
                <c:pt idx="22">
                  <c:v>8.5500000000000007</c:v>
                </c:pt>
                <c:pt idx="23">
                  <c:v>8.9250000000000007</c:v>
                </c:pt>
                <c:pt idx="24">
                  <c:v>9.3000000000000007</c:v>
                </c:pt>
                <c:pt idx="25">
                  <c:v>9.6750000000000007</c:v>
                </c:pt>
                <c:pt idx="26">
                  <c:v>10.050000000000001</c:v>
                </c:pt>
                <c:pt idx="27">
                  <c:v>10.425000000000001</c:v>
                </c:pt>
                <c:pt idx="28">
                  <c:v>10.8</c:v>
                </c:pt>
                <c:pt idx="29">
                  <c:v>11.175000000000001</c:v>
                </c:pt>
                <c:pt idx="30">
                  <c:v>11.55</c:v>
                </c:pt>
                <c:pt idx="31">
                  <c:v>11.925000000000001</c:v>
                </c:pt>
                <c:pt idx="32">
                  <c:v>12.3</c:v>
                </c:pt>
                <c:pt idx="33">
                  <c:v>12.675000000000001</c:v>
                </c:pt>
                <c:pt idx="34">
                  <c:v>13.05</c:v>
                </c:pt>
                <c:pt idx="35">
                  <c:v>13.425000000000001</c:v>
                </c:pt>
                <c:pt idx="36">
                  <c:v>13.8</c:v>
                </c:pt>
                <c:pt idx="37">
                  <c:v>14.175000000000001</c:v>
                </c:pt>
                <c:pt idx="38">
                  <c:v>14.55</c:v>
                </c:pt>
                <c:pt idx="39">
                  <c:v>14.925000000000001</c:v>
                </c:pt>
                <c:pt idx="40">
                  <c:v>15.3</c:v>
                </c:pt>
                <c:pt idx="41">
                  <c:v>15.675000000000001</c:v>
                </c:pt>
                <c:pt idx="42">
                  <c:v>16.05</c:v>
                </c:pt>
                <c:pt idx="43">
                  <c:v>16.425000000000001</c:v>
                </c:pt>
                <c:pt idx="44">
                  <c:v>16.8</c:v>
                </c:pt>
                <c:pt idx="45">
                  <c:v>17.175000000000001</c:v>
                </c:pt>
                <c:pt idx="46">
                  <c:v>17.55</c:v>
                </c:pt>
                <c:pt idx="47">
                  <c:v>17.925000000000001</c:v>
                </c:pt>
                <c:pt idx="48">
                  <c:v>18.3</c:v>
                </c:pt>
                <c:pt idx="49">
                  <c:v>18.675000000000001</c:v>
                </c:pt>
                <c:pt idx="50">
                  <c:v>19.05</c:v>
                </c:pt>
                <c:pt idx="51">
                  <c:v>19.425000000000001</c:v>
                </c:pt>
                <c:pt idx="52">
                  <c:v>19.8</c:v>
                </c:pt>
                <c:pt idx="53">
                  <c:v>20.175000000000001</c:v>
                </c:pt>
                <c:pt idx="54">
                  <c:v>20.55</c:v>
                </c:pt>
                <c:pt idx="55">
                  <c:v>20.925000000000001</c:v>
                </c:pt>
                <c:pt idx="56">
                  <c:v>21.3</c:v>
                </c:pt>
                <c:pt idx="57">
                  <c:v>21.675000000000001</c:v>
                </c:pt>
                <c:pt idx="58">
                  <c:v>22.05</c:v>
                </c:pt>
                <c:pt idx="59">
                  <c:v>22.425000000000001</c:v>
                </c:pt>
                <c:pt idx="60">
                  <c:v>22.8</c:v>
                </c:pt>
                <c:pt idx="61">
                  <c:v>23.175000000000001</c:v>
                </c:pt>
                <c:pt idx="62">
                  <c:v>23.55</c:v>
                </c:pt>
                <c:pt idx="63">
                  <c:v>23.925000000000001</c:v>
                </c:pt>
                <c:pt idx="64">
                  <c:v>24.3</c:v>
                </c:pt>
                <c:pt idx="65">
                  <c:v>24.675000000000001</c:v>
                </c:pt>
                <c:pt idx="66">
                  <c:v>25.05</c:v>
                </c:pt>
                <c:pt idx="67">
                  <c:v>25.425000000000001</c:v>
                </c:pt>
                <c:pt idx="68">
                  <c:v>25.8</c:v>
                </c:pt>
                <c:pt idx="69">
                  <c:v>26.175000000000001</c:v>
                </c:pt>
                <c:pt idx="70">
                  <c:v>26.55</c:v>
                </c:pt>
                <c:pt idx="71">
                  <c:v>26.925000000000001</c:v>
                </c:pt>
                <c:pt idx="72">
                  <c:v>27.3</c:v>
                </c:pt>
                <c:pt idx="73">
                  <c:v>27.675000000000001</c:v>
                </c:pt>
                <c:pt idx="74">
                  <c:v>28.05</c:v>
                </c:pt>
                <c:pt idx="75">
                  <c:v>28.425000000000001</c:v>
                </c:pt>
                <c:pt idx="76">
                  <c:v>28.8</c:v>
                </c:pt>
                <c:pt idx="77">
                  <c:v>29.175000000000001</c:v>
                </c:pt>
                <c:pt idx="78">
                  <c:v>29.55</c:v>
                </c:pt>
                <c:pt idx="79">
                  <c:v>29.925000000000001</c:v>
                </c:pt>
                <c:pt idx="80">
                  <c:v>30.3</c:v>
                </c:pt>
                <c:pt idx="81">
                  <c:v>30.675000000000001</c:v>
                </c:pt>
                <c:pt idx="82">
                  <c:v>31.05</c:v>
                </c:pt>
                <c:pt idx="83">
                  <c:v>31.425000000000001</c:v>
                </c:pt>
                <c:pt idx="84">
                  <c:v>31.8</c:v>
                </c:pt>
              </c:numCache>
            </c:numRef>
          </c:xVal>
          <c:yVal>
            <c:numRef>
              <c:f>'240 кГЦ '!$U$4:$U$88</c:f>
              <c:numCache>
                <c:formatCode>0.00</c:formatCode>
                <c:ptCount val="85"/>
                <c:pt idx="0">
                  <c:v>-10.422495201728253</c:v>
                </c:pt>
                <c:pt idx="1">
                  <c:v>-3.334995209652881</c:v>
                </c:pt>
                <c:pt idx="2">
                  <c:v>0.54656494497350394</c:v>
                </c:pt>
                <c:pt idx="3">
                  <c:v>3.2429258803134444</c:v>
                </c:pt>
                <c:pt idx="4">
                  <c:v>5.3159283253371079</c:v>
                </c:pt>
                <c:pt idx="5">
                  <c:v>7.0035130789322313</c:v>
                </c:pt>
                <c:pt idx="6">
                  <c:v>8.4289810916463335</c:v>
                </c:pt>
                <c:pt idx="7">
                  <c:v>9.664544521179339</c:v>
                </c:pt>
                <c:pt idx="8">
                  <c:v>10.756155540221224</c:v>
                </c:pt>
                <c:pt idx="9">
                  <c:v>11.734873240915872</c:v>
                </c:pt>
                <c:pt idx="10">
                  <c:v>12.622676466653088</c:v>
                </c:pt>
                <c:pt idx="11">
                  <c:v>13.435691132884726</c:v>
                </c:pt>
                <c:pt idx="12">
                  <c:v>14.186100009567708</c:v>
                </c:pt>
                <c:pt idx="13">
                  <c:v>14.883331974483193</c:v>
                </c:pt>
                <c:pt idx="14">
                  <c:v>15.534834184205733</c:v>
                </c:pt>
                <c:pt idx="15">
                  <c:v>16.146591245243158</c:v>
                </c:pt>
                <c:pt idx="16">
                  <c:v>16.723484770520088</c:v>
                </c:pt>
                <c:pt idx="17">
                  <c:v>17.26954881202883</c:v>
                </c:pt>
                <c:pt idx="18">
                  <c:v>17.788155380972668</c:v>
                </c:pt>
                <c:pt idx="19">
                  <c:v>18.282151830777817</c:v>
                </c:pt>
                <c:pt idx="20">
                  <c:v>18.753964354650549</c:v>
                </c:pt>
                <c:pt idx="21">
                  <c:v>19.205677157335536</c:v>
                </c:pt>
                <c:pt idx="22">
                  <c:v>19.63909385510064</c:v>
                </c:pt>
                <c:pt idx="23">
                  <c:v>20.055785686069925</c:v>
                </c:pt>
                <c:pt idx="24">
                  <c:v>20.457129791312134</c:v>
                </c:pt>
                <c:pt idx="25">
                  <c:v>20.844339923900534</c:v>
                </c:pt>
                <c:pt idx="26">
                  <c:v>21.218491315059833</c:v>
                </c:pt>
                <c:pt idx="27">
                  <c:v>21.580540982693698</c:v>
                </c:pt>
                <c:pt idx="28">
                  <c:v>21.931344449364911</c:v>
                </c:pt>
                <c:pt idx="29">
                  <c:v>22.271669605553523</c:v>
                </c:pt>
                <c:pt idx="30">
                  <c:v>22.602208283885428</c:v>
                </c:pt>
                <c:pt idx="31">
                  <c:v>22.923585983413318</c:v>
                </c:pt>
                <c:pt idx="32">
                  <c:v>23.236370087806367</c:v>
                </c:pt>
                <c:pt idx="33">
                  <c:v>23.541076848974001</c:v>
                </c:pt>
                <c:pt idx="34">
                  <c:v>23.838177352200645</c:v>
                </c:pt>
                <c:pt idx="35">
                  <c:v>24.12810263599464</c:v>
                </c:pt>
                <c:pt idx="36">
                  <c:v>24.411248106435629</c:v>
                </c:pt>
                <c:pt idx="37">
                  <c:v>24.687977359557902</c:v>
                </c:pt>
                <c:pt idx="38">
                  <c:v>24.958625504545665</c:v>
                </c:pt>
                <c:pt idx="39">
                  <c:v>25.223502063983396</c:v>
                </c:pt>
                <c:pt idx="40">
                  <c:v>25.482893514155364</c:v>
                </c:pt>
                <c:pt idx="41">
                  <c:v>25.73706551770659</c:v>
                </c:pt>
                <c:pt idx="42">
                  <c:v>25.986264892317447</c:v>
                </c:pt>
                <c:pt idx="43">
                  <c:v>26.230721351984119</c:v>
                </c:pt>
                <c:pt idx="44">
                  <c:v>26.470649051713131</c:v>
                </c:pt>
                <c:pt idx="45">
                  <c:v>26.706247961675754</c:v>
                </c:pt>
                <c:pt idx="46">
                  <c:v>26.937705092928972</c:v>
                </c:pt>
                <c:pt idx="47">
                  <c:v>27.165195593537</c:v>
                </c:pt>
                <c:pt idx="48">
                  <c:v>27.388883731196955</c:v>
                </c:pt>
                <c:pt idx="49">
                  <c:v>27.608923776185215</c:v>
                </c:pt>
                <c:pt idx="50">
                  <c:v>27.825460796517373</c:v>
                </c:pt>
                <c:pt idx="51">
                  <c:v>28.038631375591766</c:v>
                </c:pt>
                <c:pt idx="52">
                  <c:v>28.248564261211474</c:v>
                </c:pt>
                <c:pt idx="53">
                  <c:v>28.455380953711131</c:v>
                </c:pt>
                <c:pt idx="54">
                  <c:v>28.659196239918856</c:v>
                </c:pt>
                <c:pt idx="55">
                  <c:v>28.860118678831171</c:v>
                </c:pt>
                <c:pt idx="56">
                  <c:v>29.058251044148097</c:v>
                </c:pt>
                <c:pt idx="57">
                  <c:v>29.25369072818642</c:v>
                </c:pt>
                <c:pt idx="58">
                  <c:v>29.446530111146732</c:v>
                </c:pt>
                <c:pt idx="59">
                  <c:v>29.6368568992403</c:v>
                </c:pt>
                <c:pt idx="60">
                  <c:v>29.824754434774903</c:v>
                </c:pt>
                <c:pt idx="61">
                  <c:v>30.010301980944647</c:v>
                </c:pt>
                <c:pt idx="62">
                  <c:v>30.193574983760371</c:v>
                </c:pt>
                <c:pt idx="63">
                  <c:v>30.374645313287818</c:v>
                </c:pt>
                <c:pt idx="64">
                  <c:v>30.55358148612456</c:v>
                </c:pt>
                <c:pt idx="65">
                  <c:v>30.730448870839925</c:v>
                </c:pt>
                <c:pt idx="66">
                  <c:v>30.905309877919851</c:v>
                </c:pt>
                <c:pt idx="67">
                  <c:v>31.07822413559833</c:v>
                </c:pt>
                <c:pt idx="68">
                  <c:v>31.24924865281541</c:v>
                </c:pt>
                <c:pt idx="69">
                  <c:v>31.418437970416527</c:v>
                </c:pt>
                <c:pt idx="70">
                  <c:v>31.585844301596808</c:v>
                </c:pt>
                <c:pt idx="71">
                  <c:v>31.751517662495555</c:v>
                </c:pt>
                <c:pt idx="72">
                  <c:v>31.915505993758416</c:v>
                </c:pt>
                <c:pt idx="73">
                  <c:v>32.077855273806627</c:v>
                </c:pt>
                <c:pt idx="74">
                  <c:v>32.238609624483139</c:v>
                </c:pt>
                <c:pt idx="75">
                  <c:v>32.397811409683108</c:v>
                </c:pt>
                <c:pt idx="76">
                  <c:v>32.555501327520396</c:v>
                </c:pt>
                <c:pt idx="77">
                  <c:v>32.711718496532065</c:v>
                </c:pt>
                <c:pt idx="78">
                  <c:v>32.866500536377508</c:v>
                </c:pt>
                <c:pt idx="79">
                  <c:v>33.01988364344912</c:v>
                </c:pt>
                <c:pt idx="80">
                  <c:v>33.171902661774368</c:v>
                </c:pt>
                <c:pt idx="81">
                  <c:v>33.322591149557233</c:v>
                </c:pt>
                <c:pt idx="82">
                  <c:v>33.471981441676498</c:v>
                </c:pt>
                <c:pt idx="83">
                  <c:v>33.62010470843255</c:v>
                </c:pt>
                <c:pt idx="84">
                  <c:v>33.76699101080942</c:v>
                </c:pt>
              </c:numCache>
            </c:numRef>
          </c:yVal>
          <c:smooth val="1"/>
        </c:ser>
        <c:ser>
          <c:idx val="1"/>
          <c:order val="1"/>
          <c:tx>
            <c:v>ПР СГ</c:v>
          </c:tx>
          <c:marker>
            <c:symbol val="none"/>
          </c:marke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'240 кГЦ '!$AF$9:$AF$41</c:f>
              <c:numCache>
                <c:formatCode>General</c:formatCode>
                <c:ptCount val="33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</c:numCache>
            </c:numRef>
          </c:xVal>
          <c:yVal>
            <c:numRef>
              <c:f>'240 кГЦ '!$AJ$9:$AJ$41</c:f>
              <c:numCache>
                <c:formatCode>0.00</c:formatCode>
                <c:ptCount val="33"/>
                <c:pt idx="0">
                  <c:v>31.339707962219499</c:v>
                </c:pt>
                <c:pt idx="1">
                  <c:v>32.638997999567238</c:v>
                </c:pt>
                <c:pt idx="2">
                  <c:v>33.844834646771211</c:v>
                </c:pt>
                <c:pt idx="3">
                  <c:v>34.973993006163582</c:v>
                </c:pt>
                <c:pt idx="4">
                  <c:v>36.039101090279246</c:v>
                </c:pt>
                <c:pt idx="5">
                  <c:v>37.049903331122735</c:v>
                </c:pt>
                <c:pt idx="6">
                  <c:v>38.014076765236751</c:v>
                </c:pt>
                <c:pt idx="7">
                  <c:v>38.937777433012329</c:v>
                </c:pt>
                <c:pt idx="8">
                  <c:v>39.826017399803334</c:v>
                </c:pt>
                <c:pt idx="9">
                  <c:v>40.682931743883714</c:v>
                </c:pt>
                <c:pt idx="10">
                  <c:v>41.511971930776916</c:v>
                </c:pt>
                <c:pt idx="11">
                  <c:v>42.316048662280778</c:v>
                </c:pt>
                <c:pt idx="12">
                  <c:v>43.097639258187947</c:v>
                </c:pt>
                <c:pt idx="13">
                  <c:v>43.858869639864949</c:v>
                </c:pt>
                <c:pt idx="14">
                  <c:v>44.60157779991755</c:v>
                </c:pt>
                <c:pt idx="15">
                  <c:v>45.327363558959306</c:v>
                </c:pt>
                <c:pt idx="16">
                  <c:v>46.0376280179823</c:v>
                </c:pt>
                <c:pt idx="17">
                  <c:v>46.733605165597396</c:v>
                </c:pt>
                <c:pt idx="18">
                  <c:v>47.416387440771601</c:v>
                </c:pt>
                <c:pt idx="19">
                  <c:v>48.08694658723919</c:v>
                </c:pt>
                <c:pt idx="20">
                  <c:v>48.746150803374036</c:v>
                </c:pt>
                <c:pt idx="21">
                  <c:v>49.394778950185923</c:v>
                </c:pt>
                <c:pt idx="22">
                  <c:v>50.033532402983745</c:v>
                </c:pt>
                <c:pt idx="23">
                  <c:v>50.663045000634582</c:v>
                </c:pt>
                <c:pt idx="24">
                  <c:v>51.283891447492493</c:v>
                </c:pt>
                <c:pt idx="25">
                  <c:v>51.896594448080428</c:v>
                </c:pt>
                <c:pt idx="26">
                  <c:v>52.501630797188156</c:v>
                </c:pt>
                <c:pt idx="27">
                  <c:v>53.099436603701719</c:v>
                </c:pt>
                <c:pt idx="28">
                  <c:v>53.690411791947007</c:v>
                </c:pt>
                <c:pt idx="29">
                  <c:v>54.274923997235874</c:v>
                </c:pt>
                <c:pt idx="30">
                  <c:v>54.853311950890834</c:v>
                </c:pt>
                <c:pt idx="31">
                  <c:v>55.425888432988053</c:v>
                </c:pt>
                <c:pt idx="32">
                  <c:v>55.992942857417383</c:v>
                </c:pt>
              </c:numCache>
            </c:numRef>
          </c:yVal>
          <c:smooth val="1"/>
        </c:ser>
        <c:ser>
          <c:idx val="2"/>
          <c:order val="2"/>
          <c:tx>
            <c:v>ПР БГ</c:v>
          </c:tx>
          <c:marker>
            <c:symbol val="none"/>
          </c:marker>
          <c:trendline>
            <c:trendlineType val="movingAvg"/>
            <c:period val="2"/>
          </c:trendline>
          <c:xVal>
            <c:numRef>
              <c:f>'240 кГЦ '!$AW$6:$AW$57</c:f>
              <c:numCache>
                <c:formatCode>General</c:formatCode>
                <c:ptCount val="52"/>
                <c:pt idx="0">
                  <c:v>104</c:v>
                </c:pt>
                <c:pt idx="1">
                  <c:v>131</c:v>
                </c:pt>
                <c:pt idx="2">
                  <c:v>158</c:v>
                </c:pt>
                <c:pt idx="3">
                  <c:v>185</c:v>
                </c:pt>
                <c:pt idx="4">
                  <c:v>212</c:v>
                </c:pt>
                <c:pt idx="5">
                  <c:v>239</c:v>
                </c:pt>
                <c:pt idx="6">
                  <c:v>266</c:v>
                </c:pt>
                <c:pt idx="7">
                  <c:v>293</c:v>
                </c:pt>
                <c:pt idx="8">
                  <c:v>320</c:v>
                </c:pt>
                <c:pt idx="9">
                  <c:v>347</c:v>
                </c:pt>
                <c:pt idx="10">
                  <c:v>374</c:v>
                </c:pt>
                <c:pt idx="11">
                  <c:v>401</c:v>
                </c:pt>
                <c:pt idx="12">
                  <c:v>428</c:v>
                </c:pt>
                <c:pt idx="13">
                  <c:v>455</c:v>
                </c:pt>
                <c:pt idx="14">
                  <c:v>482</c:v>
                </c:pt>
                <c:pt idx="15">
                  <c:v>509</c:v>
                </c:pt>
                <c:pt idx="16">
                  <c:v>536</c:v>
                </c:pt>
                <c:pt idx="17">
                  <c:v>563</c:v>
                </c:pt>
                <c:pt idx="18">
                  <c:v>590</c:v>
                </c:pt>
                <c:pt idx="19">
                  <c:v>617</c:v>
                </c:pt>
                <c:pt idx="20">
                  <c:v>644</c:v>
                </c:pt>
                <c:pt idx="21">
                  <c:v>671</c:v>
                </c:pt>
                <c:pt idx="22">
                  <c:v>698</c:v>
                </c:pt>
                <c:pt idx="23">
                  <c:v>725</c:v>
                </c:pt>
                <c:pt idx="24">
                  <c:v>752</c:v>
                </c:pt>
                <c:pt idx="25">
                  <c:v>779</c:v>
                </c:pt>
                <c:pt idx="26">
                  <c:v>806</c:v>
                </c:pt>
                <c:pt idx="27">
                  <c:v>833</c:v>
                </c:pt>
                <c:pt idx="28">
                  <c:v>860</c:v>
                </c:pt>
                <c:pt idx="29">
                  <c:v>887</c:v>
                </c:pt>
                <c:pt idx="30">
                  <c:v>914</c:v>
                </c:pt>
                <c:pt idx="31">
                  <c:v>941</c:v>
                </c:pt>
                <c:pt idx="32">
                  <c:v>968</c:v>
                </c:pt>
                <c:pt idx="33">
                  <c:v>995</c:v>
                </c:pt>
                <c:pt idx="34">
                  <c:v>1022</c:v>
                </c:pt>
                <c:pt idx="35">
                  <c:v>1049</c:v>
                </c:pt>
                <c:pt idx="36">
                  <c:v>1076</c:v>
                </c:pt>
                <c:pt idx="37">
                  <c:v>1103</c:v>
                </c:pt>
                <c:pt idx="38">
                  <c:v>1130</c:v>
                </c:pt>
                <c:pt idx="39">
                  <c:v>1157</c:v>
                </c:pt>
                <c:pt idx="40">
                  <c:v>1184</c:v>
                </c:pt>
                <c:pt idx="41">
                  <c:v>1211</c:v>
                </c:pt>
                <c:pt idx="42">
                  <c:v>1238</c:v>
                </c:pt>
                <c:pt idx="43">
                  <c:v>1265</c:v>
                </c:pt>
                <c:pt idx="44">
                  <c:v>1292</c:v>
                </c:pt>
                <c:pt idx="45">
                  <c:v>1319</c:v>
                </c:pt>
                <c:pt idx="46">
                  <c:v>1346</c:v>
                </c:pt>
                <c:pt idx="47">
                  <c:v>1373</c:v>
                </c:pt>
                <c:pt idx="48">
                  <c:v>1400</c:v>
                </c:pt>
                <c:pt idx="49">
                  <c:v>1427</c:v>
                </c:pt>
                <c:pt idx="50">
                  <c:v>1454</c:v>
                </c:pt>
                <c:pt idx="51">
                  <c:v>1481</c:v>
                </c:pt>
              </c:numCache>
            </c:numRef>
          </c:xVal>
          <c:yVal>
            <c:numRef>
              <c:f>'240 кГЦ '!$BA$6:$BA$57</c:f>
              <c:numCache>
                <c:formatCode>General</c:formatCode>
                <c:ptCount val="52"/>
                <c:pt idx="0">
                  <c:v>52.501630797188156</c:v>
                </c:pt>
                <c:pt idx="1">
                  <c:v>57.66356327339264</c:v>
                </c:pt>
                <c:pt idx="2">
                  <c:v>62.448452448430601</c:v>
                </c:pt>
                <c:pt idx="3">
                  <c:v>66.975918626467219</c:v>
                </c:pt>
                <c:pt idx="4">
                  <c:v>71.316374626046766</c:v>
                </c:pt>
                <c:pt idx="5">
                  <c:v>75.514788775499284</c:v>
                </c:pt>
                <c:pt idx="6">
                  <c:v>79.601636838222674</c:v>
                </c:pt>
                <c:pt idx="7">
                  <c:v>83.598529861748318</c:v>
                </c:pt>
                <c:pt idx="8">
                  <c:v>87.521350370129056</c:v>
                </c:pt>
                <c:pt idx="9">
                  <c:v>91.382113648613199</c:v>
                </c:pt>
                <c:pt idx="10">
                  <c:v>95.190129545870121</c:v>
                </c:pt>
                <c:pt idx="11">
                  <c:v>98.952758303328963</c:v>
                </c:pt>
                <c:pt idx="12">
                  <c:v>102.67591958025355</c:v>
                </c:pt>
                <c:pt idx="13">
                  <c:v>106.36444548219717</c:v>
                </c:pt>
                <c:pt idx="14">
                  <c:v>110.0223316628967</c:v>
                </c:pt>
                <c:pt idx="15">
                  <c:v>113.65291989391969</c:v>
                </c:pt>
                <c:pt idx="16">
                  <c:v>117.25903339010472</c:v>
                </c:pt>
                <c:pt idx="17">
                  <c:v>120.84307884234101</c:v>
                </c:pt>
                <c:pt idx="18">
                  <c:v>124.40712452722178</c:v>
                </c:pt>
                <c:pt idx="19">
                  <c:v>127.95296092410852</c:v>
                </c:pt>
                <c:pt idx="20">
                  <c:v>131.48214833970474</c:v>
                </c:pt>
                <c:pt idx="21">
                  <c:v>134.99605474495314</c:v>
                </c:pt>
                <c:pt idx="22">
                  <c:v>138.4958861431013</c:v>
                </c:pt>
                <c:pt idx="23">
                  <c:v>141.98271117112273</c:v>
                </c:pt>
                <c:pt idx="24">
                  <c:v>145.45748120060051</c:v>
                </c:pt>
                <c:pt idx="25">
                  <c:v>148.92104689128377</c:v>
                </c:pt>
                <c:pt idx="26">
                  <c:v>152.3741719229991</c:v>
                </c:pt>
                <c:pt idx="27">
                  <c:v>155.81754446409781</c:v>
                </c:pt>
                <c:pt idx="28">
                  <c:v>159.25178680989822</c:v>
                </c:pt>
                <c:pt idx="29">
                  <c:v>162.67746353072619</c:v>
                </c:pt>
                <c:pt idx="30">
                  <c:v>166.09508839783308</c:v>
                </c:pt>
                <c:pt idx="31">
                  <c:v>169.50513030076638</c:v>
                </c:pt>
                <c:pt idx="32">
                  <c:v>172.90801832745393</c:v>
                </c:pt>
                <c:pt idx="33">
                  <c:v>176.30414614526535</c:v>
                </c:pt>
                <c:pt idx="34">
                  <c:v>179.69387579538954</c:v>
                </c:pt>
                <c:pt idx="35">
                  <c:v>183.0775409923516</c:v>
                </c:pt>
                <c:pt idx="36">
                  <c:v>186.45545000415265</c:v>
                </c:pt>
                <c:pt idx="37">
                  <c:v>189.82788817541385</c:v>
                </c:pt>
                <c:pt idx="38">
                  <c:v>193.1951201453432</c:v>
                </c:pt>
                <c:pt idx="39">
                  <c:v>196.55739180377464</c:v>
                </c:pt>
                <c:pt idx="40">
                  <c:v>199.91493202154246</c:v>
                </c:pt>
                <c:pt idx="41">
                  <c:v>203.26795418573028</c:v>
                </c:pt>
                <c:pt idx="42">
                  <c:v>206.61665756561601</c:v>
                </c:pt>
                <c:pt idx="43">
                  <c:v>209.96122853123555</c:v>
                </c:pt>
                <c:pt idx="44">
                  <c:v>213.30184164324493</c:v>
                </c:pt>
                <c:pt idx="45">
                  <c:v>216.63866063005571</c:v>
                </c:pt>
                <c:pt idx="46">
                  <c:v>219.97183926595238</c:v>
                </c:pt>
                <c:pt idx="47">
                  <c:v>223.30152216199312</c:v>
                </c:pt>
                <c:pt idx="48">
                  <c:v>226.62784547988755</c:v>
                </c:pt>
                <c:pt idx="49">
                  <c:v>229.95093757768052</c:v>
                </c:pt>
                <c:pt idx="50">
                  <c:v>233.27091959491278</c:v>
                </c:pt>
                <c:pt idx="51">
                  <c:v>236.58790598394137</c:v>
                </c:pt>
              </c:numCache>
            </c:numRef>
          </c:yVal>
          <c:smooth val="1"/>
        </c:ser>
        <c:axId val="49373952"/>
        <c:axId val="49375488"/>
      </c:scatterChart>
      <c:valAx>
        <c:axId val="49373952"/>
        <c:scaling>
          <c:orientation val="minMax"/>
        </c:scaling>
        <c:axPos val="b"/>
        <c:numFmt formatCode="General" sourceLinked="1"/>
        <c:tickLblPos val="nextTo"/>
        <c:crossAx val="49375488"/>
        <c:crosses val="autoZero"/>
        <c:crossBetween val="midCat"/>
      </c:valAx>
      <c:valAx>
        <c:axId val="49375488"/>
        <c:scaling>
          <c:orientation val="minMax"/>
        </c:scaling>
        <c:axPos val="l"/>
        <c:majorGridlines/>
        <c:numFmt formatCode="0.00" sourceLinked="1"/>
        <c:tickLblPos val="nextTo"/>
        <c:crossAx val="4937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КУ МГ</c:v>
          </c:tx>
          <c:xVal>
            <c:numRef>
              <c:f>'240 кГЦ '!$P$4:$P$88</c:f>
              <c:numCache>
                <c:formatCode>General</c:formatCode>
                <c:ptCount val="85"/>
                <c:pt idx="0">
                  <c:v>0.3</c:v>
                </c:pt>
                <c:pt idx="1">
                  <c:v>0.67500000000000004</c:v>
                </c:pt>
                <c:pt idx="2">
                  <c:v>1.05</c:v>
                </c:pt>
                <c:pt idx="3">
                  <c:v>1.425</c:v>
                </c:pt>
                <c:pt idx="4">
                  <c:v>1.8</c:v>
                </c:pt>
                <c:pt idx="5">
                  <c:v>2.1749999999999998</c:v>
                </c:pt>
                <c:pt idx="6">
                  <c:v>2.5499999999999998</c:v>
                </c:pt>
                <c:pt idx="7">
                  <c:v>2.9249999999999998</c:v>
                </c:pt>
                <c:pt idx="8">
                  <c:v>3.3</c:v>
                </c:pt>
                <c:pt idx="9">
                  <c:v>3.6749999999999998</c:v>
                </c:pt>
                <c:pt idx="10">
                  <c:v>4.05</c:v>
                </c:pt>
                <c:pt idx="11">
                  <c:v>4.4249999999999998</c:v>
                </c:pt>
                <c:pt idx="12">
                  <c:v>4.8</c:v>
                </c:pt>
                <c:pt idx="13">
                  <c:v>5.1749999999999998</c:v>
                </c:pt>
                <c:pt idx="14">
                  <c:v>5.55</c:v>
                </c:pt>
                <c:pt idx="15">
                  <c:v>5.9249999999999998</c:v>
                </c:pt>
                <c:pt idx="16">
                  <c:v>6.3</c:v>
                </c:pt>
                <c:pt idx="17">
                  <c:v>6.6749999999999998</c:v>
                </c:pt>
                <c:pt idx="18">
                  <c:v>7.05</c:v>
                </c:pt>
                <c:pt idx="19">
                  <c:v>7.4249999999999998</c:v>
                </c:pt>
                <c:pt idx="20">
                  <c:v>7.8</c:v>
                </c:pt>
                <c:pt idx="21">
                  <c:v>8.1750000000000007</c:v>
                </c:pt>
                <c:pt idx="22">
                  <c:v>8.5500000000000007</c:v>
                </c:pt>
                <c:pt idx="23">
                  <c:v>8.9250000000000007</c:v>
                </c:pt>
                <c:pt idx="24">
                  <c:v>9.3000000000000007</c:v>
                </c:pt>
                <c:pt idx="25">
                  <c:v>9.6750000000000007</c:v>
                </c:pt>
                <c:pt idx="26">
                  <c:v>10.050000000000001</c:v>
                </c:pt>
                <c:pt idx="27">
                  <c:v>10.425000000000001</c:v>
                </c:pt>
                <c:pt idx="28">
                  <c:v>10.8</c:v>
                </c:pt>
                <c:pt idx="29">
                  <c:v>11.175000000000001</c:v>
                </c:pt>
                <c:pt idx="30">
                  <c:v>11.55</c:v>
                </c:pt>
                <c:pt idx="31">
                  <c:v>11.925000000000001</c:v>
                </c:pt>
                <c:pt idx="32">
                  <c:v>12.3</c:v>
                </c:pt>
                <c:pt idx="33">
                  <c:v>12.675000000000001</c:v>
                </c:pt>
                <c:pt idx="34">
                  <c:v>13.05</c:v>
                </c:pt>
                <c:pt idx="35">
                  <c:v>13.425000000000001</c:v>
                </c:pt>
                <c:pt idx="36">
                  <c:v>13.8</c:v>
                </c:pt>
                <c:pt idx="37">
                  <c:v>14.175000000000001</c:v>
                </c:pt>
                <c:pt idx="38">
                  <c:v>14.55</c:v>
                </c:pt>
                <c:pt idx="39">
                  <c:v>14.925000000000001</c:v>
                </c:pt>
                <c:pt idx="40">
                  <c:v>15.3</c:v>
                </c:pt>
                <c:pt idx="41">
                  <c:v>15.675000000000001</c:v>
                </c:pt>
                <c:pt idx="42">
                  <c:v>16.05</c:v>
                </c:pt>
                <c:pt idx="43">
                  <c:v>16.425000000000001</c:v>
                </c:pt>
                <c:pt idx="44">
                  <c:v>16.8</c:v>
                </c:pt>
                <c:pt idx="45">
                  <c:v>17.175000000000001</c:v>
                </c:pt>
                <c:pt idx="46">
                  <c:v>17.55</c:v>
                </c:pt>
                <c:pt idx="47">
                  <c:v>17.925000000000001</c:v>
                </c:pt>
                <c:pt idx="48">
                  <c:v>18.3</c:v>
                </c:pt>
                <c:pt idx="49">
                  <c:v>18.675000000000001</c:v>
                </c:pt>
                <c:pt idx="50">
                  <c:v>19.05</c:v>
                </c:pt>
                <c:pt idx="51">
                  <c:v>19.425000000000001</c:v>
                </c:pt>
                <c:pt idx="52">
                  <c:v>19.8</c:v>
                </c:pt>
                <c:pt idx="53">
                  <c:v>20.175000000000001</c:v>
                </c:pt>
                <c:pt idx="54">
                  <c:v>20.55</c:v>
                </c:pt>
                <c:pt idx="55">
                  <c:v>20.925000000000001</c:v>
                </c:pt>
                <c:pt idx="56">
                  <c:v>21.3</c:v>
                </c:pt>
                <c:pt idx="57">
                  <c:v>21.675000000000001</c:v>
                </c:pt>
                <c:pt idx="58">
                  <c:v>22.05</c:v>
                </c:pt>
                <c:pt idx="59">
                  <c:v>22.425000000000001</c:v>
                </c:pt>
                <c:pt idx="60">
                  <c:v>22.8</c:v>
                </c:pt>
                <c:pt idx="61">
                  <c:v>23.175000000000001</c:v>
                </c:pt>
                <c:pt idx="62">
                  <c:v>23.55</c:v>
                </c:pt>
                <c:pt idx="63">
                  <c:v>23.925000000000001</c:v>
                </c:pt>
                <c:pt idx="64">
                  <c:v>24.3</c:v>
                </c:pt>
                <c:pt idx="65">
                  <c:v>24.675000000000001</c:v>
                </c:pt>
                <c:pt idx="66">
                  <c:v>25.05</c:v>
                </c:pt>
                <c:pt idx="67">
                  <c:v>25.425000000000001</c:v>
                </c:pt>
                <c:pt idx="68">
                  <c:v>25.8</c:v>
                </c:pt>
                <c:pt idx="69">
                  <c:v>26.175000000000001</c:v>
                </c:pt>
                <c:pt idx="70">
                  <c:v>26.55</c:v>
                </c:pt>
                <c:pt idx="71">
                  <c:v>26.925000000000001</c:v>
                </c:pt>
                <c:pt idx="72">
                  <c:v>27.3</c:v>
                </c:pt>
                <c:pt idx="73">
                  <c:v>27.675000000000001</c:v>
                </c:pt>
                <c:pt idx="74">
                  <c:v>28.05</c:v>
                </c:pt>
                <c:pt idx="75">
                  <c:v>28.425000000000001</c:v>
                </c:pt>
                <c:pt idx="76">
                  <c:v>28.8</c:v>
                </c:pt>
                <c:pt idx="77">
                  <c:v>29.175000000000001</c:v>
                </c:pt>
                <c:pt idx="78">
                  <c:v>29.55</c:v>
                </c:pt>
                <c:pt idx="79">
                  <c:v>29.925000000000001</c:v>
                </c:pt>
                <c:pt idx="80">
                  <c:v>30.3</c:v>
                </c:pt>
                <c:pt idx="81">
                  <c:v>30.675000000000001</c:v>
                </c:pt>
                <c:pt idx="82">
                  <c:v>31.05</c:v>
                </c:pt>
                <c:pt idx="83">
                  <c:v>31.425000000000001</c:v>
                </c:pt>
                <c:pt idx="84">
                  <c:v>31.8</c:v>
                </c:pt>
              </c:numCache>
            </c:numRef>
          </c:xVal>
          <c:yVal>
            <c:numRef>
              <c:f>'240 кГЦ '!$Y$4:$Y$88</c:f>
              <c:numCache>
                <c:formatCode>0.000</c:formatCode>
                <c:ptCount val="85"/>
                <c:pt idx="0">
                  <c:v>0.30121406001021767</c:v>
                </c:pt>
                <c:pt idx="1">
                  <c:v>0.68116172951925102</c:v>
                </c:pt>
                <c:pt idx="2">
                  <c:v>1.0649476198713399</c:v>
                </c:pt>
                <c:pt idx="3">
                  <c:v>1.4526008501994547</c:v>
                </c:pt>
                <c:pt idx="4">
                  <c:v>1.8441507360720208</c:v>
                </c:pt>
                <c:pt idx="5">
                  <c:v>2.2396267907354028</c:v>
                </c:pt>
                <c:pt idx="6">
                  <c:v>2.6390587263639325</c:v>
                </c:pt>
                <c:pt idx="7">
                  <c:v>3.0424764553175296</c:v>
                </c:pt>
                <c:pt idx="8">
                  <c:v>3.4499100914069514</c:v>
                </c:pt>
                <c:pt idx="9">
                  <c:v>3.8613899511667316</c:v>
                </c:pt>
                <c:pt idx="10">
                  <c:v>4.2769465551358268</c:v>
                </c:pt>
                <c:pt idx="11">
                  <c:v>4.6966106291460585</c:v>
                </c:pt>
                <c:pt idx="12">
                  <c:v>5.1204131056183444</c:v>
                </c:pt>
                <c:pt idx="13">
                  <c:v>5.5483851248668135</c:v>
                </c:pt>
                <c:pt idx="14">
                  <c:v>5.9805580364108124</c:v>
                </c:pt>
                <c:pt idx="15">
                  <c:v>6.4169634002948817</c:v>
                </c:pt>
                <c:pt idx="16">
                  <c:v>6.8576329884167393</c:v>
                </c:pt>
                <c:pt idx="17">
                  <c:v>7.3025987858632666</c:v>
                </c:pt>
                <c:pt idx="18">
                  <c:v>7.7518929922546755</c:v>
                </c:pt>
                <c:pt idx="19">
                  <c:v>8.2055480230967355</c:v>
                </c:pt>
                <c:pt idx="20">
                  <c:v>8.6635965111412503</c:v>
                </c:pt>
                <c:pt idx="21">
                  <c:v>9.1260713077547368</c:v>
                </c:pt>
                <c:pt idx="22">
                  <c:v>9.5930054842954409</c:v>
                </c:pt>
                <c:pt idx="23">
                  <c:v>10.064432333498624</c:v>
                </c:pt>
                <c:pt idx="24">
                  <c:v>10.54038537087032</c:v>
                </c:pt>
                <c:pt idx="25">
                  <c:v>11.02089833608944</c:v>
                </c:pt>
                <c:pt idx="26">
                  <c:v>11.506005194418453</c:v>
                </c:pt>
                <c:pt idx="27">
                  <c:v>11.995740138122505</c:v>
                </c:pt>
                <c:pt idx="28">
                  <c:v>12.490137587897255</c:v>
                </c:pt>
                <c:pt idx="29">
                  <c:v>12.989232194305199</c:v>
                </c:pt>
                <c:pt idx="30">
                  <c:v>13.493058839220788</c:v>
                </c:pt>
                <c:pt idx="31">
                  <c:v>14.00165263728425</c:v>
                </c:pt>
                <c:pt idx="32">
                  <c:v>14.515048937364231</c:v>
                </c:pt>
                <c:pt idx="33">
                  <c:v>15.033283324029192</c:v>
                </c:pt>
                <c:pt idx="34">
                  <c:v>15.55639161902784</c:v>
                </c:pt>
                <c:pt idx="35">
                  <c:v>16.084409882778381</c:v>
                </c:pt>
                <c:pt idx="36">
                  <c:v>16.617374415866792</c:v>
                </c:pt>
                <c:pt idx="37">
                  <c:v>17.155321760554234</c:v>
                </c:pt>
                <c:pt idx="38">
                  <c:v>17.698288702293524</c:v>
                </c:pt>
                <c:pt idx="39">
                  <c:v>18.246312271254666</c:v>
                </c:pt>
                <c:pt idx="40">
                  <c:v>18.799429743859786</c:v>
                </c:pt>
                <c:pt idx="41">
                  <c:v>19.357678644327116</c:v>
                </c:pt>
                <c:pt idx="42">
                  <c:v>19.921096746224546</c:v>
                </c:pt>
                <c:pt idx="43">
                  <c:v>20.489722074032304</c:v>
                </c:pt>
                <c:pt idx="44">
                  <c:v>21.063592904715289</c:v>
                </c:pt>
                <c:pt idx="45">
                  <c:v>21.642747769304677</c:v>
                </c:pt>
                <c:pt idx="46">
                  <c:v>22.2272254544893</c:v>
                </c:pt>
                <c:pt idx="47">
                  <c:v>22.81706500421646</c:v>
                </c:pt>
                <c:pt idx="48">
                  <c:v>23.412305721302328</c:v>
                </c:pt>
                <c:pt idx="49">
                  <c:v>24.012987169052387</c:v>
                </c:pt>
                <c:pt idx="50">
                  <c:v>24.619149172891305</c:v>
                </c:pt>
                <c:pt idx="51">
                  <c:v>25.230831822002699</c:v>
                </c:pt>
                <c:pt idx="52">
                  <c:v>25.848075470979051</c:v>
                </c:pt>
                <c:pt idx="53">
                  <c:v>26.470920741481081</c:v>
                </c:pt>
                <c:pt idx="54">
                  <c:v>27.099408523907695</c:v>
                </c:pt>
                <c:pt idx="55">
                  <c:v>27.733579979075426</c:v>
                </c:pt>
                <c:pt idx="56">
                  <c:v>28.373476539908445</c:v>
                </c:pt>
                <c:pt idx="57">
                  <c:v>29.019139913138478</c:v>
                </c:pt>
                <c:pt idx="58">
                  <c:v>29.670612081015172</c:v>
                </c:pt>
                <c:pt idx="59">
                  <c:v>30.327935303026461</c:v>
                </c:pt>
                <c:pt idx="60">
                  <c:v>30.991152117629593</c:v>
                </c:pt>
                <c:pt idx="61">
                  <c:v>31.660305343992484</c:v>
                </c:pt>
                <c:pt idx="62">
                  <c:v>32.335438083745352</c:v>
                </c:pt>
                <c:pt idx="63">
                  <c:v>33.016593722743259</c:v>
                </c:pt>
                <c:pt idx="64">
                  <c:v>33.703815932838957</c:v>
                </c:pt>
                <c:pt idx="65">
                  <c:v>34.397148673666479</c:v>
                </c:pt>
                <c:pt idx="66">
                  <c:v>35.096636194435533</c:v>
                </c:pt>
                <c:pt idx="67">
                  <c:v>35.802323035736656</c:v>
                </c:pt>
                <c:pt idx="68">
                  <c:v>36.514254031357119</c:v>
                </c:pt>
                <c:pt idx="69">
                  <c:v>37.232474310107904</c:v>
                </c:pt>
                <c:pt idx="70">
                  <c:v>37.957029297661585</c:v>
                </c:pt>
                <c:pt idx="71">
                  <c:v>38.687964718401219</c:v>
                </c:pt>
                <c:pt idx="72">
                  <c:v>39.425326597280453</c:v>
                </c:pt>
                <c:pt idx="73">
                  <c:v>40.169161261694711</c:v>
                </c:pt>
                <c:pt idx="74">
                  <c:v>40.919515343363607</c:v>
                </c:pt>
                <c:pt idx="75">
                  <c:v>41.676435780224899</c:v>
                </c:pt>
                <c:pt idx="76">
                  <c:v>42.439969818339364</c:v>
                </c:pt>
                <c:pt idx="77">
                  <c:v>43.210165013807696</c:v>
                </c:pt>
                <c:pt idx="78">
                  <c:v>43.987069234698232</c:v>
                </c:pt>
                <c:pt idx="79">
                  <c:v>44.770730662987077</c:v>
                </c:pt>
                <c:pt idx="80">
                  <c:v>45.561197796508871</c:v>
                </c:pt>
                <c:pt idx="81">
                  <c:v>46.35851945092044</c:v>
                </c:pt>
                <c:pt idx="82">
                  <c:v>47.162744761674972</c:v>
                </c:pt>
                <c:pt idx="83">
                  <c:v>47.973923186009173</c:v>
                </c:pt>
                <c:pt idx="84">
                  <c:v>48.792104504941491</c:v>
                </c:pt>
              </c:numCache>
            </c:numRef>
          </c:yVal>
          <c:smooth val="1"/>
        </c:ser>
        <c:ser>
          <c:idx val="1"/>
          <c:order val="1"/>
          <c:tx>
            <c:v>КУ СГ</c:v>
          </c:tx>
          <c:xVal>
            <c:numRef>
              <c:f>'240 кГЦ '!$AF$4:$AF$89</c:f>
              <c:numCache>
                <c:formatCode>General</c:formatCode>
                <c:ptCount val="86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77</c:v>
                </c:pt>
                <c:pt idx="23">
                  <c:v>80</c:v>
                </c:pt>
                <c:pt idx="24">
                  <c:v>83</c:v>
                </c:pt>
                <c:pt idx="25">
                  <c:v>86</c:v>
                </c:pt>
                <c:pt idx="26">
                  <c:v>89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101</c:v>
                </c:pt>
                <c:pt idx="31">
                  <c:v>104</c:v>
                </c:pt>
                <c:pt idx="32">
                  <c:v>107</c:v>
                </c:pt>
                <c:pt idx="33">
                  <c:v>110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122</c:v>
                </c:pt>
                <c:pt idx="38">
                  <c:v>125</c:v>
                </c:pt>
                <c:pt idx="39">
                  <c:v>128</c:v>
                </c:pt>
                <c:pt idx="40">
                  <c:v>131</c:v>
                </c:pt>
                <c:pt idx="41">
                  <c:v>134</c:v>
                </c:pt>
                <c:pt idx="42">
                  <c:v>137</c:v>
                </c:pt>
                <c:pt idx="43">
                  <c:v>140</c:v>
                </c:pt>
                <c:pt idx="44">
                  <c:v>143</c:v>
                </c:pt>
                <c:pt idx="45">
                  <c:v>146</c:v>
                </c:pt>
                <c:pt idx="46">
                  <c:v>149</c:v>
                </c:pt>
                <c:pt idx="47">
                  <c:v>152</c:v>
                </c:pt>
                <c:pt idx="48">
                  <c:v>155</c:v>
                </c:pt>
                <c:pt idx="49">
                  <c:v>158</c:v>
                </c:pt>
                <c:pt idx="50">
                  <c:v>161</c:v>
                </c:pt>
                <c:pt idx="51">
                  <c:v>164</c:v>
                </c:pt>
                <c:pt idx="52">
                  <c:v>167</c:v>
                </c:pt>
                <c:pt idx="53">
                  <c:v>170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182</c:v>
                </c:pt>
                <c:pt idx="58">
                  <c:v>185</c:v>
                </c:pt>
                <c:pt idx="59">
                  <c:v>188</c:v>
                </c:pt>
                <c:pt idx="60">
                  <c:v>191</c:v>
                </c:pt>
                <c:pt idx="61">
                  <c:v>194</c:v>
                </c:pt>
                <c:pt idx="62">
                  <c:v>197</c:v>
                </c:pt>
                <c:pt idx="63">
                  <c:v>200</c:v>
                </c:pt>
                <c:pt idx="64">
                  <c:v>203</c:v>
                </c:pt>
                <c:pt idx="65">
                  <c:v>206</c:v>
                </c:pt>
                <c:pt idx="66">
                  <c:v>209</c:v>
                </c:pt>
                <c:pt idx="67">
                  <c:v>212</c:v>
                </c:pt>
                <c:pt idx="68">
                  <c:v>215</c:v>
                </c:pt>
                <c:pt idx="69">
                  <c:v>218</c:v>
                </c:pt>
                <c:pt idx="70">
                  <c:v>221</c:v>
                </c:pt>
                <c:pt idx="71">
                  <c:v>224</c:v>
                </c:pt>
                <c:pt idx="72">
                  <c:v>227</c:v>
                </c:pt>
                <c:pt idx="73">
                  <c:v>230</c:v>
                </c:pt>
                <c:pt idx="74">
                  <c:v>233</c:v>
                </c:pt>
                <c:pt idx="75">
                  <c:v>236</c:v>
                </c:pt>
                <c:pt idx="76">
                  <c:v>239</c:v>
                </c:pt>
                <c:pt idx="77">
                  <c:v>242</c:v>
                </c:pt>
                <c:pt idx="78">
                  <c:v>245</c:v>
                </c:pt>
                <c:pt idx="79">
                  <c:v>248</c:v>
                </c:pt>
                <c:pt idx="80">
                  <c:v>251</c:v>
                </c:pt>
                <c:pt idx="81">
                  <c:v>254</c:v>
                </c:pt>
                <c:pt idx="82">
                  <c:v>257</c:v>
                </c:pt>
                <c:pt idx="83">
                  <c:v>260</c:v>
                </c:pt>
                <c:pt idx="84">
                  <c:v>263</c:v>
                </c:pt>
                <c:pt idx="85">
                  <c:v>266</c:v>
                </c:pt>
              </c:numCache>
            </c:numRef>
          </c:xVal>
          <c:yVal>
            <c:numRef>
              <c:f>'240 кГЦ '!$AM$4:$AM$89</c:f>
              <c:numCache>
                <c:formatCode>0.000</c:formatCode>
                <c:ptCount val="86"/>
                <c:pt idx="0">
                  <c:v>12.755734629686087</c:v>
                </c:pt>
                <c:pt idx="1">
                  <c:v>16.903657249098739</c:v>
                </c:pt>
                <c:pt idx="2">
                  <c:v>21.371815469455374</c:v>
                </c:pt>
                <c:pt idx="3">
                  <c:v>26.179559930024034</c:v>
                </c:pt>
                <c:pt idx="4">
                  <c:v>31.347292350024809</c:v>
                </c:pt>
                <c:pt idx="5">
                  <c:v>36.896519297993819</c:v>
                </c:pt>
                <c:pt idx="6">
                  <c:v>42.84990860788254</c:v>
                </c:pt>
                <c:pt idx="7">
                  <c:v>49.231348568726119</c:v>
                </c:pt>
                <c:pt idx="8">
                  <c:v>56.066010020670959</c:v>
                </c:pt>
                <c:pt idx="9">
                  <c:v>63.380411496388206</c:v>
                </c:pt>
                <c:pt idx="10">
                  <c:v>71.202487553421534</c:v>
                </c:pt>
                <c:pt idx="11">
                  <c:v>79.561660449842364</c:v>
                </c:pt>
                <c:pt idx="12">
                  <c:v>88.488915322726115</c:v>
                </c:pt>
                <c:pt idx="13">
                  <c:v>98.016879036430467</c:v>
                </c:pt>
                <c:pt idx="14">
                  <c:v>108.17990287547325</c:v>
                </c:pt>
                <c:pt idx="15">
                  <c:v>119.01414926498039</c:v>
                </c:pt>
                <c:pt idx="16">
                  <c:v>130.55768271022666</c:v>
                </c:pt>
                <c:pt idx="17">
                  <c:v>142.85056515573677</c:v>
                </c:pt>
                <c:pt idx="18">
                  <c:v>155.93495597377273</c:v>
                </c:pt>
                <c:pt idx="19">
                  <c:v>169.85521680182444</c:v>
                </c:pt>
                <c:pt idx="20">
                  <c:v>184.65802145894915</c:v>
                </c:pt>
                <c:pt idx="21">
                  <c:v>200.3924711815331</c:v>
                </c:pt>
                <c:pt idx="22">
                  <c:v>217.11021543023102</c:v>
                </c:pt>
                <c:pt idx="23">
                  <c:v>234.86557853157117</c:v>
                </c:pt>
                <c:pt idx="24">
                  <c:v>253.71569242996173</c:v>
                </c:pt>
                <c:pt idx="25">
                  <c:v>273.72063583865167</c:v>
                </c:pt>
                <c:pt idx="26">
                  <c:v>294.9435800916101</c:v>
                </c:pt>
                <c:pt idx="27">
                  <c:v>317.4509420123012</c:v>
                </c:pt>
                <c:pt idx="28">
                  <c:v>341.31254413000727</c:v>
                </c:pt>
                <c:pt idx="29">
                  <c:v>366.60178258966619</c:v>
                </c:pt>
                <c:pt idx="30">
                  <c:v>393.39580311726604</c:v>
                </c:pt>
                <c:pt idx="31">
                  <c:v>421.77568541955526</c:v>
                </c:pt>
                <c:pt idx="32">
                  <c:v>451.82663641443332</c:v>
                </c:pt>
                <c:pt idx="33">
                  <c:v>483.63819270666556</c:v>
                </c:pt>
                <c:pt idx="34">
                  <c:v>517.30443274279526</c:v>
                </c:pt>
                <c:pt idx="35">
                  <c:v>552.92419909915941</c:v>
                </c:pt>
                <c:pt idx="36">
                  <c:v>590.60133137787977</c:v>
                </c:pt>
                <c:pt idx="37">
                  <c:v>630.44491020767816</c:v>
                </c:pt>
                <c:pt idx="38">
                  <c:v>672.5695128692256</c:v>
                </c:pt>
                <c:pt idx="39">
                  <c:v>717.09548108879085</c:v>
                </c:pt>
                <c:pt idx="40">
                  <c:v>764.14920156896437</c:v>
                </c:pt>
                <c:pt idx="41">
                  <c:v>813.86339985149789</c:v>
                </c:pt>
                <c:pt idx="42">
                  <c:v>866.37744813466622</c:v>
                </c:pt>
                <c:pt idx="43">
                  <c:v>921.83768769627</c:v>
                </c:pt>
                <c:pt idx="44">
                  <c:v>980.39776660329335</c:v>
                </c:pt>
                <c:pt idx="45">
                  <c:v>1042.2189934206547</c:v>
                </c:pt>
                <c:pt idx="46">
                  <c:v>1107.4707076641273</c:v>
                </c:pt>
                <c:pt idx="47">
                  <c:v>1176.3306677768617</c:v>
                </c:pt>
                <c:pt idx="48">
                  <c:v>1248.9854574446588</c:v>
                </c:pt>
                <c:pt idx="49">
                  <c:v>1325.6309111026385</c:v>
                </c:pt>
                <c:pt idx="50">
                  <c:v>1406.4725595249934</c:v>
                </c:pt>
                <c:pt idx="51">
                  <c:v>1491.7260964305472</c:v>
                </c:pt>
                <c:pt idx="52">
                  <c:v>1581.6178670794441</c:v>
                </c:pt>
                <c:pt idx="53">
                  <c:v>1676.3853798811529</c:v>
                </c:pt>
                <c:pt idx="54">
                  <c:v>1776.2778420805862</c:v>
                </c:pt>
                <c:pt idx="55">
                  <c:v>1881.5567206380656</c:v>
                </c:pt>
                <c:pt idx="56">
                  <c:v>1992.4963294698334</c:v>
                </c:pt>
                <c:pt idx="57">
                  <c:v>2109.3844442693444</c:v>
                </c:pt>
                <c:pt idx="58">
                  <c:v>2232.5229461852018</c:v>
                </c:pt>
                <c:pt idx="59">
                  <c:v>2362.2284956899975</c:v>
                </c:pt>
                <c:pt idx="60">
                  <c:v>2498.8332380353681</c:v>
                </c:pt>
                <c:pt idx="61">
                  <c:v>2642.6855417521097</c:v>
                </c:pt>
                <c:pt idx="62">
                  <c:v>2794.1507717209961</c:v>
                </c:pt>
                <c:pt idx="63">
                  <c:v>2953.6120984094296</c:v>
                </c:pt>
                <c:pt idx="64">
                  <c:v>3121.4713449418591</c:v>
                </c:pt>
                <c:pt idx="65">
                  <c:v>3298.1498737480292</c:v>
                </c:pt>
                <c:pt idx="66">
                  <c:v>3484.0895146124544</c:v>
                </c:pt>
                <c:pt idx="67">
                  <c:v>3679.7535360317406</c:v>
                </c:pt>
                <c:pt idx="68">
                  <c:v>3885.6276618731549</c:v>
                </c:pt>
                <c:pt idx="69">
                  <c:v>4102.2211354185256</c:v>
                </c:pt>
                <c:pt idx="70">
                  <c:v>4330.0678329725906</c:v>
                </c:pt>
                <c:pt idx="71">
                  <c:v>4569.7274293136425</c:v>
                </c:pt>
                <c:pt idx="72">
                  <c:v>4821.7866173686134</c:v>
                </c:pt>
                <c:pt idx="73">
                  <c:v>5086.8603846020251</c:v>
                </c:pt>
                <c:pt idx="74">
                  <c:v>5365.5933487222646</c:v>
                </c:pt>
                <c:pt idx="75">
                  <c:v>5658.6611554264955</c:v>
                </c:pt>
                <c:pt idx="76">
                  <c:v>5966.7719410288473</c:v>
                </c:pt>
                <c:pt idx="77">
                  <c:v>6290.6678629461976</c:v>
                </c:pt>
                <c:pt idx="78">
                  <c:v>6631.1267011502114</c:v>
                </c:pt>
                <c:pt idx="79">
                  <c:v>6988.9635338358012</c:v>
                </c:pt>
                <c:pt idx="80">
                  <c:v>7365.032490703099</c:v>
                </c:pt>
                <c:pt idx="81">
                  <c:v>7760.2285874043791</c:v>
                </c:pt>
                <c:pt idx="82">
                  <c:v>8175.4896448678155</c:v>
                </c:pt>
                <c:pt idx="83">
                  <c:v>8611.7982973786275</c:v>
                </c:pt>
                <c:pt idx="84">
                  <c:v>9070.1840934733609</c:v>
                </c:pt>
                <c:pt idx="85">
                  <c:v>9551.7256938865885</c:v>
                </c:pt>
              </c:numCache>
            </c:numRef>
          </c:yVal>
          <c:smooth val="1"/>
        </c:ser>
        <c:axId val="49610752"/>
        <c:axId val="49612288"/>
      </c:scatterChart>
      <c:valAx>
        <c:axId val="49610752"/>
        <c:scaling>
          <c:orientation val="minMax"/>
        </c:scaling>
        <c:axPos val="b"/>
        <c:numFmt formatCode="General" sourceLinked="1"/>
        <c:tickLblPos val="nextTo"/>
        <c:crossAx val="49612288"/>
        <c:crosses val="autoZero"/>
        <c:crossBetween val="midCat"/>
      </c:valAx>
      <c:valAx>
        <c:axId val="49612288"/>
        <c:scaling>
          <c:orientation val="minMax"/>
        </c:scaling>
        <c:axPos val="l"/>
        <c:majorGridlines/>
        <c:numFmt formatCode="0.000" sourceLinked="1"/>
        <c:tickLblPos val="nextTo"/>
        <c:crossAx val="49610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УЭ</c:v>
          </c:tx>
          <c:marker>
            <c:symbol val="none"/>
          </c:marker>
          <c:xVal>
            <c:numRef>
              <c:f>'200 новый'!$P$4:$P$88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'200 новый'!$U$4:$U$88</c:f>
              <c:numCache>
                <c:formatCode>0.00</c:formatCode>
                <c:ptCount val="85"/>
                <c:pt idx="0">
                  <c:v>164.83353536393915</c:v>
                </c:pt>
                <c:pt idx="1">
                  <c:v>159.95962942320008</c:v>
                </c:pt>
                <c:pt idx="2">
                  <c:v>156.84844525647202</c:v>
                </c:pt>
                <c:pt idx="3">
                  <c:v>154.55643324332209</c:v>
                </c:pt>
                <c:pt idx="4">
                  <c:v>152.73975566932714</c:v>
                </c:pt>
                <c:pt idx="5">
                  <c:v>151.23393833637584</c:v>
                </c:pt>
                <c:pt idx="6">
                  <c:v>149.94741177197511</c:v>
                </c:pt>
                <c:pt idx="7">
                  <c:v>148.8239202479653</c:v>
                </c:pt>
                <c:pt idx="8">
                  <c:v>147.82641482754846</c:v>
                </c:pt>
                <c:pt idx="9">
                  <c:v>146.92919661069419</c:v>
                </c:pt>
                <c:pt idx="10">
                  <c:v>146.11370717952136</c:v>
                </c:pt>
                <c:pt idx="11">
                  <c:v>145.36610607201337</c:v>
                </c:pt>
                <c:pt idx="12">
                  <c:v>144.67579575978081</c:v>
                </c:pt>
                <c:pt idx="13">
                  <c:v>144.03448150773514</c:v>
                </c:pt>
                <c:pt idx="14">
                  <c:v>143.4355490186822</c:v>
                </c:pt>
                <c:pt idx="15">
                  <c:v>142.8736390847302</c:v>
                </c:pt>
                <c:pt idx="16">
                  <c:v>142.3443488455913</c:v>
                </c:pt>
                <c:pt idx="17">
                  <c:v>141.84401696138923</c:v>
                </c:pt>
                <c:pt idx="18">
                  <c:v>141.36956591300216</c:v>
                </c:pt>
                <c:pt idx="19">
                  <c:v>140.91838411703236</c:v>
                </c:pt>
                <c:pt idx="20">
                  <c:v>140.48823637055676</c:v>
                </c:pt>
                <c:pt idx="21">
                  <c:v>140.07719482920479</c:v>
                </c:pt>
                <c:pt idx="22">
                  <c:v>139.68358511592299</c:v>
                </c:pt>
                <c:pt idx="23">
                  <c:v>139.3059437467858</c:v>
                </c:pt>
                <c:pt idx="24">
                  <c:v>138.94298413656591</c:v>
                </c:pt>
                <c:pt idx="25">
                  <c:v>138.5935691893597</c:v>
                </c:pt>
                <c:pt idx="26">
                  <c:v>138.256689000481</c:v>
                </c:pt>
                <c:pt idx="27">
                  <c:v>137.9314425668563</c:v>
                </c:pt>
                <c:pt idx="28">
                  <c:v>137.61702267112557</c:v>
                </c:pt>
                <c:pt idx="29">
                  <c:v>137.3127033006939</c:v>
                </c:pt>
                <c:pt idx="30">
                  <c:v>137.0178291081086</c:v>
                </c:pt>
                <c:pt idx="31">
                  <c:v>136.73180652776446</c:v>
                </c:pt>
                <c:pt idx="32">
                  <c:v>136.45409624607618</c:v>
                </c:pt>
                <c:pt idx="33">
                  <c:v>136.18420678495954</c:v>
                </c:pt>
                <c:pt idx="34">
                  <c:v>135.92168900675438</c:v>
                </c:pt>
                <c:pt idx="35">
                  <c:v>135.66613138622412</c:v>
                </c:pt>
                <c:pt idx="36">
                  <c:v>135.41715592461978</c:v>
                </c:pt>
                <c:pt idx="37">
                  <c:v>135.17441460393798</c:v>
                </c:pt>
                <c:pt idx="38">
                  <c:v>134.9375862978745</c:v>
                </c:pt>
                <c:pt idx="39">
                  <c:v>134.70637407065482</c:v>
                </c:pt>
                <c:pt idx="40">
                  <c:v>134.48050280672592</c:v>
                </c:pt>
                <c:pt idx="41">
                  <c:v>134.2597171238383</c:v>
                </c:pt>
                <c:pt idx="42">
                  <c:v>134.04377952980749</c:v>
                </c:pt>
                <c:pt idx="43">
                  <c:v>133.83246878958931</c:v>
                </c:pt>
                <c:pt idx="44">
                  <c:v>133.62557847451347</c:v>
                </c:pt>
                <c:pt idx="45">
                  <c:v>133.42291566982274</c:v>
                </c:pt>
                <c:pt idx="46">
                  <c:v>133.22429982023033</c:v>
                </c:pt>
                <c:pt idx="47">
                  <c:v>133.02956169617875</c:v>
                </c:pt>
                <c:pt idx="48">
                  <c:v>132.83854246596593</c:v>
                </c:pt>
                <c:pt idx="49">
                  <c:v>132.65109286098848</c:v>
                </c:pt>
                <c:pt idx="50">
                  <c:v>132.46707242310941</c:v>
                </c:pt>
                <c:pt idx="51">
                  <c:v>132.28634882464081</c:v>
                </c:pt>
                <c:pt idx="52">
                  <c:v>132.10879725269379</c:v>
                </c:pt>
                <c:pt idx="53">
                  <c:v>131.93429985071992</c:v>
                </c:pt>
                <c:pt idx="54">
                  <c:v>131.7627452109848</c:v>
                </c:pt>
                <c:pt idx="55">
                  <c:v>131.59402791249923</c:v>
                </c:pt>
                <c:pt idx="56">
                  <c:v>131.42804809960853</c:v>
                </c:pt>
                <c:pt idx="57">
                  <c:v>131.26471109702041</c:v>
                </c:pt>
                <c:pt idx="58">
                  <c:v>131.10392705755524</c:v>
                </c:pt>
                <c:pt idx="59">
                  <c:v>130.94561063933622</c:v>
                </c:pt>
                <c:pt idx="60">
                  <c:v>130.78968070951601</c:v>
                </c:pt>
                <c:pt idx="61">
                  <c:v>130.63606007196356</c:v>
                </c:pt>
                <c:pt idx="62">
                  <c:v>130.48467521662377</c:v>
                </c:pt>
                <c:pt idx="63">
                  <c:v>130.33545608851168</c:v>
                </c:pt>
                <c:pt idx="64">
                  <c:v>130.18833587452443</c:v>
                </c:pt>
                <c:pt idx="65">
                  <c:v>130.04325080644662</c:v>
                </c:pt>
                <c:pt idx="66">
                  <c:v>129.90013997869508</c:v>
                </c:pt>
                <c:pt idx="67">
                  <c:v>129.75894517949928</c:v>
                </c:pt>
                <c:pt idx="68">
                  <c:v>129.61961073434594</c:v>
                </c:pt>
                <c:pt idx="69">
                  <c:v>129.48208336063411</c:v>
                </c:pt>
                <c:pt idx="70">
                  <c:v>129.34631203259096</c:v>
                </c:pt>
                <c:pt idx="71">
                  <c:v>129.21224785559099</c:v>
                </c:pt>
                <c:pt idx="72">
                  <c:v>129.07984394910426</c:v>
                </c:pt>
                <c:pt idx="73">
                  <c:v>128.94905533757199</c:v>
                </c:pt>
                <c:pt idx="74">
                  <c:v>128.81983884857397</c:v>
                </c:pt>
                <c:pt idx="75">
                  <c:v>128.69215301771104</c:v>
                </c:pt>
                <c:pt idx="76">
                  <c:v>128.56595799967761</c:v>
                </c:pt>
                <c:pt idx="77">
                  <c:v>128.44121548504768</c:v>
                </c:pt>
                <c:pt idx="78">
                  <c:v>128.31788862233898</c:v>
                </c:pt>
                <c:pt idx="79">
                  <c:v>128.19594194495866</c:v>
                </c:pt>
                <c:pt idx="80">
                  <c:v>128.07534130266825</c:v>
                </c:pt>
                <c:pt idx="81">
                  <c:v>127.95605379723634</c:v>
                </c:pt>
                <c:pt idx="82">
                  <c:v>127.8380477219757</c:v>
                </c:pt>
                <c:pt idx="83">
                  <c:v>127.72129250488689</c:v>
                </c:pt>
                <c:pt idx="84">
                  <c:v>127.60575865515307</c:v>
                </c:pt>
              </c:numCache>
            </c:numRef>
          </c:yVal>
          <c:smooth val="1"/>
        </c:ser>
        <c:ser>
          <c:idx val="1"/>
          <c:order val="1"/>
          <c:tx>
            <c:v>УШ</c:v>
          </c:tx>
          <c:marker>
            <c:symbol val="none"/>
          </c:marker>
          <c:xVal>
            <c:numRef>
              <c:f>'200 новый'!$P$4:$P$88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'200 новый'!#REF!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УР</c:v>
          </c:tx>
          <c:marker>
            <c:symbol val="none"/>
          </c:marker>
          <c:xVal>
            <c:numRef>
              <c:f>'200 новый'!$P$4:$P$88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'200 новый'!$BG$4:$BG$88</c:f>
              <c:numCache>
                <c:formatCode>0.00</c:formatCode>
                <c:ptCount val="85"/>
                <c:pt idx="0">
                  <c:v>160.39656037161203</c:v>
                </c:pt>
                <c:pt idx="1">
                  <c:v>153.09227394401</c:v>
                </c:pt>
                <c:pt idx="2">
                  <c:v>148.43207017742452</c:v>
                </c:pt>
                <c:pt idx="3">
                  <c:v>145.0006246412062</c:v>
                </c:pt>
                <c:pt idx="4">
                  <c:v>142.28218076372039</c:v>
                </c:pt>
                <c:pt idx="5">
                  <c:v>140.03002724780006</c:v>
                </c:pt>
                <c:pt idx="6">
                  <c:v>138.10680988470557</c:v>
                </c:pt>
                <c:pt idx="7">
                  <c:v>136.4281450821974</c:v>
                </c:pt>
                <c:pt idx="8">
                  <c:v>134.93845943507876</c:v>
                </c:pt>
                <c:pt idx="9">
                  <c:v>133.59920459330397</c:v>
                </c:pt>
                <c:pt idx="10">
                  <c:v>132.3825429300513</c:v>
                </c:pt>
                <c:pt idx="11">
                  <c:v>131.26771375229592</c:v>
                </c:pt>
                <c:pt idx="12">
                  <c:v>130.23882076745369</c:v>
                </c:pt>
                <c:pt idx="13">
                  <c:v>129.28342187289178</c:v>
                </c:pt>
                <c:pt idx="14">
                  <c:v>128.39159562281895</c:v>
                </c:pt>
                <c:pt idx="15">
                  <c:v>127.55530320539756</c:v>
                </c:pt>
                <c:pt idx="16">
                  <c:v>126.76794033019581</c:v>
                </c:pt>
                <c:pt idx="17">
                  <c:v>126.02401498739927</c:v>
                </c:pt>
                <c:pt idx="18">
                  <c:v>125.31891089832529</c:v>
                </c:pt>
                <c:pt idx="19">
                  <c:v>124.64871068787718</c:v>
                </c:pt>
                <c:pt idx="20">
                  <c:v>124.01006155167039</c:v>
                </c:pt>
                <c:pt idx="21">
                  <c:v>123.40007172314903</c:v>
                </c:pt>
                <c:pt idx="22">
                  <c:v>122.8162296367329</c:v>
                </c:pt>
                <c:pt idx="23">
                  <c:v>122.25634006653377</c:v>
                </c:pt>
                <c:pt idx="24">
                  <c:v>121.71847313471049</c:v>
                </c:pt>
                <c:pt idx="25">
                  <c:v>121.20092319740779</c:v>
                </c:pt>
                <c:pt idx="26">
                  <c:v>120.70217539759633</c:v>
                </c:pt>
                <c:pt idx="27">
                  <c:v>120.22087823066587</c:v>
                </c:pt>
                <c:pt idx="28">
                  <c:v>119.75582087057639</c:v>
                </c:pt>
                <c:pt idx="29">
                  <c:v>119.30591429843545</c:v>
                </c:pt>
                <c:pt idx="30">
                  <c:v>118.87017549306411</c:v>
                </c:pt>
                <c:pt idx="31">
                  <c:v>118.44771410605452</c:v>
                </c:pt>
                <c:pt idx="32">
                  <c:v>118.03772116702868</c:v>
                </c:pt>
                <c:pt idx="33">
                  <c:v>117.63945945886032</c:v>
                </c:pt>
                <c:pt idx="34">
                  <c:v>117.2522552750592</c:v>
                </c:pt>
                <c:pt idx="35">
                  <c:v>116.87549132777039</c:v>
                </c:pt>
                <c:pt idx="36">
                  <c:v>116.50860061887046</c:v>
                </c:pt>
                <c:pt idx="37">
                  <c:v>116.15106112135436</c:v>
                </c:pt>
                <c:pt idx="38">
                  <c:v>115.80239114576575</c:v>
                </c:pt>
                <c:pt idx="39">
                  <c:v>115.46214528844281</c:v>
                </c:pt>
                <c:pt idx="40">
                  <c:v>115.12991087605607</c:v>
                </c:pt>
                <c:pt idx="41">
                  <c:v>114.80530483523123</c:v>
                </c:pt>
                <c:pt idx="42">
                  <c:v>114.48797092769161</c:v>
                </c:pt>
                <c:pt idx="43">
                  <c:v>114.17757730087095</c:v>
                </c:pt>
                <c:pt idx="44">
                  <c:v>113.87381431176382</c:v>
                </c:pt>
                <c:pt idx="45">
                  <c:v>113.5763925882343</c:v>
                </c:pt>
                <c:pt idx="46">
                  <c:v>113.28504129735224</c:v>
                </c:pt>
                <c:pt idx="47">
                  <c:v>112.99950659478152</c:v>
                </c:pt>
                <c:pt idx="48">
                  <c:v>112.71955023296886</c:v>
                </c:pt>
                <c:pt idx="49">
                  <c:v>112.44494830900929</c:v>
                </c:pt>
                <c:pt idx="50">
                  <c:v>112.17549013569729</c:v>
                </c:pt>
                <c:pt idx="51">
                  <c:v>111.91097722150097</c:v>
                </c:pt>
                <c:pt idx="52">
                  <c:v>111.65122234708704</c:v>
                </c:pt>
                <c:pt idx="53">
                  <c:v>111.39604872763287</c:v>
                </c:pt>
                <c:pt idx="54">
                  <c:v>111.14528925153675</c:v>
                </c:pt>
                <c:pt idx="55">
                  <c:v>110.89878578731499</c:v>
                </c:pt>
                <c:pt idx="56">
                  <c:v>110.65638855148552</c:v>
                </c:pt>
                <c:pt idx="57">
                  <c:v>110.41795553110997</c:v>
                </c:pt>
                <c:pt idx="58">
                  <c:v>110.1833519554188</c:v>
                </c:pt>
                <c:pt idx="59">
                  <c:v>109.95244981159688</c:v>
                </c:pt>
                <c:pt idx="60">
                  <c:v>109.72512740037314</c:v>
                </c:pt>
                <c:pt idx="61">
                  <c:v>109.50126892755107</c:v>
                </c:pt>
                <c:pt idx="62">
                  <c:v>109.28076412804798</c:v>
                </c:pt>
                <c:pt idx="63">
                  <c:v>109.06350791938644</c:v>
                </c:pt>
                <c:pt idx="64">
                  <c:v>108.84940008191217</c:v>
                </c:pt>
                <c:pt idx="65">
                  <c:v>108.63834496330206</c:v>
                </c:pt>
                <c:pt idx="66">
                  <c:v>108.43025120518132</c:v>
                </c:pt>
                <c:pt idx="67">
                  <c:v>108.22503148989423</c:v>
                </c:pt>
                <c:pt idx="68">
                  <c:v>108.02260230567083</c:v>
                </c:pt>
                <c:pt idx="69">
                  <c:v>107.82288372860968</c:v>
                </c:pt>
                <c:pt idx="70">
                  <c:v>107.62579922005155</c:v>
                </c:pt>
                <c:pt idx="71">
                  <c:v>107.43127543805819</c:v>
                </c:pt>
                <c:pt idx="72">
                  <c:v>107.2392420618347</c:v>
                </c:pt>
                <c:pt idx="73">
                  <c:v>107.04963162804286</c:v>
                </c:pt>
                <c:pt idx="74">
                  <c:v>106.86237937805248</c:v>
                </c:pt>
                <c:pt idx="75">
                  <c:v>106.67742311526466</c:v>
                </c:pt>
                <c:pt idx="76">
                  <c:v>106.49470307172112</c:v>
                </c:pt>
                <c:pt idx="77">
                  <c:v>106.31416178328284</c:v>
                </c:pt>
                <c:pt idx="78">
                  <c:v>106.13574397272636</c:v>
                </c:pt>
                <c:pt idx="79">
                  <c:v>105.95939644016248</c:v>
                </c:pt>
                <c:pt idx="80">
                  <c:v>105.78506796023345</c:v>
                </c:pt>
                <c:pt idx="81">
                  <c:v>105.61270918559215</c:v>
                </c:pt>
                <c:pt idx="82">
                  <c:v>105.4422725562078</c:v>
                </c:pt>
                <c:pt idx="83">
                  <c:v>105.27371221408119</c:v>
                </c:pt>
                <c:pt idx="84">
                  <c:v>105.10698392298707</c:v>
                </c:pt>
              </c:numCache>
            </c:numRef>
          </c:yVal>
          <c:smooth val="1"/>
        </c:ser>
        <c:ser>
          <c:idx val="3"/>
          <c:order val="3"/>
          <c:tx>
            <c:v>УРк</c:v>
          </c:tx>
          <c:marker>
            <c:symbol val="none"/>
          </c:marker>
          <c:xVal>
            <c:numRef>
              <c:f>'200 новый'!$P$4:$P$88</c:f>
              <c:numCache>
                <c:formatCode>General</c:formatCode>
                <c:ptCount val="85"/>
                <c:pt idx="0">
                  <c:v>0.5</c:v>
                </c:pt>
                <c:pt idx="1">
                  <c:v>0.875</c:v>
                </c:pt>
                <c:pt idx="2">
                  <c:v>1.25</c:v>
                </c:pt>
                <c:pt idx="3">
                  <c:v>1.625</c:v>
                </c:pt>
                <c:pt idx="4">
                  <c:v>2</c:v>
                </c:pt>
                <c:pt idx="5">
                  <c:v>2.375</c:v>
                </c:pt>
                <c:pt idx="6">
                  <c:v>2.75</c:v>
                </c:pt>
                <c:pt idx="7">
                  <c:v>3.125</c:v>
                </c:pt>
                <c:pt idx="8">
                  <c:v>3.5</c:v>
                </c:pt>
                <c:pt idx="9">
                  <c:v>3.875</c:v>
                </c:pt>
                <c:pt idx="10">
                  <c:v>4.25</c:v>
                </c:pt>
                <c:pt idx="11">
                  <c:v>4.625</c:v>
                </c:pt>
                <c:pt idx="12">
                  <c:v>5</c:v>
                </c:pt>
                <c:pt idx="13">
                  <c:v>5.375</c:v>
                </c:pt>
                <c:pt idx="14">
                  <c:v>5.75</c:v>
                </c:pt>
                <c:pt idx="15">
                  <c:v>6.125</c:v>
                </c:pt>
                <c:pt idx="16">
                  <c:v>6.5</c:v>
                </c:pt>
                <c:pt idx="17">
                  <c:v>6.875</c:v>
                </c:pt>
                <c:pt idx="18">
                  <c:v>7.25</c:v>
                </c:pt>
                <c:pt idx="19">
                  <c:v>7.625</c:v>
                </c:pt>
                <c:pt idx="20">
                  <c:v>8</c:v>
                </c:pt>
                <c:pt idx="21">
                  <c:v>8.375</c:v>
                </c:pt>
                <c:pt idx="22">
                  <c:v>8.75</c:v>
                </c:pt>
                <c:pt idx="23">
                  <c:v>9.125</c:v>
                </c:pt>
                <c:pt idx="24">
                  <c:v>9.5</c:v>
                </c:pt>
                <c:pt idx="25">
                  <c:v>9.875</c:v>
                </c:pt>
                <c:pt idx="26">
                  <c:v>10.25</c:v>
                </c:pt>
                <c:pt idx="27">
                  <c:v>10.625</c:v>
                </c:pt>
                <c:pt idx="28">
                  <c:v>11</c:v>
                </c:pt>
                <c:pt idx="29">
                  <c:v>11.375</c:v>
                </c:pt>
                <c:pt idx="30">
                  <c:v>11.75</c:v>
                </c:pt>
                <c:pt idx="31">
                  <c:v>12.125</c:v>
                </c:pt>
                <c:pt idx="32">
                  <c:v>12.5</c:v>
                </c:pt>
                <c:pt idx="33">
                  <c:v>12.875</c:v>
                </c:pt>
                <c:pt idx="34">
                  <c:v>13.25</c:v>
                </c:pt>
                <c:pt idx="35">
                  <c:v>13.625</c:v>
                </c:pt>
                <c:pt idx="36">
                  <c:v>14</c:v>
                </c:pt>
                <c:pt idx="37">
                  <c:v>14.375</c:v>
                </c:pt>
                <c:pt idx="38">
                  <c:v>14.75</c:v>
                </c:pt>
                <c:pt idx="39">
                  <c:v>15.125</c:v>
                </c:pt>
                <c:pt idx="40">
                  <c:v>15.5</c:v>
                </c:pt>
                <c:pt idx="41">
                  <c:v>15.875</c:v>
                </c:pt>
                <c:pt idx="42">
                  <c:v>16.25</c:v>
                </c:pt>
                <c:pt idx="43">
                  <c:v>16.625</c:v>
                </c:pt>
                <c:pt idx="44">
                  <c:v>17</c:v>
                </c:pt>
                <c:pt idx="45">
                  <c:v>17.375</c:v>
                </c:pt>
                <c:pt idx="46">
                  <c:v>17.75</c:v>
                </c:pt>
                <c:pt idx="47">
                  <c:v>18.125</c:v>
                </c:pt>
                <c:pt idx="48">
                  <c:v>18.5</c:v>
                </c:pt>
                <c:pt idx="49">
                  <c:v>18.875</c:v>
                </c:pt>
                <c:pt idx="50">
                  <c:v>19.25</c:v>
                </c:pt>
                <c:pt idx="51">
                  <c:v>19.625</c:v>
                </c:pt>
                <c:pt idx="52">
                  <c:v>20</c:v>
                </c:pt>
                <c:pt idx="53">
                  <c:v>20.375</c:v>
                </c:pt>
                <c:pt idx="54">
                  <c:v>20.75</c:v>
                </c:pt>
                <c:pt idx="55">
                  <c:v>21.125</c:v>
                </c:pt>
                <c:pt idx="56">
                  <c:v>21.5</c:v>
                </c:pt>
                <c:pt idx="57">
                  <c:v>21.875</c:v>
                </c:pt>
                <c:pt idx="58">
                  <c:v>22.25</c:v>
                </c:pt>
                <c:pt idx="59">
                  <c:v>22.625</c:v>
                </c:pt>
                <c:pt idx="60">
                  <c:v>23</c:v>
                </c:pt>
                <c:pt idx="61">
                  <c:v>23.375</c:v>
                </c:pt>
                <c:pt idx="62">
                  <c:v>23.75</c:v>
                </c:pt>
                <c:pt idx="63">
                  <c:v>24.125</c:v>
                </c:pt>
                <c:pt idx="64">
                  <c:v>24.5</c:v>
                </c:pt>
                <c:pt idx="65">
                  <c:v>24.875</c:v>
                </c:pt>
                <c:pt idx="66">
                  <c:v>25.25</c:v>
                </c:pt>
                <c:pt idx="67">
                  <c:v>25.625</c:v>
                </c:pt>
                <c:pt idx="68">
                  <c:v>26</c:v>
                </c:pt>
                <c:pt idx="69">
                  <c:v>26.375</c:v>
                </c:pt>
                <c:pt idx="70">
                  <c:v>26.75</c:v>
                </c:pt>
                <c:pt idx="71">
                  <c:v>27.125</c:v>
                </c:pt>
                <c:pt idx="72">
                  <c:v>27.5</c:v>
                </c:pt>
                <c:pt idx="73">
                  <c:v>27.875</c:v>
                </c:pt>
                <c:pt idx="74">
                  <c:v>28.25</c:v>
                </c:pt>
                <c:pt idx="75">
                  <c:v>28.625</c:v>
                </c:pt>
                <c:pt idx="76">
                  <c:v>29</c:v>
                </c:pt>
                <c:pt idx="77">
                  <c:v>29.375</c:v>
                </c:pt>
                <c:pt idx="78">
                  <c:v>29.75</c:v>
                </c:pt>
                <c:pt idx="79">
                  <c:v>30.125</c:v>
                </c:pt>
                <c:pt idx="80">
                  <c:v>30.5</c:v>
                </c:pt>
                <c:pt idx="81">
                  <c:v>30.875</c:v>
                </c:pt>
                <c:pt idx="82">
                  <c:v>31.25</c:v>
                </c:pt>
                <c:pt idx="83">
                  <c:v>31.625</c:v>
                </c:pt>
                <c:pt idx="84">
                  <c:v>32</c:v>
                </c:pt>
              </c:numCache>
            </c:numRef>
          </c:xVal>
          <c:yVal>
            <c:numRef>
              <c:f>'200 новый'!$DB$6:$DB$90</c:f>
              <c:numCache>
                <c:formatCode>0.00</c:formatCode>
                <c:ptCount val="85"/>
                <c:pt idx="0">
                  <c:v>139.81548566435123</c:v>
                </c:pt>
                <c:pt idx="1">
                  <c:v>132.51119923674918</c:v>
                </c:pt>
                <c:pt idx="2">
                  <c:v>127.85099547016372</c:v>
                </c:pt>
                <c:pt idx="3">
                  <c:v>124.41954993394542</c:v>
                </c:pt>
                <c:pt idx="4">
                  <c:v>121.70110605645958</c:v>
                </c:pt>
                <c:pt idx="5">
                  <c:v>119.44895254053927</c:v>
                </c:pt>
                <c:pt idx="6">
                  <c:v>117.52573517744474</c:v>
                </c:pt>
                <c:pt idx="7">
                  <c:v>115.84707037493662</c:v>
                </c:pt>
                <c:pt idx="8">
                  <c:v>114.35738472781797</c:v>
                </c:pt>
                <c:pt idx="9">
                  <c:v>113.01812988604317</c:v>
                </c:pt>
                <c:pt idx="10">
                  <c:v>111.8014682227905</c:v>
                </c:pt>
                <c:pt idx="11">
                  <c:v>110.68663904503511</c:v>
                </c:pt>
                <c:pt idx="12">
                  <c:v>109.65774606019289</c:v>
                </c:pt>
                <c:pt idx="13">
                  <c:v>108.70234716563098</c:v>
                </c:pt>
                <c:pt idx="14">
                  <c:v>107.81052091555816</c:v>
                </c:pt>
                <c:pt idx="15">
                  <c:v>106.97422849813677</c:v>
                </c:pt>
                <c:pt idx="16">
                  <c:v>106.18686562293502</c:v>
                </c:pt>
                <c:pt idx="17">
                  <c:v>105.44294028013849</c:v>
                </c:pt>
                <c:pt idx="18">
                  <c:v>104.73783619106447</c:v>
                </c:pt>
                <c:pt idx="19">
                  <c:v>104.06763598061639</c:v>
                </c:pt>
                <c:pt idx="20">
                  <c:v>103.42898684440959</c:v>
                </c:pt>
                <c:pt idx="21">
                  <c:v>102.81899701588823</c:v>
                </c:pt>
                <c:pt idx="22">
                  <c:v>102.23515492947212</c:v>
                </c:pt>
                <c:pt idx="23">
                  <c:v>101.67526535927294</c:v>
                </c:pt>
                <c:pt idx="24">
                  <c:v>101.13739842744968</c:v>
                </c:pt>
                <c:pt idx="25">
                  <c:v>100.61984849014699</c:v>
                </c:pt>
                <c:pt idx="26">
                  <c:v>100.12110069033554</c:v>
                </c:pt>
                <c:pt idx="27">
                  <c:v>99.639803523405064</c:v>
                </c:pt>
                <c:pt idx="28">
                  <c:v>99.174746163315589</c:v>
                </c:pt>
                <c:pt idx="29">
                  <c:v>98.724839591174657</c:v>
                </c:pt>
                <c:pt idx="30">
                  <c:v>98.289100785803299</c:v>
                </c:pt>
                <c:pt idx="31">
                  <c:v>97.866639398793723</c:v>
                </c:pt>
                <c:pt idx="32">
                  <c:v>97.456646459767882</c:v>
                </c:pt>
                <c:pt idx="33">
                  <c:v>97.058384751599505</c:v>
                </c:pt>
                <c:pt idx="34">
                  <c:v>96.671180567798373</c:v>
                </c:pt>
                <c:pt idx="35">
                  <c:v>96.294416620509594</c:v>
                </c:pt>
                <c:pt idx="36">
                  <c:v>95.927525911609649</c:v>
                </c:pt>
                <c:pt idx="37">
                  <c:v>95.569986414093549</c:v>
                </c:pt>
                <c:pt idx="38">
                  <c:v>95.221316438504942</c:v>
                </c:pt>
                <c:pt idx="39">
                  <c:v>94.881070581182001</c:v>
                </c:pt>
                <c:pt idx="40">
                  <c:v>94.548836168795262</c:v>
                </c:pt>
                <c:pt idx="41">
                  <c:v>94.224230127970415</c:v>
                </c:pt>
                <c:pt idx="42">
                  <c:v>93.906896220430824</c:v>
                </c:pt>
                <c:pt idx="43">
                  <c:v>93.596502593610154</c:v>
                </c:pt>
                <c:pt idx="44">
                  <c:v>93.292739604503012</c:v>
                </c:pt>
                <c:pt idx="45">
                  <c:v>92.995317880973488</c:v>
                </c:pt>
                <c:pt idx="46">
                  <c:v>92.703966590091454</c:v>
                </c:pt>
                <c:pt idx="47">
                  <c:v>92.418431887520711</c:v>
                </c:pt>
                <c:pt idx="48">
                  <c:v>92.138475525708031</c:v>
                </c:pt>
                <c:pt idx="49">
                  <c:v>91.86387360174848</c:v>
                </c:pt>
                <c:pt idx="50">
                  <c:v>91.594415428436477</c:v>
                </c:pt>
                <c:pt idx="51">
                  <c:v>91.32990251424016</c:v>
                </c:pt>
                <c:pt idx="52">
                  <c:v>91.070147639826232</c:v>
                </c:pt>
                <c:pt idx="53">
                  <c:v>90.814974020372063</c:v>
                </c:pt>
                <c:pt idx="54">
                  <c:v>90.564214544275941</c:v>
                </c:pt>
                <c:pt idx="55">
                  <c:v>90.317711080054181</c:v>
                </c:pt>
                <c:pt idx="56">
                  <c:v>90.075313844224723</c:v>
                </c:pt>
                <c:pt idx="57">
                  <c:v>89.836880823849171</c:v>
                </c:pt>
                <c:pt idx="58">
                  <c:v>89.602277248157989</c:v>
                </c:pt>
                <c:pt idx="59">
                  <c:v>89.371375104336082</c:v>
                </c:pt>
                <c:pt idx="60">
                  <c:v>89.144052693112329</c:v>
                </c:pt>
                <c:pt idx="61">
                  <c:v>88.920194220290256</c:v>
                </c:pt>
                <c:pt idx="62">
                  <c:v>88.699689420787166</c:v>
                </c:pt>
                <c:pt idx="63">
                  <c:v>88.482433212125628</c:v>
                </c:pt>
                <c:pt idx="64">
                  <c:v>88.268325374651369</c:v>
                </c:pt>
                <c:pt idx="65">
                  <c:v>88.057270256041249</c:v>
                </c:pt>
                <c:pt idx="66">
                  <c:v>87.849176497920539</c:v>
                </c:pt>
                <c:pt idx="67">
                  <c:v>87.643956782633438</c:v>
                </c:pt>
                <c:pt idx="68">
                  <c:v>87.441527598410019</c:v>
                </c:pt>
                <c:pt idx="69">
                  <c:v>87.241809021348885</c:v>
                </c:pt>
                <c:pt idx="70">
                  <c:v>87.044724512790737</c:v>
                </c:pt>
                <c:pt idx="71">
                  <c:v>86.850200730797383</c:v>
                </c:pt>
                <c:pt idx="72">
                  <c:v>86.658167354573891</c:v>
                </c:pt>
                <c:pt idx="73">
                  <c:v>86.468556920782078</c:v>
                </c:pt>
                <c:pt idx="74">
                  <c:v>86.281304670791656</c:v>
                </c:pt>
                <c:pt idx="75">
                  <c:v>86.096348408003863</c:v>
                </c:pt>
                <c:pt idx="76">
                  <c:v>85.913628364460322</c:v>
                </c:pt>
                <c:pt idx="77">
                  <c:v>85.733087076022031</c:v>
                </c:pt>
                <c:pt idx="78">
                  <c:v>85.554669265465549</c:v>
                </c:pt>
                <c:pt idx="79">
                  <c:v>85.378321732901668</c:v>
                </c:pt>
                <c:pt idx="80">
                  <c:v>85.203993252972651</c:v>
                </c:pt>
                <c:pt idx="81">
                  <c:v>85.03163447833137</c:v>
                </c:pt>
                <c:pt idx="82">
                  <c:v>84.861197848947</c:v>
                </c:pt>
                <c:pt idx="83">
                  <c:v>84.692637506820404</c:v>
                </c:pt>
                <c:pt idx="84">
                  <c:v>84.525909215726259</c:v>
                </c:pt>
              </c:numCache>
            </c:numRef>
          </c:yVal>
          <c:smooth val="1"/>
        </c:ser>
        <c:axId val="50109824"/>
        <c:axId val="50119808"/>
      </c:scatterChart>
      <c:valAx>
        <c:axId val="50109824"/>
        <c:scaling>
          <c:orientation val="minMax"/>
        </c:scaling>
        <c:axPos val="b"/>
        <c:numFmt formatCode="General" sourceLinked="1"/>
        <c:tickLblPos val="nextTo"/>
        <c:crossAx val="50119808"/>
        <c:crosses val="autoZero"/>
        <c:crossBetween val="midCat"/>
        <c:majorUnit val="1"/>
      </c:valAx>
      <c:valAx>
        <c:axId val="50119808"/>
        <c:scaling>
          <c:orientation val="minMax"/>
          <c:min val="70"/>
        </c:scaling>
        <c:axPos val="l"/>
        <c:majorGridlines/>
        <c:numFmt formatCode="0.00" sourceLinked="1"/>
        <c:tickLblPos val="nextTo"/>
        <c:crossAx val="5010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КУ</c:v>
          </c:tx>
          <c:xVal>
            <c:numRef>
              <c:f>'200 новый'!$BM$4:$BM$394</c:f>
              <c:numCache>
                <c:formatCode>General</c:formatCode>
                <c:ptCount val="391"/>
                <c:pt idx="0">
                  <c:v>15</c:v>
                </c:pt>
                <c:pt idx="1">
                  <c:v>18.75</c:v>
                </c:pt>
                <c:pt idx="2">
                  <c:v>22.5</c:v>
                </c:pt>
                <c:pt idx="3">
                  <c:v>26.25</c:v>
                </c:pt>
                <c:pt idx="4">
                  <c:v>30</c:v>
                </c:pt>
                <c:pt idx="5">
                  <c:v>33.75</c:v>
                </c:pt>
                <c:pt idx="6">
                  <c:v>37.5</c:v>
                </c:pt>
                <c:pt idx="7">
                  <c:v>41.25</c:v>
                </c:pt>
                <c:pt idx="8">
                  <c:v>45</c:v>
                </c:pt>
                <c:pt idx="9">
                  <c:v>48.75</c:v>
                </c:pt>
                <c:pt idx="10">
                  <c:v>52.5</c:v>
                </c:pt>
                <c:pt idx="11">
                  <c:v>56.25</c:v>
                </c:pt>
                <c:pt idx="12">
                  <c:v>60</c:v>
                </c:pt>
                <c:pt idx="13">
                  <c:v>63.75</c:v>
                </c:pt>
                <c:pt idx="14">
                  <c:v>67.5</c:v>
                </c:pt>
                <c:pt idx="15">
                  <c:v>71.25</c:v>
                </c:pt>
                <c:pt idx="16">
                  <c:v>75</c:v>
                </c:pt>
                <c:pt idx="17">
                  <c:v>78.75</c:v>
                </c:pt>
                <c:pt idx="18">
                  <c:v>82.5</c:v>
                </c:pt>
                <c:pt idx="19">
                  <c:v>86.25</c:v>
                </c:pt>
                <c:pt idx="20">
                  <c:v>90</c:v>
                </c:pt>
                <c:pt idx="21">
                  <c:v>93.75</c:v>
                </c:pt>
                <c:pt idx="22">
                  <c:v>97.5</c:v>
                </c:pt>
                <c:pt idx="23">
                  <c:v>101.25</c:v>
                </c:pt>
                <c:pt idx="24">
                  <c:v>105</c:v>
                </c:pt>
                <c:pt idx="25">
                  <c:v>108.75</c:v>
                </c:pt>
                <c:pt idx="26">
                  <c:v>112.5</c:v>
                </c:pt>
                <c:pt idx="27">
                  <c:v>116.25</c:v>
                </c:pt>
                <c:pt idx="28">
                  <c:v>120</c:v>
                </c:pt>
                <c:pt idx="29">
                  <c:v>123.75</c:v>
                </c:pt>
                <c:pt idx="30">
                  <c:v>127.5</c:v>
                </c:pt>
                <c:pt idx="31">
                  <c:v>131.25</c:v>
                </c:pt>
                <c:pt idx="32">
                  <c:v>135</c:v>
                </c:pt>
                <c:pt idx="33">
                  <c:v>138.75</c:v>
                </c:pt>
                <c:pt idx="34">
                  <c:v>142.5</c:v>
                </c:pt>
                <c:pt idx="35">
                  <c:v>146.25</c:v>
                </c:pt>
                <c:pt idx="36">
                  <c:v>150</c:v>
                </c:pt>
                <c:pt idx="37">
                  <c:v>153.75</c:v>
                </c:pt>
                <c:pt idx="38">
                  <c:v>157.5</c:v>
                </c:pt>
                <c:pt idx="39">
                  <c:v>161.25</c:v>
                </c:pt>
                <c:pt idx="40">
                  <c:v>165</c:v>
                </c:pt>
                <c:pt idx="41">
                  <c:v>168.75</c:v>
                </c:pt>
                <c:pt idx="42">
                  <c:v>172.5</c:v>
                </c:pt>
                <c:pt idx="43">
                  <c:v>176.25</c:v>
                </c:pt>
                <c:pt idx="44">
                  <c:v>180</c:v>
                </c:pt>
                <c:pt idx="45">
                  <c:v>183.75</c:v>
                </c:pt>
                <c:pt idx="46">
                  <c:v>187.5</c:v>
                </c:pt>
                <c:pt idx="47">
                  <c:v>191.25</c:v>
                </c:pt>
                <c:pt idx="48">
                  <c:v>195</c:v>
                </c:pt>
                <c:pt idx="49">
                  <c:v>198.75</c:v>
                </c:pt>
                <c:pt idx="50">
                  <c:v>202.5</c:v>
                </c:pt>
                <c:pt idx="51">
                  <c:v>206.25</c:v>
                </c:pt>
                <c:pt idx="52">
                  <c:v>210</c:v>
                </c:pt>
                <c:pt idx="53">
                  <c:v>213.75</c:v>
                </c:pt>
                <c:pt idx="54">
                  <c:v>217.5</c:v>
                </c:pt>
                <c:pt idx="55">
                  <c:v>221.25</c:v>
                </c:pt>
                <c:pt idx="56">
                  <c:v>225</c:v>
                </c:pt>
                <c:pt idx="57">
                  <c:v>228.75</c:v>
                </c:pt>
                <c:pt idx="58">
                  <c:v>232.5</c:v>
                </c:pt>
                <c:pt idx="59">
                  <c:v>236.25</c:v>
                </c:pt>
                <c:pt idx="60">
                  <c:v>240</c:v>
                </c:pt>
                <c:pt idx="61">
                  <c:v>243.75</c:v>
                </c:pt>
                <c:pt idx="62">
                  <c:v>247.5</c:v>
                </c:pt>
                <c:pt idx="63">
                  <c:v>251.25</c:v>
                </c:pt>
                <c:pt idx="64">
                  <c:v>255</c:v>
                </c:pt>
                <c:pt idx="65">
                  <c:v>258.75</c:v>
                </c:pt>
                <c:pt idx="66">
                  <c:v>262.5</c:v>
                </c:pt>
                <c:pt idx="67">
                  <c:v>266.25</c:v>
                </c:pt>
                <c:pt idx="68">
                  <c:v>270</c:v>
                </c:pt>
                <c:pt idx="69">
                  <c:v>273.75</c:v>
                </c:pt>
                <c:pt idx="70">
                  <c:v>277.5</c:v>
                </c:pt>
                <c:pt idx="71">
                  <c:v>281.25</c:v>
                </c:pt>
                <c:pt idx="72">
                  <c:v>285</c:v>
                </c:pt>
                <c:pt idx="73">
                  <c:v>288.75</c:v>
                </c:pt>
                <c:pt idx="74">
                  <c:v>292.5</c:v>
                </c:pt>
                <c:pt idx="75">
                  <c:v>296.25</c:v>
                </c:pt>
                <c:pt idx="76">
                  <c:v>300</c:v>
                </c:pt>
                <c:pt idx="77">
                  <c:v>303.75</c:v>
                </c:pt>
                <c:pt idx="78">
                  <c:v>307.5</c:v>
                </c:pt>
                <c:pt idx="79">
                  <c:v>311.25</c:v>
                </c:pt>
                <c:pt idx="80">
                  <c:v>315</c:v>
                </c:pt>
                <c:pt idx="81">
                  <c:v>318.75</c:v>
                </c:pt>
                <c:pt idx="82">
                  <c:v>322.5</c:v>
                </c:pt>
                <c:pt idx="83">
                  <c:v>326.25</c:v>
                </c:pt>
                <c:pt idx="84">
                  <c:v>330</c:v>
                </c:pt>
                <c:pt idx="85">
                  <c:v>333.75</c:v>
                </c:pt>
                <c:pt idx="86">
                  <c:v>337.5</c:v>
                </c:pt>
                <c:pt idx="87">
                  <c:v>341.25</c:v>
                </c:pt>
                <c:pt idx="88">
                  <c:v>345</c:v>
                </c:pt>
                <c:pt idx="89">
                  <c:v>348.75</c:v>
                </c:pt>
                <c:pt idx="90">
                  <c:v>352.5</c:v>
                </c:pt>
                <c:pt idx="91">
                  <c:v>356.25</c:v>
                </c:pt>
                <c:pt idx="92">
                  <c:v>360</c:v>
                </c:pt>
                <c:pt idx="93">
                  <c:v>363.75</c:v>
                </c:pt>
                <c:pt idx="94">
                  <c:v>367.5</c:v>
                </c:pt>
                <c:pt idx="95">
                  <c:v>371.25</c:v>
                </c:pt>
                <c:pt idx="96">
                  <c:v>375</c:v>
                </c:pt>
                <c:pt idx="97">
                  <c:v>378.75</c:v>
                </c:pt>
                <c:pt idx="98">
                  <c:v>382.5</c:v>
                </c:pt>
                <c:pt idx="99">
                  <c:v>386.25</c:v>
                </c:pt>
                <c:pt idx="100">
                  <c:v>390</c:v>
                </c:pt>
                <c:pt idx="101">
                  <c:v>393.75</c:v>
                </c:pt>
                <c:pt idx="102">
                  <c:v>397.5</c:v>
                </c:pt>
                <c:pt idx="103">
                  <c:v>401.25</c:v>
                </c:pt>
                <c:pt idx="104">
                  <c:v>405</c:v>
                </c:pt>
                <c:pt idx="105">
                  <c:v>408.75</c:v>
                </c:pt>
                <c:pt idx="106">
                  <c:v>412.5</c:v>
                </c:pt>
                <c:pt idx="107">
                  <c:v>416.25</c:v>
                </c:pt>
                <c:pt idx="108">
                  <c:v>420</c:v>
                </c:pt>
                <c:pt idx="109">
                  <c:v>423.75</c:v>
                </c:pt>
                <c:pt idx="110">
                  <c:v>427.5</c:v>
                </c:pt>
                <c:pt idx="111">
                  <c:v>431.25</c:v>
                </c:pt>
                <c:pt idx="112">
                  <c:v>435</c:v>
                </c:pt>
                <c:pt idx="113">
                  <c:v>438.75</c:v>
                </c:pt>
                <c:pt idx="114">
                  <c:v>442.5</c:v>
                </c:pt>
                <c:pt idx="115">
                  <c:v>446.25</c:v>
                </c:pt>
                <c:pt idx="116">
                  <c:v>450</c:v>
                </c:pt>
                <c:pt idx="117">
                  <c:v>453.75</c:v>
                </c:pt>
                <c:pt idx="118">
                  <c:v>457.5</c:v>
                </c:pt>
                <c:pt idx="119">
                  <c:v>461.25</c:v>
                </c:pt>
                <c:pt idx="120">
                  <c:v>465</c:v>
                </c:pt>
                <c:pt idx="121">
                  <c:v>468.75</c:v>
                </c:pt>
                <c:pt idx="122">
                  <c:v>472.5</c:v>
                </c:pt>
                <c:pt idx="123">
                  <c:v>476.25</c:v>
                </c:pt>
                <c:pt idx="124">
                  <c:v>480</c:v>
                </c:pt>
                <c:pt idx="125">
                  <c:v>483.75</c:v>
                </c:pt>
                <c:pt idx="126">
                  <c:v>487.5</c:v>
                </c:pt>
                <c:pt idx="127">
                  <c:v>491.25</c:v>
                </c:pt>
                <c:pt idx="128">
                  <c:v>495</c:v>
                </c:pt>
                <c:pt idx="129">
                  <c:v>498.75</c:v>
                </c:pt>
                <c:pt idx="130">
                  <c:v>502.5</c:v>
                </c:pt>
                <c:pt idx="131">
                  <c:v>506.25</c:v>
                </c:pt>
                <c:pt idx="132">
                  <c:v>510</c:v>
                </c:pt>
                <c:pt idx="133">
                  <c:v>513.75</c:v>
                </c:pt>
                <c:pt idx="134">
                  <c:v>517.5</c:v>
                </c:pt>
                <c:pt idx="135">
                  <c:v>521.25</c:v>
                </c:pt>
                <c:pt idx="136">
                  <c:v>525</c:v>
                </c:pt>
                <c:pt idx="137">
                  <c:v>528.75</c:v>
                </c:pt>
                <c:pt idx="138">
                  <c:v>532.5</c:v>
                </c:pt>
                <c:pt idx="139">
                  <c:v>536.25</c:v>
                </c:pt>
                <c:pt idx="140">
                  <c:v>540</c:v>
                </c:pt>
                <c:pt idx="141">
                  <c:v>543.75</c:v>
                </c:pt>
                <c:pt idx="142">
                  <c:v>547.5</c:v>
                </c:pt>
                <c:pt idx="143">
                  <c:v>551.25</c:v>
                </c:pt>
                <c:pt idx="144">
                  <c:v>555</c:v>
                </c:pt>
                <c:pt idx="145">
                  <c:v>558.75</c:v>
                </c:pt>
                <c:pt idx="146">
                  <c:v>562.5</c:v>
                </c:pt>
                <c:pt idx="147">
                  <c:v>566.25</c:v>
                </c:pt>
                <c:pt idx="148">
                  <c:v>570</c:v>
                </c:pt>
                <c:pt idx="149">
                  <c:v>573.75</c:v>
                </c:pt>
                <c:pt idx="150">
                  <c:v>577.5</c:v>
                </c:pt>
                <c:pt idx="151">
                  <c:v>581.25</c:v>
                </c:pt>
                <c:pt idx="152">
                  <c:v>585</c:v>
                </c:pt>
                <c:pt idx="153">
                  <c:v>588.75</c:v>
                </c:pt>
                <c:pt idx="154">
                  <c:v>592.5</c:v>
                </c:pt>
                <c:pt idx="155">
                  <c:v>596.25</c:v>
                </c:pt>
                <c:pt idx="156">
                  <c:v>600</c:v>
                </c:pt>
                <c:pt idx="157">
                  <c:v>603.75</c:v>
                </c:pt>
                <c:pt idx="158">
                  <c:v>607.5</c:v>
                </c:pt>
                <c:pt idx="159">
                  <c:v>611.25</c:v>
                </c:pt>
                <c:pt idx="160">
                  <c:v>615</c:v>
                </c:pt>
                <c:pt idx="161">
                  <c:v>618.75</c:v>
                </c:pt>
                <c:pt idx="162">
                  <c:v>622.5</c:v>
                </c:pt>
                <c:pt idx="163">
                  <c:v>626.25</c:v>
                </c:pt>
                <c:pt idx="164">
                  <c:v>630</c:v>
                </c:pt>
                <c:pt idx="165">
                  <c:v>633.75</c:v>
                </c:pt>
                <c:pt idx="166">
                  <c:v>637.5</c:v>
                </c:pt>
                <c:pt idx="167">
                  <c:v>641.25</c:v>
                </c:pt>
                <c:pt idx="168">
                  <c:v>645</c:v>
                </c:pt>
                <c:pt idx="169">
                  <c:v>648.75</c:v>
                </c:pt>
                <c:pt idx="170">
                  <c:v>652.5</c:v>
                </c:pt>
                <c:pt idx="171">
                  <c:v>656.25</c:v>
                </c:pt>
                <c:pt idx="172">
                  <c:v>660</c:v>
                </c:pt>
                <c:pt idx="173">
                  <c:v>663.75</c:v>
                </c:pt>
                <c:pt idx="174">
                  <c:v>667.5</c:v>
                </c:pt>
                <c:pt idx="175">
                  <c:v>671.25</c:v>
                </c:pt>
                <c:pt idx="176">
                  <c:v>675</c:v>
                </c:pt>
                <c:pt idx="177">
                  <c:v>678.75</c:v>
                </c:pt>
                <c:pt idx="178">
                  <c:v>682.5</c:v>
                </c:pt>
                <c:pt idx="179">
                  <c:v>686.25</c:v>
                </c:pt>
                <c:pt idx="180">
                  <c:v>690</c:v>
                </c:pt>
                <c:pt idx="181">
                  <c:v>693.75</c:v>
                </c:pt>
                <c:pt idx="182">
                  <c:v>697.5</c:v>
                </c:pt>
                <c:pt idx="183">
                  <c:v>701.25</c:v>
                </c:pt>
                <c:pt idx="184">
                  <c:v>705</c:v>
                </c:pt>
                <c:pt idx="185">
                  <c:v>708.75</c:v>
                </c:pt>
                <c:pt idx="186">
                  <c:v>712.5</c:v>
                </c:pt>
                <c:pt idx="187">
                  <c:v>716.25</c:v>
                </c:pt>
                <c:pt idx="188">
                  <c:v>720</c:v>
                </c:pt>
                <c:pt idx="189">
                  <c:v>723.75</c:v>
                </c:pt>
                <c:pt idx="190">
                  <c:v>727.5</c:v>
                </c:pt>
                <c:pt idx="191">
                  <c:v>731.25</c:v>
                </c:pt>
                <c:pt idx="192">
                  <c:v>735</c:v>
                </c:pt>
                <c:pt idx="193">
                  <c:v>738.75</c:v>
                </c:pt>
                <c:pt idx="194">
                  <c:v>742.5</c:v>
                </c:pt>
                <c:pt idx="195">
                  <c:v>746.25</c:v>
                </c:pt>
                <c:pt idx="196">
                  <c:v>750</c:v>
                </c:pt>
                <c:pt idx="197">
                  <c:v>753.75</c:v>
                </c:pt>
                <c:pt idx="198">
                  <c:v>757.5</c:v>
                </c:pt>
                <c:pt idx="199">
                  <c:v>761.25</c:v>
                </c:pt>
                <c:pt idx="200">
                  <c:v>765</c:v>
                </c:pt>
                <c:pt idx="201">
                  <c:v>768.75</c:v>
                </c:pt>
                <c:pt idx="202">
                  <c:v>772.5</c:v>
                </c:pt>
                <c:pt idx="203">
                  <c:v>776.25</c:v>
                </c:pt>
                <c:pt idx="204">
                  <c:v>780</c:v>
                </c:pt>
                <c:pt idx="205">
                  <c:v>783.75</c:v>
                </c:pt>
                <c:pt idx="206">
                  <c:v>787.5</c:v>
                </c:pt>
                <c:pt idx="207">
                  <c:v>791.25</c:v>
                </c:pt>
                <c:pt idx="208">
                  <c:v>795</c:v>
                </c:pt>
                <c:pt idx="209">
                  <c:v>798.75</c:v>
                </c:pt>
                <c:pt idx="210">
                  <c:v>802.5</c:v>
                </c:pt>
                <c:pt idx="211">
                  <c:v>806.25</c:v>
                </c:pt>
                <c:pt idx="212">
                  <c:v>810</c:v>
                </c:pt>
                <c:pt idx="213">
                  <c:v>813.75</c:v>
                </c:pt>
                <c:pt idx="214">
                  <c:v>817.5</c:v>
                </c:pt>
                <c:pt idx="215">
                  <c:v>821.25</c:v>
                </c:pt>
                <c:pt idx="216">
                  <c:v>825</c:v>
                </c:pt>
                <c:pt idx="217">
                  <c:v>828.75</c:v>
                </c:pt>
                <c:pt idx="218">
                  <c:v>832.5</c:v>
                </c:pt>
                <c:pt idx="219">
                  <c:v>836.25</c:v>
                </c:pt>
                <c:pt idx="220">
                  <c:v>840</c:v>
                </c:pt>
                <c:pt idx="221">
                  <c:v>843.75</c:v>
                </c:pt>
                <c:pt idx="222">
                  <c:v>847.5</c:v>
                </c:pt>
                <c:pt idx="223">
                  <c:v>851.25</c:v>
                </c:pt>
                <c:pt idx="224">
                  <c:v>855</c:v>
                </c:pt>
                <c:pt idx="225">
                  <c:v>858.75</c:v>
                </c:pt>
                <c:pt idx="226">
                  <c:v>862.5</c:v>
                </c:pt>
                <c:pt idx="227">
                  <c:v>866.25</c:v>
                </c:pt>
                <c:pt idx="228">
                  <c:v>870</c:v>
                </c:pt>
                <c:pt idx="229">
                  <c:v>873.75</c:v>
                </c:pt>
                <c:pt idx="230">
                  <c:v>877.5</c:v>
                </c:pt>
                <c:pt idx="231">
                  <c:v>881.25</c:v>
                </c:pt>
                <c:pt idx="232">
                  <c:v>885</c:v>
                </c:pt>
                <c:pt idx="233">
                  <c:v>888.75</c:v>
                </c:pt>
                <c:pt idx="234">
                  <c:v>892.5</c:v>
                </c:pt>
                <c:pt idx="235">
                  <c:v>896.25</c:v>
                </c:pt>
                <c:pt idx="236">
                  <c:v>900</c:v>
                </c:pt>
                <c:pt idx="237">
                  <c:v>903.75</c:v>
                </c:pt>
                <c:pt idx="238">
                  <c:v>907.5</c:v>
                </c:pt>
                <c:pt idx="239">
                  <c:v>911.25</c:v>
                </c:pt>
                <c:pt idx="240">
                  <c:v>915</c:v>
                </c:pt>
                <c:pt idx="241">
                  <c:v>918.75</c:v>
                </c:pt>
                <c:pt idx="242">
                  <c:v>922.5</c:v>
                </c:pt>
                <c:pt idx="243">
                  <c:v>926.25</c:v>
                </c:pt>
                <c:pt idx="244">
                  <c:v>930</c:v>
                </c:pt>
                <c:pt idx="245">
                  <c:v>933.75</c:v>
                </c:pt>
                <c:pt idx="246">
                  <c:v>937.5</c:v>
                </c:pt>
                <c:pt idx="247">
                  <c:v>941.25</c:v>
                </c:pt>
                <c:pt idx="248">
                  <c:v>945</c:v>
                </c:pt>
                <c:pt idx="249">
                  <c:v>948.75</c:v>
                </c:pt>
                <c:pt idx="250">
                  <c:v>952.5</c:v>
                </c:pt>
                <c:pt idx="251">
                  <c:v>956.25</c:v>
                </c:pt>
                <c:pt idx="252">
                  <c:v>960</c:v>
                </c:pt>
                <c:pt idx="253">
                  <c:v>963.75</c:v>
                </c:pt>
                <c:pt idx="254">
                  <c:v>967.5</c:v>
                </c:pt>
                <c:pt idx="255">
                  <c:v>971.25</c:v>
                </c:pt>
                <c:pt idx="256">
                  <c:v>975</c:v>
                </c:pt>
                <c:pt idx="257">
                  <c:v>978.75</c:v>
                </c:pt>
                <c:pt idx="258">
                  <c:v>982.5</c:v>
                </c:pt>
                <c:pt idx="259">
                  <c:v>986.25</c:v>
                </c:pt>
                <c:pt idx="260">
                  <c:v>990</c:v>
                </c:pt>
                <c:pt idx="261">
                  <c:v>993.75</c:v>
                </c:pt>
                <c:pt idx="262">
                  <c:v>997.5</c:v>
                </c:pt>
                <c:pt idx="263">
                  <c:v>1001.25</c:v>
                </c:pt>
                <c:pt idx="264">
                  <c:v>1005</c:v>
                </c:pt>
                <c:pt idx="265">
                  <c:v>1008.75</c:v>
                </c:pt>
                <c:pt idx="266">
                  <c:v>1012.5</c:v>
                </c:pt>
                <c:pt idx="267">
                  <c:v>1016.25</c:v>
                </c:pt>
                <c:pt idx="268">
                  <c:v>1020</c:v>
                </c:pt>
                <c:pt idx="269">
                  <c:v>1023.75</c:v>
                </c:pt>
                <c:pt idx="270">
                  <c:v>1027.5</c:v>
                </c:pt>
                <c:pt idx="271">
                  <c:v>1031.25</c:v>
                </c:pt>
                <c:pt idx="272">
                  <c:v>1035</c:v>
                </c:pt>
                <c:pt idx="273">
                  <c:v>1038.75</c:v>
                </c:pt>
                <c:pt idx="274">
                  <c:v>1042.5</c:v>
                </c:pt>
                <c:pt idx="275">
                  <c:v>1046.25</c:v>
                </c:pt>
                <c:pt idx="276">
                  <c:v>1050</c:v>
                </c:pt>
                <c:pt idx="277">
                  <c:v>1053.75</c:v>
                </c:pt>
                <c:pt idx="278">
                  <c:v>1057.5</c:v>
                </c:pt>
                <c:pt idx="279">
                  <c:v>1061.25</c:v>
                </c:pt>
                <c:pt idx="280">
                  <c:v>1065</c:v>
                </c:pt>
                <c:pt idx="281">
                  <c:v>1068.75</c:v>
                </c:pt>
                <c:pt idx="282">
                  <c:v>1072.5</c:v>
                </c:pt>
                <c:pt idx="283">
                  <c:v>1076.25</c:v>
                </c:pt>
                <c:pt idx="284">
                  <c:v>1080</c:v>
                </c:pt>
                <c:pt idx="285">
                  <c:v>1083.75</c:v>
                </c:pt>
                <c:pt idx="286">
                  <c:v>1087.5</c:v>
                </c:pt>
                <c:pt idx="287">
                  <c:v>1091.25</c:v>
                </c:pt>
                <c:pt idx="288">
                  <c:v>1095</c:v>
                </c:pt>
                <c:pt idx="289">
                  <c:v>1098.75</c:v>
                </c:pt>
                <c:pt idx="290">
                  <c:v>1102.5</c:v>
                </c:pt>
                <c:pt idx="291">
                  <c:v>1106.25</c:v>
                </c:pt>
                <c:pt idx="292">
                  <c:v>1110</c:v>
                </c:pt>
                <c:pt idx="293">
                  <c:v>1113.75</c:v>
                </c:pt>
                <c:pt idx="294">
                  <c:v>1117.5</c:v>
                </c:pt>
                <c:pt idx="295">
                  <c:v>1121.25</c:v>
                </c:pt>
                <c:pt idx="296">
                  <c:v>1125</c:v>
                </c:pt>
                <c:pt idx="297">
                  <c:v>1128.75</c:v>
                </c:pt>
                <c:pt idx="298">
                  <c:v>1132.5</c:v>
                </c:pt>
                <c:pt idx="299">
                  <c:v>1136.25</c:v>
                </c:pt>
                <c:pt idx="300">
                  <c:v>1140</c:v>
                </c:pt>
                <c:pt idx="301">
                  <c:v>1143.75</c:v>
                </c:pt>
                <c:pt idx="302">
                  <c:v>1147.5</c:v>
                </c:pt>
                <c:pt idx="303">
                  <c:v>1151.25</c:v>
                </c:pt>
                <c:pt idx="304">
                  <c:v>1155</c:v>
                </c:pt>
                <c:pt idx="305">
                  <c:v>1158.75</c:v>
                </c:pt>
                <c:pt idx="306">
                  <c:v>1162.5</c:v>
                </c:pt>
                <c:pt idx="307">
                  <c:v>1166.25</c:v>
                </c:pt>
                <c:pt idx="308">
                  <c:v>1170</c:v>
                </c:pt>
                <c:pt idx="309">
                  <c:v>1173.75</c:v>
                </c:pt>
                <c:pt idx="310">
                  <c:v>1177.5</c:v>
                </c:pt>
                <c:pt idx="311">
                  <c:v>1181.25</c:v>
                </c:pt>
                <c:pt idx="312">
                  <c:v>1185</c:v>
                </c:pt>
                <c:pt idx="313">
                  <c:v>1188.75</c:v>
                </c:pt>
                <c:pt idx="314">
                  <c:v>1192.5</c:v>
                </c:pt>
                <c:pt idx="315">
                  <c:v>1196.25</c:v>
                </c:pt>
                <c:pt idx="316">
                  <c:v>1200</c:v>
                </c:pt>
                <c:pt idx="317">
                  <c:v>1203.75</c:v>
                </c:pt>
                <c:pt idx="318">
                  <c:v>1207.5</c:v>
                </c:pt>
                <c:pt idx="319">
                  <c:v>1211.25</c:v>
                </c:pt>
                <c:pt idx="320">
                  <c:v>1215</c:v>
                </c:pt>
                <c:pt idx="321">
                  <c:v>1218.75</c:v>
                </c:pt>
                <c:pt idx="322">
                  <c:v>1222.5</c:v>
                </c:pt>
                <c:pt idx="323">
                  <c:v>1226.25</c:v>
                </c:pt>
                <c:pt idx="324">
                  <c:v>1230</c:v>
                </c:pt>
                <c:pt idx="325">
                  <c:v>1233.75</c:v>
                </c:pt>
                <c:pt idx="326">
                  <c:v>1237.5</c:v>
                </c:pt>
                <c:pt idx="327">
                  <c:v>1241.25</c:v>
                </c:pt>
                <c:pt idx="328">
                  <c:v>1245</c:v>
                </c:pt>
                <c:pt idx="329">
                  <c:v>1248.75</c:v>
                </c:pt>
                <c:pt idx="330">
                  <c:v>1252.5</c:v>
                </c:pt>
                <c:pt idx="331">
                  <c:v>1256.25</c:v>
                </c:pt>
                <c:pt idx="332">
                  <c:v>1260</c:v>
                </c:pt>
                <c:pt idx="333">
                  <c:v>1263.75</c:v>
                </c:pt>
                <c:pt idx="334">
                  <c:v>1267.5</c:v>
                </c:pt>
                <c:pt idx="335">
                  <c:v>1271.25</c:v>
                </c:pt>
                <c:pt idx="336">
                  <c:v>1275</c:v>
                </c:pt>
                <c:pt idx="337">
                  <c:v>1278.75</c:v>
                </c:pt>
                <c:pt idx="338">
                  <c:v>1282.5</c:v>
                </c:pt>
                <c:pt idx="339">
                  <c:v>1286.25</c:v>
                </c:pt>
                <c:pt idx="340">
                  <c:v>1290</c:v>
                </c:pt>
                <c:pt idx="341">
                  <c:v>1293.75</c:v>
                </c:pt>
                <c:pt idx="342">
                  <c:v>1297.5</c:v>
                </c:pt>
                <c:pt idx="343">
                  <c:v>1301.25</c:v>
                </c:pt>
                <c:pt idx="344">
                  <c:v>1305</c:v>
                </c:pt>
                <c:pt idx="345">
                  <c:v>1308.75</c:v>
                </c:pt>
                <c:pt idx="346">
                  <c:v>1312.5</c:v>
                </c:pt>
                <c:pt idx="347">
                  <c:v>1316.25</c:v>
                </c:pt>
                <c:pt idx="348">
                  <c:v>1320</c:v>
                </c:pt>
                <c:pt idx="349">
                  <c:v>1323.75</c:v>
                </c:pt>
                <c:pt idx="350">
                  <c:v>1327.5</c:v>
                </c:pt>
                <c:pt idx="351">
                  <c:v>1331.25</c:v>
                </c:pt>
                <c:pt idx="352">
                  <c:v>1335</c:v>
                </c:pt>
                <c:pt idx="353">
                  <c:v>1338.75</c:v>
                </c:pt>
                <c:pt idx="354">
                  <c:v>1342.5</c:v>
                </c:pt>
                <c:pt idx="355">
                  <c:v>1346.25</c:v>
                </c:pt>
                <c:pt idx="356">
                  <c:v>1350</c:v>
                </c:pt>
                <c:pt idx="357">
                  <c:v>1353.75</c:v>
                </c:pt>
                <c:pt idx="358">
                  <c:v>1357.5</c:v>
                </c:pt>
                <c:pt idx="359">
                  <c:v>1361.25</c:v>
                </c:pt>
                <c:pt idx="360">
                  <c:v>1365</c:v>
                </c:pt>
                <c:pt idx="361">
                  <c:v>1368.75</c:v>
                </c:pt>
                <c:pt idx="362">
                  <c:v>1372.5</c:v>
                </c:pt>
                <c:pt idx="363">
                  <c:v>1376.25</c:v>
                </c:pt>
                <c:pt idx="364">
                  <c:v>1380</c:v>
                </c:pt>
                <c:pt idx="365">
                  <c:v>1383.75</c:v>
                </c:pt>
                <c:pt idx="366">
                  <c:v>1387.5</c:v>
                </c:pt>
                <c:pt idx="367">
                  <c:v>1391.25</c:v>
                </c:pt>
                <c:pt idx="368">
                  <c:v>1395</c:v>
                </c:pt>
                <c:pt idx="369">
                  <c:v>1398.75</c:v>
                </c:pt>
                <c:pt idx="370">
                  <c:v>1402.5</c:v>
                </c:pt>
                <c:pt idx="371">
                  <c:v>1406.25</c:v>
                </c:pt>
                <c:pt idx="372">
                  <c:v>1410</c:v>
                </c:pt>
                <c:pt idx="373">
                  <c:v>1413.75</c:v>
                </c:pt>
                <c:pt idx="374">
                  <c:v>1417.5</c:v>
                </c:pt>
                <c:pt idx="375">
                  <c:v>1421.25</c:v>
                </c:pt>
                <c:pt idx="376">
                  <c:v>1425</c:v>
                </c:pt>
                <c:pt idx="377">
                  <c:v>1428.75</c:v>
                </c:pt>
                <c:pt idx="378">
                  <c:v>1432.5</c:v>
                </c:pt>
                <c:pt idx="379">
                  <c:v>1436.25</c:v>
                </c:pt>
                <c:pt idx="380">
                  <c:v>1440</c:v>
                </c:pt>
                <c:pt idx="381">
                  <c:v>1443.75</c:v>
                </c:pt>
                <c:pt idx="382">
                  <c:v>1447.5</c:v>
                </c:pt>
                <c:pt idx="383">
                  <c:v>1451.25</c:v>
                </c:pt>
                <c:pt idx="384">
                  <c:v>1455</c:v>
                </c:pt>
                <c:pt idx="385">
                  <c:v>1458.75</c:v>
                </c:pt>
                <c:pt idx="386">
                  <c:v>1462.5</c:v>
                </c:pt>
                <c:pt idx="387">
                  <c:v>1466.25</c:v>
                </c:pt>
                <c:pt idx="388">
                  <c:v>1470</c:v>
                </c:pt>
                <c:pt idx="389">
                  <c:v>1473.75</c:v>
                </c:pt>
                <c:pt idx="390">
                  <c:v>1477.5</c:v>
                </c:pt>
              </c:numCache>
            </c:numRef>
          </c:xVal>
          <c:yVal>
            <c:numRef>
              <c:f>'200 новый'!$BS$4:$BS$394</c:f>
              <c:numCache>
                <c:formatCode>General</c:formatCode>
                <c:ptCount val="391"/>
                <c:pt idx="0">
                  <c:v>15.936068691398441</c:v>
                </c:pt>
                <c:pt idx="1">
                  <c:v>20.223843207640314</c:v>
                </c:pt>
                <c:pt idx="2">
                  <c:v>24.638678982079316</c:v>
                </c:pt>
                <c:pt idx="3">
                  <c:v>29.1834540591253</c:v>
                </c:pt>
                <c:pt idx="4">
                  <c:v>33.861104711595928</c:v>
                </c:pt>
                <c:pt idx="5">
                  <c:v>38.674626547323349</c:v>
                </c:pt>
                <c:pt idx="6">
                  <c:v>43.627075635970073</c:v>
                </c:pt>
                <c:pt idx="7">
                  <c:v>48.721569656413365</c:v>
                </c:pt>
                <c:pt idx="8">
                  <c:v>53.9612890650628</c:v>
                </c:pt>
                <c:pt idx="9">
                  <c:v>59.349478285483187</c:v>
                </c:pt>
                <c:pt idx="10">
                  <c:v>64.889446919701015</c:v>
                </c:pt>
                <c:pt idx="11">
                  <c:v>70.584570981577883</c:v>
                </c:pt>
                <c:pt idx="12">
                  <c:v>76.438294152644218</c:v>
                </c:pt>
                <c:pt idx="13">
                  <c:v>82.454129060790052</c:v>
                </c:pt>
                <c:pt idx="14">
                  <c:v>88.6356585822178</c:v>
                </c:pt>
                <c:pt idx="15">
                  <c:v>94.986537167070964</c:v>
                </c:pt>
                <c:pt idx="16">
                  <c:v>101.51049218915489</c:v>
                </c:pt>
                <c:pt idx="17">
                  <c:v>108.21132532017965</c:v>
                </c:pt>
                <c:pt idx="18">
                  <c:v>115.09291392895695</c:v>
                </c:pt>
                <c:pt idx="19">
                  <c:v>122.15921250599231</c:v>
                </c:pt>
                <c:pt idx="20">
                  <c:v>129.41425411392285</c:v>
                </c:pt>
                <c:pt idx="21">
                  <c:v>136.8621518642577</c:v>
                </c:pt>
                <c:pt idx="22">
                  <c:v>144.50710042088389</c:v>
                </c:pt>
                <c:pt idx="23">
                  <c:v>152.35337753081473</c:v>
                </c:pt>
                <c:pt idx="24">
                  <c:v>160.40534558265531</c:v>
                </c:pt>
                <c:pt idx="25">
                  <c:v>168.66745319328251</c:v>
                </c:pt>
                <c:pt idx="26">
                  <c:v>177.14423682323223</c:v>
                </c:pt>
                <c:pt idx="27">
                  <c:v>185.84032242129931</c:v>
                </c:pt>
                <c:pt idx="28">
                  <c:v>194.76042709887201</c:v>
                </c:pt>
                <c:pt idx="29">
                  <c:v>203.90936083451868</c:v>
                </c:pt>
                <c:pt idx="30">
                  <c:v>213.29202820936206</c:v>
                </c:pt>
                <c:pt idx="31">
                  <c:v>222.91343017378725</c:v>
                </c:pt>
                <c:pt idx="32">
                  <c:v>232.77866584602941</c:v>
                </c:pt>
                <c:pt idx="33">
                  <c:v>242.89293434320675</c:v>
                </c:pt>
                <c:pt idx="34">
                  <c:v>253.26153664537108</c:v>
                </c:pt>
                <c:pt idx="35">
                  <c:v>263.88987749315095</c:v>
                </c:pt>
                <c:pt idx="36">
                  <c:v>274.78346731958538</c:v>
                </c:pt>
                <c:pt idx="37">
                  <c:v>285.94792421674896</c:v>
                </c:pt>
                <c:pt idx="38">
                  <c:v>297.38897593777165</c:v>
                </c:pt>
                <c:pt idx="39">
                  <c:v>309.11246193488802</c:v>
                </c:pt>
                <c:pt idx="40">
                  <c:v>321.12433543414056</c:v>
                </c:pt>
                <c:pt idx="41">
                  <c:v>333.43066554738323</c:v>
                </c:pt>
                <c:pt idx="42">
                  <c:v>346.03763942224174</c:v>
                </c:pt>
                <c:pt idx="43">
                  <c:v>358.95156443069436</c:v>
                </c:pt>
                <c:pt idx="44">
                  <c:v>372.17887039695523</c:v>
                </c:pt>
                <c:pt idx="45">
                  <c:v>385.7261118653451</c:v>
                </c:pt>
                <c:pt idx="46">
                  <c:v>399.59997040885537</c:v>
                </c:pt>
                <c:pt idx="47">
                  <c:v>413.80725697911515</c:v>
                </c:pt>
                <c:pt idx="48">
                  <c:v>428.35491429849105</c:v>
                </c:pt>
                <c:pt idx="49">
                  <c:v>443.25001929505538</c:v>
                </c:pt>
                <c:pt idx="50">
                  <c:v>458.49978558117397</c:v>
                </c:pt>
                <c:pt idx="51">
                  <c:v>474.11156597648261</c:v>
                </c:pt>
                <c:pt idx="52">
                  <c:v>490.09285507601896</c:v>
                </c:pt>
                <c:pt idx="53">
                  <c:v>506.45129186431677</c:v>
                </c:pt>
                <c:pt idx="54">
                  <c:v>523.19466237624238</c:v>
                </c:pt>
                <c:pt idx="55">
                  <c:v>540.33090240542344</c:v>
                </c:pt>
                <c:pt idx="56">
                  <c:v>557.86810026107321</c:v>
                </c:pt>
                <c:pt idx="57">
                  <c:v>575.81449957407085</c:v>
                </c:pt>
                <c:pt idx="58">
                  <c:v>594.17850215316082</c:v>
                </c:pt>
                <c:pt idx="59">
                  <c:v>612.96867089213856</c:v>
                </c:pt>
                <c:pt idx="60">
                  <c:v>632.19373272891755</c:v>
                </c:pt>
                <c:pt idx="61">
                  <c:v>651.86258165739264</c:v>
                </c:pt>
                <c:pt idx="62">
                  <c:v>671.9842817930006</c:v>
                </c:pt>
                <c:pt idx="63">
                  <c:v>692.56807049293616</c:v>
                </c:pt>
                <c:pt idx="64">
                  <c:v>713.62336153197248</c:v>
                </c:pt>
                <c:pt idx="65">
                  <c:v>735.15974833484347</c:v>
                </c:pt>
                <c:pt idx="66">
                  <c:v>757.18700726619284</c:v>
                </c:pt>
                <c:pt idx="67">
                  <c:v>779.7151009790789</c:v>
                </c:pt>
                <c:pt idx="68">
                  <c:v>802.75418182307078</c:v>
                </c:pt>
                <c:pt idx="69">
                  <c:v>826.31459531295934</c:v>
                </c:pt>
                <c:pt idx="70">
                  <c:v>850.40688365914752</c:v>
                </c:pt>
                <c:pt idx="71">
                  <c:v>875.04178936079325</c:v>
                </c:pt>
                <c:pt idx="72">
                  <c:v>900.23025886280186</c:v>
                </c:pt>
                <c:pt idx="73">
                  <c:v>925.98344627776873</c:v>
                </c:pt>
                <c:pt idx="74">
                  <c:v>952.31271717401728</c:v>
                </c:pt>
                <c:pt idx="75">
                  <c:v>979.22965243086821</c:v>
                </c:pt>
                <c:pt idx="76">
                  <c:v>1006.7460521623149</c:v>
                </c:pt>
                <c:pt idx="77">
                  <c:v>1034.873939710312</c:v>
                </c:pt>
                <c:pt idx="78">
                  <c:v>1063.6255657088468</c:v>
                </c:pt>
                <c:pt idx="79">
                  <c:v>1093.0134122200668</c:v>
                </c:pt>
                <c:pt idx="80">
                  <c:v>1123.0501969436991</c:v>
                </c:pt>
                <c:pt idx="81">
                  <c:v>1153.7488775010211</c:v>
                </c:pt>
                <c:pt idx="82">
                  <c:v>1185.122655794697</c:v>
                </c:pt>
                <c:pt idx="83">
                  <c:v>1217.184982445795</c:v>
                </c:pt>
                <c:pt idx="84">
                  <c:v>1249.9495613093138</c:v>
                </c:pt>
                <c:pt idx="85">
                  <c:v>1283.4303540695926</c:v>
                </c:pt>
                <c:pt idx="86">
                  <c:v>1317.6415849169878</c:v>
                </c:pt>
                <c:pt idx="87">
                  <c:v>1352.597745307221</c:v>
                </c:pt>
                <c:pt idx="88">
                  <c:v>1388.3135988048377</c:v>
                </c:pt>
                <c:pt idx="89">
                  <c:v>1424.8041860122335</c:v>
                </c:pt>
                <c:pt idx="90">
                  <c:v>1462.0848295857338</c:v>
                </c:pt>
                <c:pt idx="91">
                  <c:v>1500.1711393402329</c:v>
                </c:pt>
                <c:pt idx="92">
                  <c:v>1539.0790174439273</c:v>
                </c:pt>
                <c:pt idx="93">
                  <c:v>1578.8246637046932</c:v>
                </c:pt>
                <c:pt idx="94">
                  <c:v>1619.4245809497306</c:v>
                </c:pt>
                <c:pt idx="95">
                  <c:v>1660.8955805000458</c:v>
                </c:pt>
                <c:pt idx="96">
                  <c:v>1703.2547877414202</c:v>
                </c:pt>
                <c:pt idx="97">
                  <c:v>1746.5196477935926</c:v>
                </c:pt>
                <c:pt idx="98">
                  <c:v>1790.7079312792598</c:v>
                </c:pt>
                <c:pt idx="99">
                  <c:v>1835.8377401947073</c:v>
                </c:pt>
                <c:pt idx="100">
                  <c:v>1881.9275138837675</c:v>
                </c:pt>
                <c:pt idx="101">
                  <c:v>1928.9960351169282</c:v>
                </c:pt>
                <c:pt idx="102">
                  <c:v>1977.062436277397</c:v>
                </c:pt>
                <c:pt idx="103">
                  <c:v>2026.1462056559799</c:v>
                </c:pt>
                <c:pt idx="104">
                  <c:v>2076.267193856615</c:v>
                </c:pt>
                <c:pt idx="105">
                  <c:v>2127.4456203145314</c:v>
                </c:pt>
                <c:pt idx="106">
                  <c:v>2179.7020799289398</c:v>
                </c:pt>
                <c:pt idx="107">
                  <c:v>2233.0575498122412</c:v>
                </c:pt>
                <c:pt idx="108">
                  <c:v>2287.5333961577526</c:v>
                </c:pt>
                <c:pt idx="109">
                  <c:v>2343.1513812280268</c:v>
                </c:pt>
                <c:pt idx="110">
                  <c:v>2399.9336704658231</c:v>
                </c:pt>
                <c:pt idx="111">
                  <c:v>2457.9028397298398</c:v>
                </c:pt>
                <c:pt idx="112">
                  <c:v>2517.0818826573791</c:v>
                </c:pt>
                <c:pt idx="113">
                  <c:v>2577.4942181561119</c:v>
                </c:pt>
                <c:pt idx="114">
                  <c:v>2639.163698027201</c:v>
                </c:pt>
                <c:pt idx="115">
                  <c:v>2702.1146147219961</c:v>
                </c:pt>
                <c:pt idx="116">
                  <c:v>2766.3717092346496</c:v>
                </c:pt>
                <c:pt idx="117">
                  <c:v>2831.9601791329887</c:v>
                </c:pt>
                <c:pt idx="118">
                  <c:v>2898.9056867299455</c:v>
                </c:pt>
                <c:pt idx="119">
                  <c:v>2967.2343673981386</c:v>
                </c:pt>
                <c:pt idx="120">
                  <c:v>3036.9728380298784</c:v>
                </c:pt>
                <c:pt idx="121">
                  <c:v>3108.1482056451905</c:v>
                </c:pt>
                <c:pt idx="122">
                  <c:v>3180.7880761504662</c:v>
                </c:pt>
                <c:pt idx="123">
                  <c:v>3254.920563250158</c:v>
                </c:pt>
                <c:pt idx="124">
                  <c:v>3330.5742975143544</c:v>
                </c:pt>
                <c:pt idx="125">
                  <c:v>3407.7784356047523</c:v>
                </c:pt>
                <c:pt idx="126">
                  <c:v>3486.562669661871</c:v>
                </c:pt>
                <c:pt idx="127">
                  <c:v>3566.9572368561535</c:v>
                </c:pt>
                <c:pt idx="128">
                  <c:v>3648.992929105892</c:v>
                </c:pt>
                <c:pt idx="129">
                  <c:v>3732.7011029647906</c:v>
                </c:pt>
                <c:pt idx="130">
                  <c:v>3818.1136896820626</c:v>
                </c:pt>
                <c:pt idx="131">
                  <c:v>3905.2632054380429</c:v>
                </c:pt>
                <c:pt idx="132">
                  <c:v>3994.1827617583722</c:v>
                </c:pt>
                <c:pt idx="133">
                  <c:v>4084.906076109698</c:v>
                </c:pt>
                <c:pt idx="134">
                  <c:v>4177.4674826801975</c:v>
                </c:pt>
                <c:pt idx="135">
                  <c:v>4271.9019433478243</c:v>
                </c:pt>
                <c:pt idx="136">
                  <c:v>4368.2450588398679</c:v>
                </c:pt>
                <c:pt idx="137">
                  <c:v>4466.5330800866759</c:v>
                </c:pt>
                <c:pt idx="138">
                  <c:v>4566.8029197732467</c:v>
                </c:pt>
                <c:pt idx="139">
                  <c:v>4669.0921640919241</c:v>
                </c:pt>
                <c:pt idx="140">
                  <c:v>4773.4390846994684</c:v>
                </c:pt>
                <c:pt idx="141">
                  <c:v>4879.8826508824477</c:v>
                </c:pt>
                <c:pt idx="142">
                  <c:v>4988.4625419340264</c:v>
                </c:pt>
                <c:pt idx="143">
                  <c:v>5099.2191597461742</c:v>
                </c:pt>
                <c:pt idx="144">
                  <c:v>5212.1936416206345</c:v>
                </c:pt>
                <c:pt idx="145">
                  <c:v>5327.4278733027459</c:v>
                </c:pt>
                <c:pt idx="146">
                  <c:v>5444.9645022416898</c:v>
                </c:pt>
                <c:pt idx="147">
                  <c:v>5564.8469510810364</c:v>
                </c:pt>
                <c:pt idx="148">
                  <c:v>5687.1194313837586</c:v>
                </c:pt>
                <c:pt idx="149">
                  <c:v>5811.82695759542</c:v>
                </c:pt>
                <c:pt idx="150">
                  <c:v>5939.0153612498916</c:v>
                </c:pt>
                <c:pt idx="151">
                  <c:v>6068.7313054215147</c:v>
                </c:pt>
                <c:pt idx="152">
                  <c:v>6201.0222994281057</c:v>
                </c:pt>
                <c:pt idx="153">
                  <c:v>6335.9367137889312</c:v>
                </c:pt>
                <c:pt idx="154">
                  <c:v>6473.5237954422018</c:v>
                </c:pt>
                <c:pt idx="155">
                  <c:v>6613.8336832262949</c:v>
                </c:pt>
                <c:pt idx="156">
                  <c:v>6756.9174236293775</c:v>
                </c:pt>
                <c:pt idx="157">
                  <c:v>6902.8269868120005</c:v>
                </c:pt>
                <c:pt idx="158">
                  <c:v>7051.6152829072671</c:v>
                </c:pt>
                <c:pt idx="159">
                  <c:v>7203.336178603251</c:v>
                </c:pt>
                <c:pt idx="160">
                  <c:v>7358.0445140127522</c:v>
                </c:pt>
                <c:pt idx="161">
                  <c:v>7515.7961198349485</c:v>
                </c:pt>
                <c:pt idx="162">
                  <c:v>7676.6478348141436</c:v>
                </c:pt>
                <c:pt idx="163">
                  <c:v>7840.6575235007413</c:v>
                </c:pt>
                <c:pt idx="164">
                  <c:v>8007.8840943192472</c:v>
                </c:pt>
                <c:pt idx="165">
                  <c:v>8178.3875179490024</c:v>
                </c:pt>
                <c:pt idx="166">
                  <c:v>8352.2288460226864</c:v>
                </c:pt>
                <c:pt idx="167">
                  <c:v>8529.4702301479738</c:v>
                </c:pt>
                <c:pt idx="168">
                  <c:v>8710.1749412581157</c:v>
                </c:pt>
                <c:pt idx="169">
                  <c:v>8894.407389296879</c:v>
                </c:pt>
                <c:pt idx="170">
                  <c:v>9082.2331432433239</c:v>
                </c:pt>
                <c:pt idx="171">
                  <c:v>9273.7189514827605</c:v>
                </c:pt>
                <c:pt idx="172">
                  <c:v>9468.9327625293299</c:v>
                </c:pt>
                <c:pt idx="173">
                  <c:v>9667.9437461062316</c:v>
                </c:pt>
                <c:pt idx="174">
                  <c:v>9870.8223145899447</c:v>
                </c:pt>
                <c:pt idx="175">
                  <c:v>10077.640144824354</c:v>
                </c:pt>
                <c:pt idx="176">
                  <c:v>10288.470200311396</c:v>
                </c:pt>
                <c:pt idx="177">
                  <c:v>10503.386753784183</c:v>
                </c:pt>
                <c:pt idx="178">
                  <c:v>10722.465410169541</c:v>
                </c:pt>
                <c:pt idx="179">
                  <c:v>10945.783129946416</c:v>
                </c:pt>
                <c:pt idx="180">
                  <c:v>11173.418252906895</c:v>
                </c:pt>
                <c:pt idx="181">
                  <c:v>11405.450522326473</c:v>
                </c:pt>
                <c:pt idx="182">
                  <c:v>11641.961109551132</c:v>
                </c:pt>
                <c:pt idx="183">
                  <c:v>11883.032639007497</c:v>
                </c:pt>
                <c:pt idx="184">
                  <c:v>12128.74921364395</c:v>
                </c:pt>
                <c:pt idx="185">
                  <c:v>12379.196440809588</c:v>
                </c:pt>
                <c:pt idx="186">
                  <c:v>12634.461458578942</c:v>
                </c:pt>
                <c:pt idx="187">
                  <c:v>12894.632962529198</c:v>
                </c:pt>
                <c:pt idx="188">
                  <c:v>13159.801232978671</c:v>
                </c:pt>
                <c:pt idx="189">
                  <c:v>13430.058162693447</c:v>
                </c:pt>
                <c:pt idx="190">
                  <c:v>13705.497285070742</c:v>
                </c:pt>
                <c:pt idx="191">
                  <c:v>13986.213802806626</c:v>
                </c:pt>
                <c:pt idx="192">
                  <c:v>14272.304617056923</c:v>
                </c:pt>
                <c:pt idx="193">
                  <c:v>14563.868357098891</c:v>
                </c:pt>
                <c:pt idx="194">
                  <c:v>14861.005410502741</c:v>
                </c:pt>
                <c:pt idx="195">
                  <c:v>15163.817953821588</c:v>
                </c:pt>
                <c:pt idx="196">
                  <c:v>15472.409983808338</c:v>
                </c:pt>
                <c:pt idx="197">
                  <c:v>15786.887349168777</c:v>
                </c:pt>
                <c:pt idx="198">
                  <c:v>16107.357782859674</c:v>
                </c:pt>
                <c:pt idx="199">
                  <c:v>16433.930934941462</c:v>
                </c:pt>
                <c:pt idx="200">
                  <c:v>16766.718405994507</c:v>
                </c:pt>
                <c:pt idx="201">
                  <c:v>17105.833781108806</c:v>
                </c:pt>
                <c:pt idx="202">
                  <c:v>17451.392664456776</c:v>
                </c:pt>
                <c:pt idx="203">
                  <c:v>17803.512714458928</c:v>
                </c:pt>
                <c:pt idx="204">
                  <c:v>18162.313679552502</c:v>
                </c:pt>
                <c:pt idx="205">
                  <c:v>18527.917434573457</c:v>
                </c:pt>
                <c:pt idx="206">
                  <c:v>18900.448017761657</c:v>
                </c:pt>
                <c:pt idx="207">
                  <c:v>19280.031668400785</c:v>
                </c:pt>
                <c:pt idx="208">
                  <c:v>19666.796865102453</c:v>
                </c:pt>
                <c:pt idx="209">
                  <c:v>20060.874364746775</c:v>
                </c:pt>
                <c:pt idx="210">
                  <c:v>20462.397242089079</c:v>
                </c:pt>
                <c:pt idx="211">
                  <c:v>20871.500930045488</c:v>
                </c:pt>
                <c:pt idx="212">
                  <c:v>21288.323260667719</c:v>
                </c:pt>
                <c:pt idx="213">
                  <c:v>21713.004506819336</c:v>
                </c:pt>
                <c:pt idx="214">
                  <c:v>22145.687424565007</c:v>
                </c:pt>
                <c:pt idx="215">
                  <c:v>22586.517296285325</c:v>
                </c:pt>
                <c:pt idx="216">
                  <c:v>23035.641974528713</c:v>
                </c:pt>
                <c:pt idx="217">
                  <c:v>23493.211926613461</c:v>
                </c:pt>
                <c:pt idx="218">
                  <c:v>23959.380279992529</c:v>
                </c:pt>
                <c:pt idx="219">
                  <c:v>24434.302868393563</c:v>
                </c:pt>
                <c:pt idx="220">
                  <c:v>24918.138278747665</c:v>
                </c:pt>
                <c:pt idx="221">
                  <c:v>25411.047898920355</c:v>
                </c:pt>
                <c:pt idx="222">
                  <c:v>25913.195966257452</c:v>
                </c:pt>
                <c:pt idx="223">
                  <c:v>26424.749616960733</c:v>
                </c:pt>
                <c:pt idx="224">
                  <c:v>26945.878936306668</c:v>
                </c:pt>
                <c:pt idx="225">
                  <c:v>27476.757009722332</c:v>
                </c:pt>
                <c:pt idx="226">
                  <c:v>28017.559974733977</c:v>
                </c:pt>
                <c:pt idx="227">
                  <c:v>28568.467073801407</c:v>
                </c:pt>
                <c:pt idx="228">
                  <c:v>29129.660708055169</c:v>
                </c:pt>
                <c:pt idx="229">
                  <c:v>29701.32649194905</c:v>
                </c:pt>
                <c:pt idx="230">
                  <c:v>30283.653308846366</c:v>
                </c:pt>
                <c:pt idx="231">
                  <c:v>30876.83336755343</c:v>
                </c:pt>
                <c:pt idx="232">
                  <c:v>31481.062259817409</c:v>
                </c:pt>
                <c:pt idx="233">
                  <c:v>32096.539018804131</c:v>
                </c:pt>
                <c:pt idx="234">
                  <c:v>32723.466178573406</c:v>
                </c:pt>
                <c:pt idx="235">
                  <c:v>33362.049834566977</c:v>
                </c:pt>
                <c:pt idx="236">
                  <c:v>34012.499705128132</c:v>
                </c:pt>
                <c:pt idx="237">
                  <c:v>34675.029194068928</c:v>
                </c:pt>
                <c:pt idx="238">
                  <c:v>35349.855454302662</c:v>
                </c:pt>
                <c:pt idx="239">
                  <c:v>36037.199452561421</c:v>
                </c:pt>
                <c:pt idx="240">
                  <c:v>36737.286035213954</c:v>
                </c:pt>
                <c:pt idx="241">
                  <c:v>37450.343995205381</c:v>
                </c:pt>
                <c:pt idx="242">
                  <c:v>38176.606140135031</c:v>
                </c:pt>
                <c:pt idx="243">
                  <c:v>38916.309361494132</c:v>
                </c:pt>
                <c:pt idx="244">
                  <c:v>39669.694705080612</c:v>
                </c:pt>
                <c:pt idx="245">
                  <c:v>40437.007442612085</c:v>
                </c:pt>
                <c:pt idx="246">
                  <c:v>41218.497144556539</c:v>
                </c:pt>
                <c:pt idx="247">
                  <c:v>42014.417754202732</c:v>
                </c:pt>
                <c:pt idx="248">
                  <c:v>42825.027662988243</c:v>
                </c:pt>
                <c:pt idx="249">
                  <c:v>43650.589787109478</c:v>
                </c:pt>
                <c:pt idx="250">
                  <c:v>44491.37164543281</c:v>
                </c:pt>
                <c:pt idx="251">
                  <c:v>45347.64543873084</c:v>
                </c:pt>
                <c:pt idx="252">
                  <c:v>46219.688130263356</c:v>
                </c:pt>
                <c:pt idx="253">
                  <c:v>47107.781527728541</c:v>
                </c:pt>
                <c:pt idx="254">
                  <c:v>48012.212366605818</c:v>
                </c:pt>
                <c:pt idx="255">
                  <c:v>48933.27239491295</c:v>
                </c:pt>
                <c:pt idx="256">
                  <c:v>49871.258459403994</c:v>
                </c:pt>
                <c:pt idx="257">
                  <c:v>50826.472593228646</c:v>
                </c:pt>
                <c:pt idx="258">
                  <c:v>51799.222105080771</c:v>
                </c:pt>
                <c:pt idx="259">
                  <c:v>52789.819669859557</c:v>
                </c:pt>
                <c:pt idx="260">
                  <c:v>53798.58342086777</c:v>
                </c:pt>
                <c:pt idx="261">
                  <c:v>54825.837043576037</c:v>
                </c:pt>
                <c:pt idx="262">
                  <c:v>55871.909870975593</c:v>
                </c:pt>
                <c:pt idx="263">
                  <c:v>56937.136980549105</c:v>
                </c:pt>
                <c:pt idx="264">
                  <c:v>58021.859292885725</c:v>
                </c:pt>
                <c:pt idx="265">
                  <c:v>59126.423671966906</c:v>
                </c:pt>
                <c:pt idx="266">
                  <c:v>60251.18302715326</c:v>
                </c:pt>
                <c:pt idx="267">
                  <c:v>61396.496416899827</c:v>
                </c:pt>
                <c:pt idx="268">
                  <c:v>62562.72915422645</c:v>
                </c:pt>
                <c:pt idx="269">
                  <c:v>63750.252913977878</c:v>
                </c:pt>
                <c:pt idx="270">
                  <c:v>64959.445841899644</c:v>
                </c:pt>
                <c:pt idx="271">
                  <c:v>66190.692665559982</c:v>
                </c:pt>
                <c:pt idx="272">
                  <c:v>67444.38480715132</c:v>
                </c:pt>
                <c:pt idx="273">
                  <c:v>68720.920498201682</c:v>
                </c:pt>
                <c:pt idx="274">
                  <c:v>70020.704896226205</c:v>
                </c:pt>
                <c:pt idx="275">
                  <c:v>71344.15020335502</c:v>
                </c:pt>
                <c:pt idx="276">
                  <c:v>72691.675786967215</c:v>
                </c:pt>
                <c:pt idx="277">
                  <c:v>74063.708302365209</c:v>
                </c:pt>
                <c:pt idx="278">
                  <c:v>75460.681817526332</c:v>
                </c:pt>
                <c:pt idx="279">
                  <c:v>76883.037939962422</c:v>
                </c:pt>
                <c:pt idx="280">
                  <c:v>78331.225945725833</c:v>
                </c:pt>
                <c:pt idx="281">
                  <c:v>79805.702910596287</c:v>
                </c:pt>
                <c:pt idx="282">
                  <c:v>81306.93384348556</c:v>
                </c:pt>
                <c:pt idx="283">
                  <c:v>82835.391822096455</c:v>
                </c:pt>
                <c:pt idx="284">
                  <c:v>84391.558130875826</c:v>
                </c:pt>
                <c:pt idx="285">
                  <c:v>85975.922401297052</c:v>
                </c:pt>
                <c:pt idx="286">
                  <c:v>87588.982754513723</c:v>
                </c:pt>
                <c:pt idx="287">
                  <c:v>89231.24594642219</c:v>
                </c:pt>
                <c:pt idx="288">
                  <c:v>90903.227515174163</c:v>
                </c:pt>
                <c:pt idx="289">
                  <c:v>92605.451931181073</c:v>
                </c:pt>
                <c:pt idx="290">
                  <c:v>94338.452749650562</c:v>
                </c:pt>
                <c:pt idx="291">
                  <c:v>96102.772765697373</c:v>
                </c:pt>
                <c:pt idx="292">
                  <c:v>97898.964172073989</c:v>
                </c:pt>
                <c:pt idx="293">
                  <c:v>99727.588719560779</c:v>
                </c:pt>
                <c:pt idx="294">
                  <c:v>101589.21788006472</c:v>
                </c:pt>
                <c:pt idx="295">
                  <c:v>103484.43301246871</c:v>
                </c:pt>
                <c:pt idx="296">
                  <c:v>105413.82553127856</c:v>
                </c:pt>
                <c:pt idx="297">
                  <c:v>107377.99707811383</c:v>
                </c:pt>
                <c:pt idx="298">
                  <c:v>109377.55969609179</c:v>
                </c:pt>
                <c:pt idx="299">
                  <c:v>111413.1360071503</c:v>
                </c:pt>
                <c:pt idx="300">
                  <c:v>113485.35939236023</c:v>
                </c:pt>
                <c:pt idx="301">
                  <c:v>115594.87417527995</c:v>
                </c:pt>
                <c:pt idx="302">
                  <c:v>117742.33580839352</c:v>
                </c:pt>
                <c:pt idx="303">
                  <c:v>119928.41106269682</c:v>
                </c:pt>
                <c:pt idx="304">
                  <c:v>122153.77822047501</c:v>
                </c:pt>
                <c:pt idx="305">
                  <c:v>124419.12727132767</c:v>
                </c:pt>
                <c:pt idx="306">
                  <c:v>126725.16011149455</c:v>
                </c:pt>
                <c:pt idx="307">
                  <c:v>129072.59074654078</c:v>
                </c:pt>
                <c:pt idx="308">
                  <c:v>131462.14549745159</c:v>
                </c:pt>
                <c:pt idx="309">
                  <c:v>133894.56321019903</c:v>
                </c:pt>
                <c:pt idx="310">
                  <c:v>136370.59546883564</c:v>
                </c:pt>
                <c:pt idx="311">
                  <c:v>138891.00681217443</c:v>
                </c:pt>
                <c:pt idx="312">
                  <c:v>141456.57495411456</c:v>
                </c:pt>
                <c:pt idx="313">
                  <c:v>144068.09100767624</c:v>
                </c:pt>
                <c:pt idx="314">
                  <c:v>146726.35971280039</c:v>
                </c:pt>
                <c:pt idx="315">
                  <c:v>149432.1996679873</c:v>
                </c:pt>
                <c:pt idx="316">
                  <c:v>152186.44356582063</c:v>
                </c:pt>
                <c:pt idx="317">
                  <c:v>154989.93843246397</c:v>
                </c:pt>
                <c:pt idx="318">
                  <c:v>157843.54587117251</c:v>
                </c:pt>
                <c:pt idx="319">
                  <c:v>160748.1423099075</c:v>
                </c:pt>
                <c:pt idx="320">
                  <c:v>163704.61925310761</c:v>
                </c:pt>
                <c:pt idx="321">
                  <c:v>166713.88353769275</c:v>
                </c:pt>
                <c:pt idx="322">
                  <c:v>169776.85759337238</c:v>
                </c:pt>
                <c:pt idx="323">
                  <c:v>172894.47970732237</c:v>
                </c:pt>
                <c:pt idx="324">
                  <c:v>176067.70429331117</c:v>
                </c:pt>
                <c:pt idx="325">
                  <c:v>179297.5021653476</c:v>
                </c:pt>
                <c:pt idx="326">
                  <c:v>182584.86081592253</c:v>
                </c:pt>
                <c:pt idx="327">
                  <c:v>185930.78469892102</c:v>
                </c:pt>
                <c:pt idx="328">
                  <c:v>189336.29551729077</c:v>
                </c:pt>
                <c:pt idx="329">
                  <c:v>192802.43251553117</c:v>
                </c:pt>
                <c:pt idx="330">
                  <c:v>196330.25277709795</c:v>
                </c:pt>
                <c:pt idx="331">
                  <c:v>199920.83152679837</c:v>
                </c:pt>
                <c:pt idx="332">
                  <c:v>203575.26243825807</c:v>
                </c:pt>
                <c:pt idx="333">
                  <c:v>207294.65794654706</c:v>
                </c:pt>
                <c:pt idx="334">
                  <c:v>211080.14956605594</c:v>
                </c:pt>
                <c:pt idx="335">
                  <c:v>214932.88821369418</c:v>
                </c:pt>
                <c:pt idx="336">
                  <c:v>218854.04453751622</c:v>
                </c:pt>
                <c:pt idx="337">
                  <c:v>222844.80925085599</c:v>
                </c:pt>
                <c:pt idx="338">
                  <c:v>226906.3934720635</c:v>
                </c:pt>
                <c:pt idx="339">
                  <c:v>231040.0290699375</c:v>
                </c:pt>
                <c:pt idx="340">
                  <c:v>235246.96901494835</c:v>
                </c:pt>
                <c:pt idx="341">
                  <c:v>239528.48773634667</c:v>
                </c:pt>
                <c:pt idx="342">
                  <c:v>243885.88148525299</c:v>
                </c:pt>
                <c:pt idx="343">
                  <c:v>248320.46870384109</c:v>
                </c:pt>
                <c:pt idx="344">
                  <c:v>252833.59040069632</c:v>
                </c:pt>
                <c:pt idx="345">
                  <c:v>257426.61053246548</c:v>
                </c:pt>
                <c:pt idx="346">
                  <c:v>262100.91639189475</c:v>
                </c:pt>
                <c:pt idx="347">
                  <c:v>266857.91900237871</c:v>
                </c:pt>
                <c:pt idx="348">
                  <c:v>271699.05351909576</c:v>
                </c:pt>
                <c:pt idx="349">
                  <c:v>276625.77963687672</c:v>
                </c:pt>
                <c:pt idx="350">
                  <c:v>281639.58200489543</c:v>
                </c:pt>
                <c:pt idx="351">
                  <c:v>286741.97064829385</c:v>
                </c:pt>
                <c:pt idx="352">
                  <c:v>291934.48139687371</c:v>
                </c:pt>
                <c:pt idx="353">
                  <c:v>297218.67632095475</c:v>
                </c:pt>
                <c:pt idx="354">
                  <c:v>302596.14417452691</c:v>
                </c:pt>
                <c:pt idx="355">
                  <c:v>308068.5008458182</c:v>
                </c:pt>
                <c:pt idx="356">
                  <c:v>313637.38981539552</c:v>
                </c:pt>
                <c:pt idx="357">
                  <c:v>319304.48262192839</c:v>
                </c:pt>
                <c:pt idx="358">
                  <c:v>325071.4793357469</c:v>
                </c:pt>
                <c:pt idx="359">
                  <c:v>330940.1090403042</c:v>
                </c:pt>
                <c:pt idx="360">
                  <c:v>336912.1303217063</c:v>
                </c:pt>
                <c:pt idx="361">
                  <c:v>342989.33176640578</c:v>
                </c:pt>
                <c:pt idx="362">
                  <c:v>349173.53246723412</c:v>
                </c:pt>
                <c:pt idx="363">
                  <c:v>355466.58253786946</c:v>
                </c:pt>
                <c:pt idx="364">
                  <c:v>361870.36363592086</c:v>
                </c:pt>
                <c:pt idx="365">
                  <c:v>368386.78949473589</c:v>
                </c:pt>
                <c:pt idx="366">
                  <c:v>375017.80646410707</c:v>
                </c:pt>
                <c:pt idx="367">
                  <c:v>381765.39405999531</c:v>
                </c:pt>
                <c:pt idx="368">
                  <c:v>388631.56552344351</c:v>
                </c:pt>
                <c:pt idx="369">
                  <c:v>395618.36838882708</c:v>
                </c:pt>
                <c:pt idx="370">
                  <c:v>402727.88506158238</c:v>
                </c:pt>
                <c:pt idx="371">
                  <c:v>409962.2334055847</c:v>
                </c:pt>
                <c:pt idx="372">
                  <c:v>417323.56734033494</c:v>
                </c:pt>
                <c:pt idx="373">
                  <c:v>424814.07744811388</c:v>
                </c:pt>
                <c:pt idx="374">
                  <c:v>432435.99159126065</c:v>
                </c:pt>
                <c:pt idx="375">
                  <c:v>440191.57553976204</c:v>
                </c:pt>
                <c:pt idx="376">
                  <c:v>448083.13360930968</c:v>
                </c:pt>
                <c:pt idx="377">
                  <c:v>456113.00930999732</c:v>
                </c:pt>
                <c:pt idx="378">
                  <c:v>464283.58600585023</c:v>
                </c:pt>
                <c:pt idx="379">
                  <c:v>472597.28758533299</c:v>
                </c:pt>
                <c:pt idx="380">
                  <c:v>481056.57914307469</c:v>
                </c:pt>
                <c:pt idx="381">
                  <c:v>489663.96767292393</c:v>
                </c:pt>
                <c:pt idx="382">
                  <c:v>498422.00277258491</c:v>
                </c:pt>
                <c:pt idx="383">
                  <c:v>507333.277359984</c:v>
                </c:pt>
                <c:pt idx="384">
                  <c:v>516400.42840159667</c:v>
                </c:pt>
                <c:pt idx="385">
                  <c:v>525626.13765289134</c:v>
                </c:pt>
                <c:pt idx="386">
                  <c:v>535013.13241112861</c:v>
                </c:pt>
                <c:pt idx="387">
                  <c:v>544564.18628069572</c:v>
                </c:pt>
                <c:pt idx="388">
                  <c:v>554282.11995119706</c:v>
                </c:pt>
                <c:pt idx="389">
                  <c:v>564169.8019885089</c:v>
                </c:pt>
                <c:pt idx="390">
                  <c:v>574230.14963900333</c:v>
                </c:pt>
              </c:numCache>
            </c:numRef>
          </c:yVal>
          <c:smooth val="1"/>
        </c:ser>
        <c:axId val="49709440"/>
        <c:axId val="49710976"/>
      </c:scatterChart>
      <c:valAx>
        <c:axId val="49709440"/>
        <c:scaling>
          <c:orientation val="minMax"/>
        </c:scaling>
        <c:axPos val="b"/>
        <c:numFmt formatCode="General" sourceLinked="1"/>
        <c:tickLblPos val="nextTo"/>
        <c:crossAx val="49710976"/>
        <c:crosses val="autoZero"/>
        <c:crossBetween val="midCat"/>
      </c:valAx>
      <c:valAx>
        <c:axId val="49710976"/>
        <c:scaling>
          <c:orientation val="minMax"/>
        </c:scaling>
        <c:axPos val="l"/>
        <c:majorGridlines/>
        <c:numFmt formatCode="General" sourceLinked="1"/>
        <c:tickLblPos val="nextTo"/>
        <c:crossAx val="49709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ХН=6</c:v>
          </c:tx>
          <c:cat>
            <c:numRef>
              <c:f>'Определение длительности'!$C$6:$C$19</c:f>
              <c:numCache>
                <c:formatCode>General</c:formatCode>
                <c:ptCount val="14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</c:numCache>
            </c:numRef>
          </c:cat>
          <c:val>
            <c:numRef>
              <c:f>'Определение длительности'!$G$6:$G$19</c:f>
              <c:numCache>
                <c:formatCode>0.000</c:formatCode>
                <c:ptCount val="14"/>
                <c:pt idx="0">
                  <c:v>0.91489733194727307</c:v>
                </c:pt>
                <c:pt idx="1">
                  <c:v>9.1489733194727307</c:v>
                </c:pt>
                <c:pt idx="2">
                  <c:v>18.297946638945461</c:v>
                </c:pt>
                <c:pt idx="3">
                  <c:v>36.595893277890923</c:v>
                </c:pt>
                <c:pt idx="4">
                  <c:v>73.191786555781846</c:v>
                </c:pt>
                <c:pt idx="5">
                  <c:v>146.38357311156369</c:v>
                </c:pt>
                <c:pt idx="6">
                  <c:v>182.97946638945461</c:v>
                </c:pt>
                <c:pt idx="7">
                  <c:v>219.57535966734554</c:v>
                </c:pt>
                <c:pt idx="8">
                  <c:v>274.46919958418192</c:v>
                </c:pt>
                <c:pt idx="9">
                  <c:v>365.95893277890923</c:v>
                </c:pt>
                <c:pt idx="10">
                  <c:v>457.44866597363654</c:v>
                </c:pt>
                <c:pt idx="11">
                  <c:v>548.93839916836384</c:v>
                </c:pt>
                <c:pt idx="12">
                  <c:v>640.42813236309121</c:v>
                </c:pt>
                <c:pt idx="13">
                  <c:v>731.91786555781846</c:v>
                </c:pt>
              </c:numCache>
            </c:numRef>
          </c:val>
        </c:ser>
        <c:ser>
          <c:idx val="1"/>
          <c:order val="1"/>
          <c:tx>
            <c:v>ХН=7</c:v>
          </c:tx>
          <c:val>
            <c:numRef>
              <c:f>'Определение длительности'!$O$6:$O$19</c:f>
              <c:numCache>
                <c:formatCode>0.000</c:formatCode>
                <c:ptCount val="14"/>
                <c:pt idx="0">
                  <c:v>1.2457913707861756</c:v>
                </c:pt>
                <c:pt idx="1">
                  <c:v>12.457913707861756</c:v>
                </c:pt>
                <c:pt idx="2">
                  <c:v>24.915827415723513</c:v>
                </c:pt>
                <c:pt idx="3">
                  <c:v>49.831654831447025</c:v>
                </c:pt>
                <c:pt idx="4">
                  <c:v>99.663309662894051</c:v>
                </c:pt>
                <c:pt idx="5">
                  <c:v>199.3266193257881</c:v>
                </c:pt>
                <c:pt idx="6">
                  <c:v>249.15827415723513</c:v>
                </c:pt>
                <c:pt idx="7">
                  <c:v>298.98992898868215</c:v>
                </c:pt>
                <c:pt idx="8">
                  <c:v>373.73741123585273</c:v>
                </c:pt>
                <c:pt idx="9">
                  <c:v>498.31654831447025</c:v>
                </c:pt>
                <c:pt idx="10">
                  <c:v>622.89568539308777</c:v>
                </c:pt>
                <c:pt idx="11">
                  <c:v>747.47482247170547</c:v>
                </c:pt>
                <c:pt idx="12">
                  <c:v>872.05395955032304</c:v>
                </c:pt>
                <c:pt idx="13">
                  <c:v>996.63309662894051</c:v>
                </c:pt>
              </c:numCache>
            </c:numRef>
          </c:val>
        </c:ser>
        <c:ser>
          <c:idx val="2"/>
          <c:order val="2"/>
          <c:tx>
            <c:v>ХН=8</c:v>
          </c:tx>
          <c:val>
            <c:numRef>
              <c:f>'Определение длительности'!$V$6:$V$19</c:f>
              <c:numCache>
                <c:formatCode>0.000</c:formatCode>
                <c:ptCount val="14"/>
                <c:pt idx="0">
                  <c:v>1.6279320541148223</c:v>
                </c:pt>
                <c:pt idx="1">
                  <c:v>16.279320541148223</c:v>
                </c:pt>
                <c:pt idx="2">
                  <c:v>32.558641082296447</c:v>
                </c:pt>
                <c:pt idx="3">
                  <c:v>65.117282164592893</c:v>
                </c:pt>
                <c:pt idx="4">
                  <c:v>130.23456432918579</c:v>
                </c:pt>
                <c:pt idx="5">
                  <c:v>260.46912865837157</c:v>
                </c:pt>
                <c:pt idx="6">
                  <c:v>325.58641082296447</c:v>
                </c:pt>
                <c:pt idx="7">
                  <c:v>390.70369298755736</c:v>
                </c:pt>
                <c:pt idx="8">
                  <c:v>488.37961623444676</c:v>
                </c:pt>
                <c:pt idx="9">
                  <c:v>651.17282164592893</c:v>
                </c:pt>
                <c:pt idx="10">
                  <c:v>813.96602705741111</c:v>
                </c:pt>
                <c:pt idx="11">
                  <c:v>976.75923246889352</c:v>
                </c:pt>
                <c:pt idx="12">
                  <c:v>1139.5524378803757</c:v>
                </c:pt>
                <c:pt idx="13">
                  <c:v>1302.3456432918579</c:v>
                </c:pt>
              </c:numCache>
            </c:numRef>
          </c:val>
        </c:ser>
        <c:marker val="1"/>
        <c:axId val="50222208"/>
        <c:axId val="50223744"/>
      </c:lineChart>
      <c:catAx>
        <c:axId val="50222208"/>
        <c:scaling>
          <c:orientation val="minMax"/>
        </c:scaling>
        <c:axPos val="b"/>
        <c:numFmt formatCode="General" sourceLinked="1"/>
        <c:tickLblPos val="nextTo"/>
        <c:crossAx val="50223744"/>
        <c:crosses val="autoZero"/>
        <c:auto val="1"/>
        <c:lblAlgn val="ctr"/>
        <c:lblOffset val="100"/>
      </c:catAx>
      <c:valAx>
        <c:axId val="50223744"/>
        <c:scaling>
          <c:orientation val="minMax"/>
        </c:scaling>
        <c:axPos val="l"/>
        <c:majorGridlines/>
        <c:numFmt formatCode="0" sourceLinked="0"/>
        <c:tickLblPos val="nextTo"/>
        <c:crossAx val="50222208"/>
        <c:crosses val="autoZero"/>
        <c:crossBetween val="between"/>
        <c:majorUnit val="200"/>
        <c:minorUnit val="1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ХН=6</c:v>
          </c:tx>
          <c:cat>
            <c:numRef>
              <c:f>'Определение длительности'!$C$6:$C$9</c:f>
              <c:numCache>
                <c:formatCode>General</c:formatCode>
                <c:ptCount val="4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'Определение длительности'!$G$6:$G$9</c:f>
              <c:numCache>
                <c:formatCode>0.000</c:formatCode>
                <c:ptCount val="4"/>
                <c:pt idx="0">
                  <c:v>0.91489733194727307</c:v>
                </c:pt>
                <c:pt idx="1">
                  <c:v>9.1489733194727307</c:v>
                </c:pt>
                <c:pt idx="2">
                  <c:v>18.297946638945461</c:v>
                </c:pt>
                <c:pt idx="3">
                  <c:v>36.595893277890923</c:v>
                </c:pt>
              </c:numCache>
            </c:numRef>
          </c:val>
        </c:ser>
        <c:ser>
          <c:idx val="1"/>
          <c:order val="1"/>
          <c:tx>
            <c:v>ХН=7</c:v>
          </c:tx>
          <c:val>
            <c:numRef>
              <c:f>'Определение длительности'!$O$6:$O$9</c:f>
              <c:numCache>
                <c:formatCode>0.000</c:formatCode>
                <c:ptCount val="4"/>
                <c:pt idx="0">
                  <c:v>1.2457913707861756</c:v>
                </c:pt>
                <c:pt idx="1">
                  <c:v>12.457913707861756</c:v>
                </c:pt>
                <c:pt idx="2">
                  <c:v>24.915827415723513</c:v>
                </c:pt>
                <c:pt idx="3">
                  <c:v>49.831654831447025</c:v>
                </c:pt>
              </c:numCache>
            </c:numRef>
          </c:val>
        </c:ser>
        <c:ser>
          <c:idx val="2"/>
          <c:order val="2"/>
          <c:tx>
            <c:v>ХН=8</c:v>
          </c:tx>
          <c:val>
            <c:numRef>
              <c:f>'Определение длительности'!$V$6:$V$9</c:f>
              <c:numCache>
                <c:formatCode>0.000</c:formatCode>
                <c:ptCount val="4"/>
                <c:pt idx="0">
                  <c:v>1.6279320541148223</c:v>
                </c:pt>
                <c:pt idx="1">
                  <c:v>16.279320541148223</c:v>
                </c:pt>
                <c:pt idx="2">
                  <c:v>32.558641082296447</c:v>
                </c:pt>
                <c:pt idx="3">
                  <c:v>65.117282164592893</c:v>
                </c:pt>
              </c:numCache>
            </c:numRef>
          </c:val>
        </c:ser>
        <c:marker val="1"/>
        <c:axId val="50253184"/>
        <c:axId val="50259072"/>
      </c:lineChart>
      <c:catAx>
        <c:axId val="50253184"/>
        <c:scaling>
          <c:orientation val="minMax"/>
        </c:scaling>
        <c:axPos val="b"/>
        <c:numFmt formatCode="General" sourceLinked="1"/>
        <c:tickLblPos val="nextTo"/>
        <c:crossAx val="50259072"/>
        <c:crosses val="autoZero"/>
        <c:auto val="1"/>
        <c:lblAlgn val="ctr"/>
        <c:lblOffset val="100"/>
      </c:catAx>
      <c:valAx>
        <c:axId val="50259072"/>
        <c:scaling>
          <c:orientation val="minMax"/>
        </c:scaling>
        <c:axPos val="l"/>
        <c:majorGridlines/>
        <c:numFmt formatCode="0" sourceLinked="0"/>
        <c:tickLblPos val="nextTo"/>
        <c:crossAx val="50253184"/>
        <c:crosses val="autoZero"/>
        <c:crossBetween val="between"/>
        <c:minorUnit val="0.1"/>
      </c:valAx>
    </c:plotArea>
    <c:legend>
      <c:legendPos val="r"/>
      <c:layout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596900</xdr:colOff>
      <xdr:row>4</xdr:row>
      <xdr:rowOff>584200</xdr:rowOff>
    </xdr:from>
    <xdr:to>
      <xdr:col>44</xdr:col>
      <xdr:colOff>317500</xdr:colOff>
      <xdr:row>32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70</xdr:col>
      <xdr:colOff>590550</xdr:colOff>
      <xdr:row>43</xdr:row>
      <xdr:rowOff>31750</xdr:rowOff>
    </xdr:from>
    <xdr:to>
      <xdr:col>86</xdr:col>
      <xdr:colOff>184150</xdr:colOff>
      <xdr:row>74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284020</xdr:colOff>
      <xdr:row>64</xdr:row>
      <xdr:rowOff>59266</xdr:rowOff>
    </xdr:from>
    <xdr:to>
      <xdr:col>14</xdr:col>
      <xdr:colOff>15240</xdr:colOff>
      <xdr:row>110</xdr:row>
      <xdr:rowOff>53339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599920"/>
          <a:ext cx="937260" cy="4953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10180" y="14683740"/>
          <a:ext cx="1935480" cy="49276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671040"/>
          <a:ext cx="853440" cy="487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41" t="42946" r="31842" b="28482"/>
        <a:stretch>
          <a:fillRect/>
        </a:stretch>
      </xdr:blipFill>
      <xdr:spPr bwMode="auto">
        <a:xfrm>
          <a:off x="0" y="15346678"/>
          <a:ext cx="4554255" cy="2442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71</xdr:col>
      <xdr:colOff>590550</xdr:colOff>
      <xdr:row>43</xdr:row>
      <xdr:rowOff>31750</xdr:rowOff>
    </xdr:from>
    <xdr:to>
      <xdr:col>87</xdr:col>
      <xdr:colOff>184150</xdr:colOff>
      <xdr:row>74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379270</xdr:colOff>
      <xdr:row>99</xdr:row>
      <xdr:rowOff>173566</xdr:rowOff>
    </xdr:from>
    <xdr:to>
      <xdr:col>59</xdr:col>
      <xdr:colOff>655320</xdr:colOff>
      <xdr:row>167</xdr:row>
      <xdr:rowOff>121920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48</xdr:row>
      <xdr:rowOff>130629</xdr:rowOff>
    </xdr:from>
    <xdr:to>
      <xdr:col>12</xdr:col>
      <xdr:colOff>21771</xdr:colOff>
      <xdr:row>78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79</xdr:row>
      <xdr:rowOff>137160</xdr:rowOff>
    </xdr:from>
    <xdr:to>
      <xdr:col>1</xdr:col>
      <xdr:colOff>505460</xdr:colOff>
      <xdr:row>82</xdr:row>
      <xdr:rowOff>83820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7800" y="14183360"/>
          <a:ext cx="937260" cy="48006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546100</xdr:colOff>
      <xdr:row>80</xdr:row>
      <xdr:rowOff>38100</xdr:rowOff>
    </xdr:from>
    <xdr:to>
      <xdr:col>6</xdr:col>
      <xdr:colOff>363220</xdr:colOff>
      <xdr:row>82</xdr:row>
      <xdr:rowOff>165100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05100" y="14262100"/>
          <a:ext cx="1925320" cy="482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850900</xdr:colOff>
      <xdr:row>80</xdr:row>
      <xdr:rowOff>25400</xdr:rowOff>
    </xdr:from>
    <xdr:to>
      <xdr:col>3</xdr:col>
      <xdr:colOff>149860</xdr:colOff>
      <xdr:row>82</xdr:row>
      <xdr:rowOff>147320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60500" y="14249400"/>
          <a:ext cx="848360" cy="47752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83</xdr:row>
      <xdr:rowOff>152398</xdr:rowOff>
    </xdr:from>
    <xdr:to>
      <xdr:col>6</xdr:col>
      <xdr:colOff>271815</xdr:colOff>
      <xdr:row>97</xdr:row>
      <xdr:rowOff>35008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6941" t="42946" r="31842" b="28482"/>
        <a:stretch>
          <a:fillRect/>
        </a:stretch>
      </xdr:blipFill>
      <xdr:spPr bwMode="auto">
        <a:xfrm>
          <a:off x="0" y="14909798"/>
          <a:ext cx="4539015" cy="23718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85</xdr:col>
      <xdr:colOff>190500</xdr:colOff>
      <xdr:row>85</xdr:row>
      <xdr:rowOff>76200</xdr:rowOff>
    </xdr:from>
    <xdr:to>
      <xdr:col>99</xdr:col>
      <xdr:colOff>584200</xdr:colOff>
      <xdr:row>116</xdr:row>
      <xdr:rowOff>63500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19</xdr:row>
      <xdr:rowOff>160020</xdr:rowOff>
    </xdr:from>
    <xdr:to>
      <xdr:col>14</xdr:col>
      <xdr:colOff>563880</xdr:colOff>
      <xdr:row>43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87085</xdr:colOff>
      <xdr:row>20</xdr:row>
      <xdr:rowOff>1</xdr:rowOff>
    </xdr:from>
    <xdr:to>
      <xdr:col>26</xdr:col>
      <xdr:colOff>21771</xdr:colOff>
      <xdr:row>43</xdr:row>
      <xdr:rowOff>65315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139700</xdr:colOff>
      <xdr:row>21</xdr:row>
      <xdr:rowOff>165100</xdr:rowOff>
    </xdr:from>
    <xdr:to>
      <xdr:col>100</xdr:col>
      <xdr:colOff>514350</xdr:colOff>
      <xdr:row>86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109</xdr:col>
      <xdr:colOff>38100</xdr:colOff>
      <xdr:row>13</xdr:row>
      <xdr:rowOff>9525</xdr:rowOff>
    </xdr:from>
    <xdr:to>
      <xdr:col>116</xdr:col>
      <xdr:colOff>342900</xdr:colOff>
      <xdr:row>28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76200</xdr:colOff>
      <xdr:row>49</xdr:row>
      <xdr:rowOff>0</xdr:rowOff>
    </xdr:from>
    <xdr:to>
      <xdr:col>66</xdr:col>
      <xdr:colOff>444500</xdr:colOff>
      <xdr:row>74</xdr:row>
      <xdr:rowOff>165100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137160</xdr:colOff>
      <xdr:row>4</xdr:row>
      <xdr:rowOff>34289</xdr:rowOff>
    </xdr:from>
    <xdr:to>
      <xdr:col>29</xdr:col>
      <xdr:colOff>190500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571499</xdr:colOff>
      <xdr:row>14</xdr:row>
      <xdr:rowOff>64771</xdr:rowOff>
    </xdr:from>
    <xdr:to>
      <xdr:col>21</xdr:col>
      <xdr:colOff>57150</xdr:colOff>
      <xdr:row>24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495300</xdr:colOff>
      <xdr:row>25</xdr:row>
      <xdr:rowOff>76200</xdr:rowOff>
    </xdr:from>
    <xdr:to>
      <xdr:col>20</xdr:col>
      <xdr:colOff>514350</xdr:colOff>
      <xdr:row>35</xdr:row>
      <xdr:rowOff>182880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246530</xdr:colOff>
      <xdr:row>0</xdr:row>
      <xdr:rowOff>103094</xdr:rowOff>
    </xdr:from>
    <xdr:to>
      <xdr:col>21</xdr:col>
      <xdr:colOff>571500</xdr:colOff>
      <xdr:row>13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25400</xdr:colOff>
      <xdr:row>3</xdr:row>
      <xdr:rowOff>66038</xdr:rowOff>
    </xdr:from>
    <xdr:to>
      <xdr:col>58</xdr:col>
      <xdr:colOff>0</xdr:colOff>
      <xdr:row>64</xdr:row>
      <xdr:rowOff>30479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66</xdr:row>
      <xdr:rowOff>25400</xdr:rowOff>
    </xdr:from>
    <xdr:to>
      <xdr:col>40</xdr:col>
      <xdr:colOff>95250</xdr:colOff>
      <xdr:row>89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400050</xdr:colOff>
      <xdr:row>66</xdr:row>
      <xdr:rowOff>114300</xdr:rowOff>
    </xdr:from>
    <xdr:to>
      <xdr:col>50</xdr:col>
      <xdr:colOff>457200</xdr:colOff>
      <xdr:row>89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142875</xdr:colOff>
      <xdr:row>0</xdr:row>
      <xdr:rowOff>171449</xdr:rowOff>
    </xdr:from>
    <xdr:to>
      <xdr:col>35</xdr:col>
      <xdr:colOff>446314</xdr:colOff>
      <xdr:row>22</xdr:row>
      <xdr:rowOff>97972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I96"/>
  <sheetViews>
    <sheetView topLeftCell="A13" zoomScale="60" zoomScaleNormal="60" workbookViewId="0">
      <selection activeCell="P57" sqref="P57"/>
    </sheetView>
  </sheetViews>
  <sheetFormatPr defaultRowHeight="14.4"/>
  <cols>
    <col min="3" max="5" width="8.88671875" style="195"/>
    <col min="6" max="6" width="10" style="195" customWidth="1"/>
    <col min="7" max="7" width="8.88671875" style="195"/>
    <col min="8" max="8" width="8.88671875" style="62"/>
    <col min="13" max="13" width="10.77734375" customWidth="1"/>
    <col min="15" max="17" width="8.88671875" style="237"/>
    <col min="22" max="22" width="10.21875" customWidth="1"/>
  </cols>
  <sheetData>
    <row r="3" spans="3:24">
      <c r="C3" s="216" t="s">
        <v>246</v>
      </c>
      <c r="D3" s="216" t="s">
        <v>247</v>
      </c>
      <c r="E3" s="216" t="s">
        <v>186</v>
      </c>
      <c r="F3" s="216">
        <f>'50 кГЦ новый для ХК.01'!D26</f>
        <v>20</v>
      </c>
      <c r="G3" s="216" t="s">
        <v>3</v>
      </c>
      <c r="H3" s="231"/>
      <c r="J3" s="216" t="s">
        <v>246</v>
      </c>
      <c r="K3" s="216" t="s">
        <v>247</v>
      </c>
      <c r="L3" s="216" t="s">
        <v>186</v>
      </c>
      <c r="M3" s="216">
        <f>'50 кГЦ новый для ХК.01'!D27</f>
        <v>200</v>
      </c>
      <c r="N3" s="216" t="s">
        <v>3</v>
      </c>
      <c r="O3" s="231"/>
      <c r="P3" s="231"/>
      <c r="Q3" s="231"/>
      <c r="S3" s="216" t="str">
        <f>J3</f>
        <v>ХК.01</v>
      </c>
      <c r="T3" s="216" t="str">
        <f>K3</f>
        <v>50 кГц</v>
      </c>
      <c r="U3" s="216" t="str">
        <f>L3</f>
        <v>Uзи</v>
      </c>
      <c r="V3" s="216">
        <f>'50 кГЦ новый для ХК.01'!D28</f>
        <v>330</v>
      </c>
      <c r="W3" s="216" t="str">
        <f>N3</f>
        <v>В</v>
      </c>
    </row>
    <row r="4" spans="3:24">
      <c r="C4" s="216" t="s">
        <v>104</v>
      </c>
      <c r="D4" s="216">
        <f>'50 кГЦ новый для ХК.01'!D37</f>
        <v>500</v>
      </c>
      <c r="E4" s="216" t="s">
        <v>30</v>
      </c>
      <c r="F4" s="216">
        <f>'50 кГЦ новый для ХК.01'!J45</f>
        <v>0.375</v>
      </c>
      <c r="G4" s="216" t="s">
        <v>7</v>
      </c>
      <c r="H4" s="231"/>
      <c r="J4" s="216" t="str">
        <f>C4</f>
        <v>Шаг ВРУ</v>
      </c>
      <c r="K4" s="216">
        <f>'50 кГЦ новый для ХК.01'!D38</f>
        <v>4000</v>
      </c>
      <c r="L4" s="216" t="str">
        <f>E4</f>
        <v>мкс</v>
      </c>
      <c r="M4" s="216">
        <f>'50 кГЦ новый для ХК.01'!J46</f>
        <v>3</v>
      </c>
      <c r="N4" s="216" t="str">
        <f>G4</f>
        <v>м</v>
      </c>
      <c r="O4" s="231"/>
      <c r="P4" s="231"/>
      <c r="Q4" s="231"/>
      <c r="S4" s="216" t="str">
        <f>J4</f>
        <v>Шаг ВРУ</v>
      </c>
      <c r="T4" s="216">
        <f>'50 кГЦ новый для ХК.01'!D39</f>
        <v>36000</v>
      </c>
      <c r="U4" s="216" t="str">
        <f>L4</f>
        <v>мкс</v>
      </c>
      <c r="V4" s="216">
        <f>'50 кГЦ новый для ХК.01'!J47</f>
        <v>26.999999999999996</v>
      </c>
      <c r="W4" s="216" t="str">
        <f>N4</f>
        <v>м</v>
      </c>
    </row>
    <row r="5" spans="3:24" ht="48" customHeight="1">
      <c r="C5" s="216" t="s">
        <v>244</v>
      </c>
      <c r="D5" s="283" t="s">
        <v>248</v>
      </c>
      <c r="E5" s="283"/>
      <c r="F5" s="283"/>
      <c r="G5" s="283"/>
      <c r="H5" s="232"/>
      <c r="J5" s="216" t="str">
        <f>C5</f>
        <v>КУ1</v>
      </c>
      <c r="K5" s="284" t="str">
        <f>D5</f>
        <v>коэффициент усиления для компенсации потерь на распостранение</v>
      </c>
      <c r="L5" s="284"/>
      <c r="M5" s="284"/>
      <c r="N5" s="284"/>
      <c r="O5" s="236"/>
      <c r="P5" s="236"/>
      <c r="Q5" s="236"/>
      <c r="S5" s="216" t="str">
        <f>J5</f>
        <v>КУ1</v>
      </c>
      <c r="T5" s="282" t="str">
        <f>K5</f>
        <v>коэффициент усиления для компенсации потерь на распостранение</v>
      </c>
      <c r="U5" s="282"/>
      <c r="V5" s="282"/>
      <c r="W5" s="282"/>
    </row>
    <row r="6" spans="3:24" ht="30.6" customHeight="1">
      <c r="C6" s="216" t="s">
        <v>240</v>
      </c>
      <c r="D6" s="282" t="s">
        <v>250</v>
      </c>
      <c r="E6" s="283"/>
      <c r="F6" s="283"/>
      <c r="G6" s="283"/>
      <c r="H6" s="232"/>
      <c r="J6" s="216" t="str">
        <f>C6</f>
        <v>КУ2</v>
      </c>
      <c r="K6" s="284" t="str">
        <f>D6</f>
        <v>коэффициент усиления                                  приведенный к КУ1</v>
      </c>
      <c r="L6" s="284"/>
      <c r="M6" s="284"/>
      <c r="N6" s="284"/>
      <c r="O6" s="236"/>
      <c r="P6" s="236"/>
      <c r="Q6" s="236"/>
      <c r="S6" s="216" t="str">
        <f>J6</f>
        <v>КУ2</v>
      </c>
      <c r="T6" s="282" t="str">
        <f>K6</f>
        <v>коэффициент усиления                                  приведенный к КУ1</v>
      </c>
      <c r="U6" s="282"/>
      <c r="V6" s="282"/>
      <c r="W6" s="282"/>
    </row>
    <row r="7" spans="3:24" ht="30" customHeight="1">
      <c r="C7" s="216" t="s">
        <v>245</v>
      </c>
      <c r="D7" s="283" t="s">
        <v>249</v>
      </c>
      <c r="E7" s="283"/>
      <c r="F7" s="283"/>
      <c r="G7" s="283"/>
      <c r="H7" s="232"/>
      <c r="J7" s="216" t="str">
        <f>C7</f>
        <v>КУ 50 мВ</v>
      </c>
      <c r="K7" s="284" t="str">
        <f>D7</f>
        <v>коэффициент усиления для пересечения уровня 50 мВ</v>
      </c>
      <c r="L7" s="284"/>
      <c r="M7" s="284"/>
      <c r="N7" s="284"/>
      <c r="O7" s="236"/>
      <c r="P7" s="236"/>
      <c r="Q7" s="236"/>
      <c r="S7" s="216" t="str">
        <f>J7</f>
        <v>КУ 50 мВ</v>
      </c>
      <c r="T7" s="282" t="str">
        <f>K7</f>
        <v>коэффициент усиления для пересечения уровня 50 мВ</v>
      </c>
      <c r="U7" s="282"/>
      <c r="V7" s="282"/>
      <c r="W7" s="282"/>
    </row>
    <row r="8" spans="3:24" ht="21">
      <c r="C8" s="279" t="s">
        <v>52</v>
      </c>
      <c r="D8" s="280"/>
      <c r="E8" s="280"/>
      <c r="F8" s="280"/>
      <c r="G8" s="280"/>
      <c r="J8" s="281" t="s">
        <v>53</v>
      </c>
      <c r="K8" s="281"/>
      <c r="L8" s="281"/>
      <c r="M8" s="281"/>
      <c r="N8" s="281"/>
      <c r="S8" s="281" t="s">
        <v>54</v>
      </c>
      <c r="T8" s="281"/>
      <c r="U8" s="281"/>
      <c r="V8" s="281"/>
      <c r="W8" s="281"/>
    </row>
    <row r="9" spans="3:24" ht="15" thickBot="1">
      <c r="C9" s="223" t="str">
        <f>'50 кГЦ новый для ХК.01'!O3</f>
        <v>Шаг ВРУ</v>
      </c>
      <c r="D9" s="224" t="s">
        <v>150</v>
      </c>
      <c r="E9" s="225" t="s">
        <v>244</v>
      </c>
      <c r="F9" s="250" t="s">
        <v>251</v>
      </c>
      <c r="G9" s="240" t="s">
        <v>245</v>
      </c>
      <c r="H9" s="233"/>
      <c r="I9" s="153"/>
      <c r="J9" s="223" t="str">
        <f>C9</f>
        <v>Шаг ВРУ</v>
      </c>
      <c r="K9" s="224" t="s">
        <v>150</v>
      </c>
      <c r="L9" s="225" t="s">
        <v>244</v>
      </c>
      <c r="M9" s="250" t="s">
        <v>251</v>
      </c>
      <c r="N9" s="240" t="s">
        <v>245</v>
      </c>
      <c r="O9" s="233"/>
      <c r="P9" s="233"/>
      <c r="Q9" s="233"/>
      <c r="R9" s="153"/>
      <c r="S9" s="223" t="str">
        <f>J9</f>
        <v>Шаг ВРУ</v>
      </c>
      <c r="T9" s="226" t="str">
        <f>K9</f>
        <v>Глубина</v>
      </c>
      <c r="U9" s="227" t="str">
        <f>L9</f>
        <v>КУ1</v>
      </c>
      <c r="V9" s="248" t="str">
        <f>M9</f>
        <v>КУ2 99 мВ</v>
      </c>
      <c r="W9" s="238" t="str">
        <f>N9</f>
        <v>КУ 50 мВ</v>
      </c>
      <c r="X9" s="153"/>
    </row>
    <row r="10" spans="3:24" ht="15" thickTop="1">
      <c r="C10" s="217">
        <f>'50 кГЦ новый для ХК.01'!O4</f>
        <v>1</v>
      </c>
      <c r="D10" s="218">
        <f>'50 кГЦ новый для ХК.01'!P4</f>
        <v>0.5</v>
      </c>
      <c r="E10" s="221">
        <f>'50 кГЦ новый для ХК.01'!W4</f>
        <v>0.50100993209453792</v>
      </c>
      <c r="F10" s="251">
        <f>E10</f>
        <v>0.50100993209453792</v>
      </c>
      <c r="G10" s="241">
        <f>'50 кГЦ новый для ХК.01'!Y4</f>
        <v>0.2533309497491672</v>
      </c>
      <c r="H10" s="234"/>
      <c r="I10" s="153"/>
      <c r="J10" s="219">
        <f>'50 кГЦ новый для ХК.01'!AD4</f>
        <v>1</v>
      </c>
      <c r="K10" s="220">
        <f>'50 кГЦ новый для ХК.01'!AE4</f>
        <v>10</v>
      </c>
      <c r="L10" s="221">
        <f>'50 кГЦ новый для ХК.01'!AL4</f>
        <v>10.411819311564019</v>
      </c>
      <c r="M10" s="251">
        <f>'50 кГЦ новый для ХК.01'!AN4</f>
        <v>1.0411819311563999</v>
      </c>
      <c r="N10" s="241">
        <f>'50 кГЦ новый для ХК.01'!AP4</f>
        <v>0.52646382952694049</v>
      </c>
      <c r="O10" s="234"/>
      <c r="P10" s="234"/>
      <c r="Q10" s="234"/>
      <c r="R10" s="153"/>
      <c r="S10" s="217">
        <f>'50 кГЦ новый для ХК.01'!AU4</f>
        <v>1</v>
      </c>
      <c r="T10" s="220">
        <f>'50 кГЦ новый для ХК.01'!AV4</f>
        <v>50</v>
      </c>
      <c r="U10" s="222">
        <f>'50 кГЦ новый для ХК.01'!BC4</f>
        <v>61.179104779305234</v>
      </c>
      <c r="V10" s="249">
        <f>'50 кГЦ новый для ХК.01'!BE4</f>
        <v>3.7078245320791074</v>
      </c>
      <c r="W10" s="239">
        <f>'50 кГЦ новый для ХК.01'!BG4</f>
        <v>1.874826525470197</v>
      </c>
      <c r="X10" s="153"/>
    </row>
    <row r="11" spans="3:24">
      <c r="C11" s="217">
        <f>'50 кГЦ новый для ХК.01'!O5</f>
        <v>2</v>
      </c>
      <c r="D11" s="218">
        <f>'50 кГЦ новый для ХК.01'!P5</f>
        <v>0.875</v>
      </c>
      <c r="E11" s="221">
        <f>'50 кГЦ новый для ХК.01'!W5</f>
        <v>0.8780952593725766</v>
      </c>
      <c r="F11" s="251">
        <f t="shared" ref="F11:F74" si="0">E11</f>
        <v>0.8780952593725766</v>
      </c>
      <c r="G11" s="241">
        <f>'50 кГЦ новый для ХК.01'!Y5</f>
        <v>0.44400059116017937</v>
      </c>
      <c r="H11" s="234"/>
      <c r="I11" s="153"/>
      <c r="J11" s="219">
        <f>'50 кГЦ новый для ХК.01'!AD5</f>
        <v>2</v>
      </c>
      <c r="K11" s="220">
        <f>'50 кГЦ новый для ХК.01'!AE5</f>
        <v>13</v>
      </c>
      <c r="L11" s="221">
        <f>'50 кГЦ новый для ХК.01'!AL5</f>
        <v>13.700233268978188</v>
      </c>
      <c r="M11" s="251">
        <f>'50 кГЦ новый для ХК.01'!AN5</f>
        <v>1.3700233268978161</v>
      </c>
      <c r="N11" s="241">
        <f>'50 кГЦ новый для ХК.01'!AP5</f>
        <v>0.69273938169363014</v>
      </c>
      <c r="O11" s="234"/>
      <c r="P11" s="234"/>
      <c r="Q11" s="234"/>
      <c r="R11" s="153"/>
      <c r="S11" s="217">
        <f>'50 кГЦ новый для ХК.01'!AU5</f>
        <v>2</v>
      </c>
      <c r="T11" s="220">
        <f>'50 кГЦ новый для ХК.01'!AV5</f>
        <v>77</v>
      </c>
      <c r="U11" s="222">
        <f>'50 кГЦ новый для ХК.01'!BC5</f>
        <v>105.06201352333181</v>
      </c>
      <c r="V11" s="249">
        <f>'50 кГЦ новый для ХК.01'!BE5</f>
        <v>6.3673947589898106</v>
      </c>
      <c r="W11" s="239">
        <f>'50 кГЦ новый для ХК.01'!BG5</f>
        <v>3.2196131421569949</v>
      </c>
      <c r="X11" s="153"/>
    </row>
    <row r="12" spans="3:24">
      <c r="C12" s="217">
        <f>'50 кГЦ новый для ХК.01'!O6</f>
        <v>3</v>
      </c>
      <c r="D12" s="218">
        <f>'50 кГЦ новый для ХК.01'!P6</f>
        <v>1.25</v>
      </c>
      <c r="E12" s="221">
        <f>'50 кГЦ новый для ХК.01'!W6</f>
        <v>1.2563216409606748</v>
      </c>
      <c r="F12" s="251">
        <f t="shared" si="0"/>
        <v>1.2563216409606748</v>
      </c>
      <c r="G12" s="241">
        <f>'50 кГЦ новый для ХК.01'!Y6</f>
        <v>0.63524719592773471</v>
      </c>
      <c r="H12" s="234"/>
      <c r="I12" s="153"/>
      <c r="J12" s="219">
        <f>'50 кГЦ новый для ХК.01'!AD6</f>
        <v>3</v>
      </c>
      <c r="K12" s="220">
        <f>'50 кГЦ новый для ХК.01'!AE6</f>
        <v>16</v>
      </c>
      <c r="L12" s="221">
        <f>'50 кГЦ новый для ХК.01'!AL6</f>
        <v>17.067211836926404</v>
      </c>
      <c r="M12" s="251">
        <f>'50 кГЦ новый для ХК.01'!AN6</f>
        <v>1.7067211836926373</v>
      </c>
      <c r="N12" s="241">
        <f>'50 кГЦ новый для ХК.01'!AP6</f>
        <v>0.86298747933862163</v>
      </c>
      <c r="O12" s="234"/>
      <c r="P12" s="234"/>
      <c r="Q12" s="234"/>
      <c r="R12" s="153"/>
      <c r="S12" s="217">
        <f>'50 кГЦ новый для ХК.01'!AU6</f>
        <v>3</v>
      </c>
      <c r="T12" s="220">
        <f>'50 кГЦ новый для ХК.01'!AV6</f>
        <v>104</v>
      </c>
      <c r="U12" s="222">
        <f>'50 кГЦ новый для ХК.01'!BC6</f>
        <v>158.23779233785226</v>
      </c>
      <c r="V12" s="249">
        <f>'50 кГЦ новый для ХК.01'!BE6</f>
        <v>9.5901692325971126</v>
      </c>
      <c r="W12" s="239">
        <f>'50 кГЦ новый для ХК.01'!BG6</f>
        <v>4.8491786775409444</v>
      </c>
      <c r="X12" s="153"/>
    </row>
    <row r="13" spans="3:24">
      <c r="C13" s="217">
        <f>'50 кГЦ новый для ХК.01'!O7</f>
        <v>4</v>
      </c>
      <c r="D13" s="218">
        <f>'50 кГЦ новый для ХК.01'!P7</f>
        <v>1.625</v>
      </c>
      <c r="E13" s="221">
        <f>'50 кГЦ новый для ХК.01'!W7</f>
        <v>1.6356916682060703</v>
      </c>
      <c r="F13" s="251">
        <f t="shared" si="0"/>
        <v>1.6356916682060703</v>
      </c>
      <c r="G13" s="241">
        <f>'50 кГЦ новый для ХК.01'!Y7</f>
        <v>0.82707207434213859</v>
      </c>
      <c r="H13" s="234"/>
      <c r="I13" s="153"/>
      <c r="J13" s="219">
        <f>'50 кГЦ новый для ХК.01'!AD7</f>
        <v>4</v>
      </c>
      <c r="K13" s="220">
        <f>'50 кГЦ новый для ХК.01'!AE7</f>
        <v>19</v>
      </c>
      <c r="L13" s="221">
        <f>'50 кГЦ новый для ХК.01'!AL7</f>
        <v>20.514181047424007</v>
      </c>
      <c r="M13" s="251">
        <f>'50 кГЦ новый для ХК.01'!AN7</f>
        <v>2.0514181047423969</v>
      </c>
      <c r="N13" s="241">
        <f>'50 кГЦ новый для ХК.01'!AP7</f>
        <v>1.0372802284266225</v>
      </c>
      <c r="O13" s="234"/>
      <c r="P13" s="234"/>
      <c r="Q13" s="234"/>
      <c r="R13" s="153"/>
      <c r="S13" s="217">
        <f>'50 кГЦ новый для ХК.01'!AU7</f>
        <v>4</v>
      </c>
      <c r="T13" s="220">
        <f>'50 кГЦ новый для ХК.01'!AV7</f>
        <v>131</v>
      </c>
      <c r="U13" s="222">
        <f>'50 кГЦ новый для ХК.01'!BC7</f>
        <v>222.26447437420603</v>
      </c>
      <c r="V13" s="249">
        <f>'50 кГЦ новый для ХК.01'!BE7</f>
        <v>13.470574204497343</v>
      </c>
      <c r="W13" s="239">
        <f>'50 кГЦ новый для ХК.01'!BG7</f>
        <v>6.8112688756996755</v>
      </c>
      <c r="X13" s="153"/>
    </row>
    <row r="14" spans="3:24">
      <c r="C14" s="217">
        <f>'50 кГЦ новый для ХК.01'!O8</f>
        <v>5</v>
      </c>
      <c r="D14" s="218">
        <f>'50 кГЦ новый для ХК.01'!P8</f>
        <v>2</v>
      </c>
      <c r="E14" s="221">
        <f>'50 кГЦ новый для ХК.01'!W8</f>
        <v>2.0162079376879709</v>
      </c>
      <c r="F14" s="251">
        <f t="shared" si="0"/>
        <v>2.0162079376879709</v>
      </c>
      <c r="G14" s="241">
        <f>'50 кГЦ новый для ХК.01'!Y8</f>
        <v>1.0194765393391927</v>
      </c>
      <c r="H14" s="234"/>
      <c r="I14" s="153"/>
      <c r="J14" s="219">
        <f>'50 кГЦ новый для ХК.01'!AD8</f>
        <v>5</v>
      </c>
      <c r="K14" s="220">
        <f>'50 кГЦ новый для ХК.01'!AE8</f>
        <v>22</v>
      </c>
      <c r="L14" s="221">
        <f>'50 кГЦ новый для ХК.01'!AL8</f>
        <v>24.042590015891811</v>
      </c>
      <c r="M14" s="251">
        <f>'50 кГЦ новый для ХК.01'!AN8</f>
        <v>2.4042590015891765</v>
      </c>
      <c r="N14" s="241">
        <f>'50 кГЦ новый для ХК.01'!AP8</f>
        <v>1.2156909021129796</v>
      </c>
      <c r="O14" s="234"/>
      <c r="P14" s="234"/>
      <c r="Q14" s="234"/>
      <c r="R14" s="153"/>
      <c r="S14" s="217">
        <f>'50 кГЦ новый для ХК.01'!AU8</f>
        <v>5</v>
      </c>
      <c r="T14" s="220">
        <f>'50 кГЦ новый для ХК.01'!AV8</f>
        <v>158</v>
      </c>
      <c r="U14" s="222">
        <f>'50 кГЦ новый для ХК.01'!BC8</f>
        <v>298.93566020519432</v>
      </c>
      <c r="V14" s="249">
        <f>'50 кГЦ новый для ХК.01'!BE8</f>
        <v>18.117312739708758</v>
      </c>
      <c r="W14" s="239">
        <f>'50 кГЦ новый для ХК.01'!BG8</f>
        <v>9.1608484168474416</v>
      </c>
      <c r="X14" s="153"/>
    </row>
    <row r="15" spans="3:24">
      <c r="C15" s="217">
        <f>'50 кГЦ новый для ХК.01'!O9</f>
        <v>6</v>
      </c>
      <c r="D15" s="218">
        <f>'50 кГЦ новый для ХК.01'!P9</f>
        <v>2.375</v>
      </c>
      <c r="E15" s="221">
        <f>'50 кГЦ новый для ХК.01'!W9</f>
        <v>2.3978730512274584</v>
      </c>
      <c r="F15" s="251">
        <f t="shared" si="0"/>
        <v>2.3978730512274584</v>
      </c>
      <c r="G15" s="241">
        <f>'50 кГЦ новый для ХК.01'!Y9</f>
        <v>1.2124619065052025</v>
      </c>
      <c r="H15" s="234"/>
      <c r="I15" s="153"/>
      <c r="J15" s="219">
        <f>'50 кГЦ новый для ХК.01'!AD9</f>
        <v>6</v>
      </c>
      <c r="K15" s="220">
        <f>'50 кГЦ новый для ХК.01'!AE9</f>
        <v>25</v>
      </c>
      <c r="L15" s="221">
        <f>'50 кГЦ новый для ХК.01'!AL9</f>
        <v>27.653911291918838</v>
      </c>
      <c r="M15" s="251">
        <f>'50 кГЦ новый для ХК.01'!AN9</f>
        <v>2.7653911291918787</v>
      </c>
      <c r="N15" s="241">
        <f>'50 кГЦ новый для ХК.01'!AP9</f>
        <v>1.3982939584796685</v>
      </c>
      <c r="O15" s="234"/>
      <c r="P15" s="234"/>
      <c r="Q15" s="234"/>
      <c r="R15" s="153"/>
      <c r="S15" s="217">
        <f>'50 кГЦ новый для ХК.01'!AU9</f>
        <v>6</v>
      </c>
      <c r="T15" s="220">
        <f>'50 кГЦ новый для ХК.01'!AV9</f>
        <v>185</v>
      </c>
      <c r="U15" s="222">
        <f>'50 кГЦ новый для ХК.01'!BC9</f>
        <v>390.31410693533354</v>
      </c>
      <c r="V15" s="249">
        <f>'50 кГЦ новый для ХК.01'!BE9</f>
        <v>23.655400420323261</v>
      </c>
      <c r="W15" s="239">
        <f>'50 кГЦ новый для ХК.01'!BG9</f>
        <v>11.961130251698391</v>
      </c>
      <c r="X15" s="153"/>
    </row>
    <row r="16" spans="3:24">
      <c r="C16" s="217">
        <f>'50 кГЦ новый для ХК.01'!O10</f>
        <v>7</v>
      </c>
      <c r="D16" s="218">
        <f>'50 кГЦ новый для ХК.01'!P10</f>
        <v>2.75</v>
      </c>
      <c r="E16" s="221">
        <f>'50 кГЦ новый для ХК.01'!W10</f>
        <v>2.7806896158974119</v>
      </c>
      <c r="F16" s="251">
        <f t="shared" si="0"/>
        <v>2.7806896158974119</v>
      </c>
      <c r="G16" s="241">
        <f>'50 кГЦ новый для ХК.01'!Y10</f>
        <v>1.406029494081996</v>
      </c>
      <c r="H16" s="234"/>
      <c r="I16" s="153"/>
      <c r="J16" s="219">
        <f>'50 кГЦ новый для ХК.01'!AD10</f>
        <v>7</v>
      </c>
      <c r="K16" s="220">
        <f>'50 кГЦ новый для ХК.01'!AE10</f>
        <v>28</v>
      </c>
      <c r="L16" s="221">
        <f>'50 кГЦ новый для ХК.01'!AL10</f>
        <v>31.349641215145208</v>
      </c>
      <c r="M16" s="251">
        <f>'50 кГЦ новый для ХК.01'!AN10</f>
        <v>3.134964121514515</v>
      </c>
      <c r="N16" s="241">
        <f>'50 кГЦ новый для ХК.01'!AP10</f>
        <v>1.5851650585301733</v>
      </c>
      <c r="O16" s="234"/>
      <c r="P16" s="234"/>
      <c r="Q16" s="234"/>
      <c r="R16" s="153"/>
      <c r="S16" s="217">
        <f>'50 кГЦ новый для ХК.01'!AU10</f>
        <v>7</v>
      </c>
      <c r="T16" s="220">
        <f>'50 кГЦ новый для ХК.01'!AV10</f>
        <v>212</v>
      </c>
      <c r="U16" s="222">
        <f>'50 кГЦ новый для ХК.01'!BC10</f>
        <v>498.76992899282664</v>
      </c>
      <c r="V16" s="249">
        <f>'50 кГЦ новый для ХК.01'!BE10</f>
        <v>30.228480545019814</v>
      </c>
      <c r="W16" s="239">
        <f>'50 кГЦ новый для ХК.01'!BG10</f>
        <v>15.284746260277892</v>
      </c>
      <c r="X16" s="153"/>
    </row>
    <row r="17" spans="3:35">
      <c r="C17" s="217">
        <f>'50 кГЦ новый для ХК.01'!O11</f>
        <v>8</v>
      </c>
      <c r="D17" s="218">
        <f>'50 кГЦ новый для ХК.01'!P11</f>
        <v>3.125</v>
      </c>
      <c r="E17" s="221">
        <f>'50 кГЦ новый для ХК.01'!W11</f>
        <v>3.1646602440324454</v>
      </c>
      <c r="F17" s="251">
        <f t="shared" si="0"/>
        <v>3.1646602440324454</v>
      </c>
      <c r="G17" s="241">
        <f>'50 кГЦ новый для ХК.01'!Y11</f>
        <v>1.6001806229719473</v>
      </c>
      <c r="H17" s="234"/>
      <c r="I17" s="153"/>
      <c r="J17" s="219">
        <f>'50 кГЦ новый для ХК.01'!AD11</f>
        <v>8</v>
      </c>
      <c r="K17" s="220">
        <f>'50 кГЦ новый для ХК.01'!AE11</f>
        <v>31</v>
      </c>
      <c r="L17" s="221">
        <f>'50 кГЦ новый для ХК.01'!AL11</f>
        <v>35.13130027633806</v>
      </c>
      <c r="M17" s="251">
        <f>'50 кГЦ новый для ХК.01'!AN11</f>
        <v>3.5131300276337991</v>
      </c>
      <c r="N17" s="241">
        <f>'50 кГЦ новый для ХК.01'!AP11</f>
        <v>1.7763810844469492</v>
      </c>
      <c r="O17" s="234"/>
      <c r="P17" s="234"/>
      <c r="Q17" s="234"/>
      <c r="R17" s="153"/>
      <c r="S17" s="217">
        <f>'50 кГЦ новый для ХК.01'!AU11</f>
        <v>8</v>
      </c>
      <c r="T17" s="220">
        <f>'50 кГЦ новый для ХК.01'!AV11</f>
        <v>239</v>
      </c>
      <c r="U17" s="222">
        <f>'50 кГЦ новый для ХК.01'!BC11</f>
        <v>627.02402725437844</v>
      </c>
      <c r="V17" s="249">
        <f>'50 кГЦ новый для ХК.01'!BE11</f>
        <v>38.001456197235079</v>
      </c>
      <c r="W17" s="239">
        <f>'50 кГЦ новый для ХК.01'!BG11</f>
        <v>19.215078132383926</v>
      </c>
      <c r="X17" s="153"/>
    </row>
    <row r="18" spans="3:35">
      <c r="C18" s="217">
        <f>'50 кГЦ новый для ХК.01'!O12</f>
        <v>9</v>
      </c>
      <c r="D18" s="218">
        <f>'50 кГЦ новый для ХК.01'!P12</f>
        <v>3.5</v>
      </c>
      <c r="E18" s="221">
        <f>'50 кГЦ новый для ХК.01'!W12</f>
        <v>3.5497875532388679</v>
      </c>
      <c r="F18" s="251">
        <f t="shared" si="0"/>
        <v>3.5497875532388679</v>
      </c>
      <c r="G18" s="241">
        <f>'50 кГЦ новый для ХК.01'!Y12</f>
        <v>1.7949166167430133</v>
      </c>
      <c r="H18" s="234"/>
      <c r="I18" s="153"/>
      <c r="J18" s="219">
        <f>'50 кГЦ новый для ХК.01'!AD12</f>
        <v>9</v>
      </c>
      <c r="K18" s="220">
        <f>'50 кГЦ новый для ХК.01'!AE12</f>
        <v>34</v>
      </c>
      <c r="L18" s="221">
        <f>'50 кГЦ новый для ХК.01'!AL12</f>
        <v>39.000433483733758</v>
      </c>
      <c r="M18" s="251">
        <f>'50 кГЦ новый для ХК.01'!AN12</f>
        <v>3.9000433483733685</v>
      </c>
      <c r="N18" s="241">
        <f>'50 кГЦ новый для ХК.01'!AP12</f>
        <v>1.9720201581151811</v>
      </c>
      <c r="O18" s="234"/>
      <c r="P18" s="234"/>
      <c r="Q18" s="234"/>
      <c r="R18" s="153"/>
      <c r="S18" s="217">
        <f>'50 кГЦ новый для ХК.01'!AU12</f>
        <v>9</v>
      </c>
      <c r="T18" s="220">
        <f>'50 кГЦ новый для ХК.01'!AV12</f>
        <v>266</v>
      </c>
      <c r="U18" s="222">
        <f>'50 кГЦ новый для ХК.01'!BC12</f>
        <v>778.19744401503499</v>
      </c>
      <c r="V18" s="249">
        <f>'50 кГЦ новый для ХК.01'!BE12</f>
        <v>47.163481455456697</v>
      </c>
      <c r="W18" s="239">
        <f>'50 кГЦ новый для ХК.01'!BG12</f>
        <v>23.847769844877078</v>
      </c>
      <c r="X18" s="153"/>
    </row>
    <row r="19" spans="3:35">
      <c r="C19" s="217">
        <f>'50 кГЦ новый для ХК.01'!O13</f>
        <v>10</v>
      </c>
      <c r="D19" s="218">
        <f>'50 кГЦ новый для ХК.01'!P13</f>
        <v>3.875</v>
      </c>
      <c r="E19" s="221">
        <f>'50 кГЦ новый для ХК.01'!W13</f>
        <v>3.9360741664046568</v>
      </c>
      <c r="F19" s="251">
        <f t="shared" si="0"/>
        <v>3.9360741664046568</v>
      </c>
      <c r="G19" s="241">
        <f>'50 кГЦ новый для ХК.01'!Y13</f>
        <v>1.9902388016337773</v>
      </c>
      <c r="H19" s="234"/>
      <c r="I19" s="153"/>
      <c r="J19" s="219">
        <f>'50 кГЦ новый для ХК.01'!AD13</f>
        <v>10</v>
      </c>
      <c r="K19" s="220">
        <f>'50 кГЦ новый для ХК.01'!AE13</f>
        <v>37</v>
      </c>
      <c r="L19" s="221">
        <f>'50 кГЦ новый для ХК.01'!AL13</f>
        <v>42.958610734721638</v>
      </c>
      <c r="M19" s="251">
        <f>'50 кГЦ новый для ХК.01'!AN13</f>
        <v>4.2958610734721558</v>
      </c>
      <c r="N19" s="241">
        <f>'50 кГЦ новый для ХК.01'!AP13</f>
        <v>2.1721616599166063</v>
      </c>
      <c r="O19" s="234"/>
      <c r="P19" s="234"/>
      <c r="Q19" s="234"/>
      <c r="R19" s="153"/>
      <c r="S19" s="217">
        <f>'50 кГЦ новый для ХК.01'!AU13</f>
        <v>10</v>
      </c>
      <c r="T19" s="220">
        <f>'50 кГЦ новый для ХК.01'!AV13</f>
        <v>293</v>
      </c>
      <c r="U19" s="222">
        <f>'50 кГЦ новый для ХК.01'!BC13</f>
        <v>955.86743262144932</v>
      </c>
      <c r="V19" s="249">
        <f>'50 кГЦ новый для ХК.01'!BE13</f>
        <v>57.931359552815145</v>
      </c>
      <c r="W19" s="239">
        <f>'50 кГЦ новый для ХК.01'!BG13</f>
        <v>29.292445909048165</v>
      </c>
      <c r="X19" s="153"/>
    </row>
    <row r="20" spans="3:35">
      <c r="C20" s="217">
        <f>'50 кГЦ новый для ХК.01'!O14</f>
        <v>11</v>
      </c>
      <c r="D20" s="218">
        <f>'50 кГЦ новый для ХК.01'!P14</f>
        <v>4.25</v>
      </c>
      <c r="E20" s="221">
        <f>'50 кГЦ новый для ХК.01'!W14</f>
        <v>4.3235227117094555</v>
      </c>
      <c r="F20" s="251">
        <f t="shared" si="0"/>
        <v>4.3235227117094555</v>
      </c>
      <c r="G20" s="241">
        <f>'50 кГЦ новый для ХК.01'!Y14</f>
        <v>2.1861485065585033</v>
      </c>
      <c r="H20" s="234"/>
      <c r="I20" s="153"/>
      <c r="J20" s="219">
        <f>'50 кГЦ новый для ХК.01'!AD14</f>
        <v>11</v>
      </c>
      <c r="K20" s="220">
        <f>'50 кГЦ новый для ХК.01'!AE14</f>
        <v>40</v>
      </c>
      <c r="L20" s="221">
        <f>'50 кГЦ новый для ХК.01'!AL14</f>
        <v>47.007427192944739</v>
      </c>
      <c r="M20" s="251">
        <f>'50 кГЦ новый для ХК.01'!AN14</f>
        <v>4.7007427192944649</v>
      </c>
      <c r="N20" s="241">
        <f>'50 кГЦ новый для ХК.01'!AP14</f>
        <v>2.376886247797267</v>
      </c>
      <c r="O20" s="234"/>
      <c r="P20" s="234"/>
      <c r="Q20" s="234"/>
      <c r="R20" s="153"/>
      <c r="S20" s="217">
        <f>'50 кГЦ новый для ХК.01'!AU14</f>
        <v>11</v>
      </c>
      <c r="T20" s="220">
        <f>'50 кГЦ новый для ХК.01'!AV14</f>
        <v>320</v>
      </c>
      <c r="U20" s="222">
        <f>'50 кГЦ новый для ХК.01'!BC14</f>
        <v>1164.1311336718009</v>
      </c>
      <c r="V20" s="249">
        <f>'50 кГЦ новый для ХК.01'!BE14</f>
        <v>70.553402040715241</v>
      </c>
      <c r="W20" s="239">
        <f>'50 кГЦ новый для ХК.01'!BG14</f>
        <v>35.674662720332151</v>
      </c>
      <c r="X20" s="153"/>
    </row>
    <row r="21" spans="3:35">
      <c r="C21" s="217">
        <f>'50 кГЦ новый для ХК.01'!O15</f>
        <v>12</v>
      </c>
      <c r="D21" s="218">
        <f>'50 кГЦ новый для ХК.01'!P15</f>
        <v>4.625</v>
      </c>
      <c r="E21" s="221">
        <f>'50 кГЦ новый для ХК.01'!W15</f>
        <v>4.7121358226345862</v>
      </c>
      <c r="F21" s="251">
        <f t="shared" si="0"/>
        <v>4.7121358226345862</v>
      </c>
      <c r="G21" s="241">
        <f>'50 кГЦ новый для ХК.01'!Y15</f>
        <v>2.382647063112199</v>
      </c>
      <c r="H21" s="234"/>
      <c r="I21" s="153"/>
      <c r="J21" s="219">
        <f>'50 кГЦ новый для ХК.01'!AD15</f>
        <v>12</v>
      </c>
      <c r="K21" s="220">
        <f>'50 кГЦ новый для ХК.01'!AE15</f>
        <v>43</v>
      </c>
      <c r="L21" s="221">
        <f>'50 кГЦ новый для ХК.01'!AL15</f>
        <v>51.148503670894598</v>
      </c>
      <c r="M21" s="251">
        <f>'50 кГЦ новый для ХК.01'!AN15</f>
        <v>5.1148503670894501</v>
      </c>
      <c r="N21" s="241">
        <f>'50 кГЦ новый для ХК.01'!AP15</f>
        <v>2.5862758766130538</v>
      </c>
      <c r="O21" s="234"/>
      <c r="P21" s="234"/>
      <c r="Q21" s="234"/>
      <c r="R21" s="153"/>
      <c r="S21" s="217">
        <f>'50 кГЦ новый для ХК.01'!AU15</f>
        <v>12</v>
      </c>
      <c r="T21" s="220">
        <f>'50 кГЦ новый для ХК.01'!AV15</f>
        <v>347</v>
      </c>
      <c r="U21" s="222">
        <f>'50 кГЦ новый для ХК.01'!BC15</f>
        <v>1407.6778660506247</v>
      </c>
      <c r="V21" s="249">
        <f>'50 кГЦ новый для ХК.01'!BE15</f>
        <v>85.313810063674282</v>
      </c>
      <c r="W21" s="239">
        <f>'50 кГЦ новый для ХК.01'!BG15</f>
        <v>43.138123908634299</v>
      </c>
      <c r="X21" s="153"/>
    </row>
    <row r="22" spans="3:35">
      <c r="C22" s="217">
        <f>'50 кГЦ новый для ХК.01'!O16</f>
        <v>13</v>
      </c>
      <c r="D22" s="218">
        <f>'50 кГЦ новый для ХК.01'!P16</f>
        <v>5</v>
      </c>
      <c r="E22" s="221">
        <f>'50 кГЦ новый для ХК.01'!W16</f>
        <v>5.1019161379730713</v>
      </c>
      <c r="F22" s="251">
        <f t="shared" si="0"/>
        <v>5.1019161379730713</v>
      </c>
      <c r="G22" s="241">
        <f>'50 кГЦ новый для ХК.01'!Y16</f>
        <v>2.5797358055756838</v>
      </c>
      <c r="H22" s="234"/>
      <c r="I22" s="153"/>
      <c r="J22" s="219">
        <f>'50 кГЦ новый для ХК.01'!AD16</f>
        <v>13</v>
      </c>
      <c r="K22" s="220">
        <f>'50 кГЦ новый для ХК.01'!AE16</f>
        <v>46</v>
      </c>
      <c r="L22" s="221">
        <f>'50 кГЦ новый для ХК.01'!AL16</f>
        <v>55.383487018077254</v>
      </c>
      <c r="M22" s="251">
        <f>'50 кГЦ новый для ХК.01'!AN16</f>
        <v>5.5383487018077151</v>
      </c>
      <c r="N22" s="241">
        <f>'50 кГЦ новый для ХК.01'!AP16</f>
        <v>2.8004138177569522</v>
      </c>
      <c r="O22" s="234"/>
      <c r="P22" s="234"/>
      <c r="Q22" s="234"/>
      <c r="R22" s="153"/>
      <c r="S22" s="217">
        <f>'50 кГЦ новый для ХК.01'!AU16</f>
        <v>13</v>
      </c>
      <c r="T22" s="220">
        <f>'50 кГЦ новый для ХК.01'!AV16</f>
        <v>374</v>
      </c>
      <c r="U22" s="222">
        <f>'50 кГЦ новый для ХК.01'!BC16</f>
        <v>1691.8711724038972</v>
      </c>
      <c r="V22" s="249">
        <f>'50 кГЦ новый для ХК.01'!BE16</f>
        <v>102.53764681235747</v>
      </c>
      <c r="W22" s="239">
        <f>'50 кГЦ новый для ХК.01'!BG16</f>
        <v>51.847194612336892</v>
      </c>
      <c r="X22" s="153"/>
    </row>
    <row r="23" spans="3:35">
      <c r="C23" s="217">
        <f>'50 кГЦ новый для ХК.01'!O17</f>
        <v>14</v>
      </c>
      <c r="D23" s="218">
        <f>'50 кГЦ новый для ХК.01'!P17</f>
        <v>5.375</v>
      </c>
      <c r="E23" s="221">
        <f>'50 кГЦ новый для ХК.01'!W17</f>
        <v>5.4928663018396948</v>
      </c>
      <c r="F23" s="251">
        <f t="shared" si="0"/>
        <v>5.4928663018396948</v>
      </c>
      <c r="G23" s="241">
        <f>'50 кГЦ новый для ХК.01'!Y17</f>
        <v>2.7774160709206748</v>
      </c>
      <c r="H23" s="234"/>
      <c r="I23" s="153"/>
      <c r="J23" s="219">
        <f>'50 кГЦ новый для ХК.01'!AD17</f>
        <v>14</v>
      </c>
      <c r="K23" s="220">
        <f>'50 кГЦ новый для ХК.01'!AE17</f>
        <v>49</v>
      </c>
      <c r="L23" s="221">
        <f>'50 кГЦ новый для ХК.01'!AL17</f>
        <v>59.714050514830788</v>
      </c>
      <c r="M23" s="251">
        <f>'50 кГЦ новый для ХК.01'!AN17</f>
        <v>5.9714050514830674</v>
      </c>
      <c r="N23" s="241">
        <f>'50 кГЦ новый для ХК.01'!AP17</f>
        <v>3.0193846790720595</v>
      </c>
      <c r="O23" s="234"/>
      <c r="P23" s="234"/>
      <c r="Q23" s="234"/>
      <c r="R23" s="153"/>
      <c r="S23" s="217">
        <f>'50 кГЦ новый для ХК.01'!AU17</f>
        <v>14</v>
      </c>
      <c r="T23" s="220">
        <f>'50 кГЦ новый для ХК.01'!AV17</f>
        <v>401</v>
      </c>
      <c r="U23" s="222">
        <f>'50 кГЦ новый для ХК.01'!BC17</f>
        <v>2022.8419068734731</v>
      </c>
      <c r="V23" s="249">
        <f>'50 кГЦ новый для ХК.01'!BE17</f>
        <v>122.59647920445299</v>
      </c>
      <c r="W23" s="239">
        <f>'50 кГЦ новый для ХК.01'!BG17</f>
        <v>61.989754141056935</v>
      </c>
      <c r="X23" s="153"/>
    </row>
    <row r="24" spans="3:35">
      <c r="C24" s="217">
        <f>'50 кГЦ новый для ХК.01'!O18</f>
        <v>15</v>
      </c>
      <c r="D24" s="218">
        <f>'50 кГЦ новый для ХК.01'!P18</f>
        <v>5.75</v>
      </c>
      <c r="E24" s="221">
        <f>'50 кГЦ новый для ХК.01'!W18</f>
        <v>5.8849889636810646</v>
      </c>
      <c r="F24" s="251">
        <f t="shared" si="0"/>
        <v>5.8849889636810646</v>
      </c>
      <c r="G24" s="241">
        <f>'50 кГЦ новый для ХК.01'!Y18</f>
        <v>2.975689198814877</v>
      </c>
      <c r="H24" s="234"/>
      <c r="I24" s="153"/>
      <c r="J24" s="219">
        <f>'50 кГЦ новый для ХК.01'!AD18</f>
        <v>15</v>
      </c>
      <c r="K24" s="220">
        <f>'50 кГЦ новый для ХК.01'!AE18</f>
        <v>52</v>
      </c>
      <c r="L24" s="221">
        <f>'50 кГЦ новый для ХК.01'!AL18</f>
        <v>64.141894271873198</v>
      </c>
      <c r="M24" s="251">
        <f>'50 кГЦ новый для ХК.01'!AN18</f>
        <v>6.4141894271873081</v>
      </c>
      <c r="N24" s="241">
        <f>'50 кГЦ новый для ХК.01'!AP18</f>
        <v>3.2432744250543437</v>
      </c>
      <c r="O24" s="234"/>
      <c r="P24" s="234"/>
      <c r="Q24" s="234"/>
      <c r="R24" s="153"/>
      <c r="S24" s="217">
        <f>'50 кГЦ новый для ХК.01'!AU18</f>
        <v>15</v>
      </c>
      <c r="T24" s="220">
        <f>'50 кГЦ новый для ХК.01'!AV18</f>
        <v>428</v>
      </c>
      <c r="U24" s="222">
        <f>'50 кГЦ новый для ХК.01'!BC18</f>
        <v>2407.5938201459312</v>
      </c>
      <c r="V24" s="249">
        <f>'50 кГЦ новый для ХК.01'!BE18</f>
        <v>145.91477697854137</v>
      </c>
      <c r="W24" s="239">
        <f>'50 кГЦ новый для ХК.01'!BG18</f>
        <v>73.780431617145553</v>
      </c>
      <c r="X24" s="153"/>
      <c r="AI24" t="s">
        <v>9</v>
      </c>
    </row>
    <row r="25" spans="3:35">
      <c r="C25" s="217">
        <f>'50 кГЦ новый для ХК.01'!O19</f>
        <v>16</v>
      </c>
      <c r="D25" s="218">
        <f>'50 кГЦ новый для ХК.01'!P19</f>
        <v>6.125</v>
      </c>
      <c r="E25" s="221">
        <f>'50 кГЦ новый для ХК.01'!W19</f>
        <v>6.2782867782856924</v>
      </c>
      <c r="F25" s="251">
        <f t="shared" si="0"/>
        <v>6.2782867782856924</v>
      </c>
      <c r="G25" s="241">
        <f>'50 кГЦ новый для ХК.01'!Y19</f>
        <v>3.174556531627077</v>
      </c>
      <c r="H25" s="234"/>
      <c r="I25" s="153"/>
      <c r="J25" s="219">
        <f>'50 кГЦ новый для ХК.01'!AD19</f>
        <v>16</v>
      </c>
      <c r="K25" s="220">
        <f>'50 кГЦ новый для ХК.01'!AE19</f>
        <v>55</v>
      </c>
      <c r="L25" s="221">
        <f>'50 кГЦ новый для ХК.01'!AL19</f>
        <v>68.668745635662177</v>
      </c>
      <c r="M25" s="251">
        <f>'50 кГЦ новый для ХК.01'!AN19</f>
        <v>6.8668745635662045</v>
      </c>
      <c r="N25" s="241">
        <f>'50 кГЦ новый для ХК.01'!AP19</f>
        <v>3.4721703973492732</v>
      </c>
      <c r="O25" s="234"/>
      <c r="P25" s="234"/>
      <c r="Q25" s="234"/>
      <c r="R25" s="153"/>
      <c r="S25" s="217">
        <f>'50 кГЦ новый для ХК.01'!AU19</f>
        <v>16</v>
      </c>
      <c r="T25" s="220">
        <f>'50 кГЦ новый для ХК.01'!AV19</f>
        <v>455</v>
      </c>
      <c r="U25" s="222">
        <f>'50 кГЦ новый для ХК.01'!BC19</f>
        <v>2854.1232855441203</v>
      </c>
      <c r="V25" s="249">
        <f>'50 кГЦ новый для ХК.01'!BE19</f>
        <v>172.97716882085589</v>
      </c>
      <c r="W25" s="239">
        <f>'50 кГЦ новый для ХК.01'!BG19</f>
        <v>87.464274967787873</v>
      </c>
      <c r="X25" s="153"/>
    </row>
    <row r="26" spans="3:35">
      <c r="C26" s="217">
        <f>'50 кГЦ новый для ХК.01'!O20</f>
        <v>17</v>
      </c>
      <c r="D26" s="218">
        <f>'50 кГЦ новый для ХК.01'!P20</f>
        <v>6.5</v>
      </c>
      <c r="E26" s="221">
        <f>'50 кГЦ новый для ХК.01'!W20</f>
        <v>6.6727624057941028</v>
      </c>
      <c r="F26" s="251">
        <f t="shared" si="0"/>
        <v>6.6727624057941028</v>
      </c>
      <c r="G26" s="241">
        <f>'50 кГЦ новый для ХК.01'!Y20</f>
        <v>3.3740194144322575</v>
      </c>
      <c r="H26" s="234"/>
      <c r="I26" s="153"/>
      <c r="J26" s="219">
        <f>'50 кГЦ новый для ХК.01'!AD20</f>
        <v>17</v>
      </c>
      <c r="K26" s="220">
        <f>'50 кГЦ новый для ХК.01'!AE20</f>
        <v>58</v>
      </c>
      <c r="L26" s="221">
        <f>'50 кГЦ новый для ХК.01'!AL20</f>
        <v>73.29635959964962</v>
      </c>
      <c r="M26" s="251">
        <f>'50 кГЦ новый для ХК.01'!AN20</f>
        <v>7.3296359599649481</v>
      </c>
      <c r="N26" s="241">
        <f>'50 кГЦ новый для ХК.01'!AP20</f>
        <v>3.7061613355465393</v>
      </c>
      <c r="O26" s="234"/>
      <c r="P26" s="234"/>
      <c r="Q26" s="234"/>
      <c r="R26" s="153"/>
      <c r="S26" s="217">
        <f>'50 кГЦ новый для ХК.01'!AU20</f>
        <v>17</v>
      </c>
      <c r="T26" s="220">
        <f>'50 кГЦ новый для ХК.01'!AV20</f>
        <v>482</v>
      </c>
      <c r="U26" s="222">
        <f>'50 кГЦ новый для ХК.01'!BC20</f>
        <v>3371.5550227200479</v>
      </c>
      <c r="V26" s="249">
        <f>'50 кГЦ новый для ХК.01'!BE20</f>
        <v>204.33666804363938</v>
      </c>
      <c r="W26" s="239">
        <f>'50 кГЦ новый для ХК.01'!BG20</f>
        <v>103.32091016173241</v>
      </c>
      <c r="X26" s="153"/>
    </row>
    <row r="27" spans="3:35">
      <c r="C27" s="217">
        <f>'50 кГЦ новый для ХК.01'!O21</f>
        <v>18</v>
      </c>
      <c r="D27" s="218">
        <f>'50 кГЦ новый для ХК.01'!P21</f>
        <v>6.875</v>
      </c>
      <c r="E27" s="221">
        <f>'50 кГЦ новый для ХК.01'!W21</f>
        <v>7.0684185117089564</v>
      </c>
      <c r="F27" s="251">
        <f t="shared" si="0"/>
        <v>7.0684185117089564</v>
      </c>
      <c r="G27" s="241">
        <f>'50 кГЦ новый для ХК.01'!Y21</f>
        <v>3.5740791950167146</v>
      </c>
      <c r="H27" s="234"/>
      <c r="I27" s="153"/>
      <c r="J27" s="219">
        <f>'50 кГЦ новый для ХК.01'!AD21</f>
        <v>18</v>
      </c>
      <c r="K27" s="220">
        <f>'50 кГЦ новый для ХК.01'!AE21</f>
        <v>61</v>
      </c>
      <c r="L27" s="221">
        <f>'50 кГЦ новый для ХК.01'!AL21</f>
        <v>78.026519221513638</v>
      </c>
      <c r="M27" s="251">
        <f>'50 кГЦ новый для ХК.01'!AN21</f>
        <v>7.8026519221513491</v>
      </c>
      <c r="N27" s="241">
        <f>'50 кГЦ новый для ХК.01'!AP21</f>
        <v>3.945337398276934</v>
      </c>
      <c r="O27" s="234"/>
      <c r="P27" s="234"/>
      <c r="Q27" s="234"/>
      <c r="R27" s="153"/>
      <c r="S27" s="217">
        <f>'50 кГЦ новый для ХК.01'!AU21</f>
        <v>18</v>
      </c>
      <c r="T27" s="220">
        <f>'50 кГЦ новый для ХК.01'!AV21</f>
        <v>509</v>
      </c>
      <c r="U27" s="222">
        <f>'50 кГЦ новый для ХК.01'!BC21</f>
        <v>3970.295915556112</v>
      </c>
      <c r="V27" s="249">
        <f>'50 кГЦ новый для ХК.01'!BE21</f>
        <v>240.62399488218875</v>
      </c>
      <c r="W27" s="239">
        <f>'50 кГЦ новый для ХК.01'!BG21</f>
        <v>121.66925494092008</v>
      </c>
      <c r="X27" s="153"/>
    </row>
    <row r="28" spans="3:35">
      <c r="C28" s="217">
        <f>'50 кГЦ новый для ХК.01'!O22</f>
        <v>19</v>
      </c>
      <c r="D28" s="218">
        <f>'50 кГЦ новый для ХК.01'!P22</f>
        <v>7.25</v>
      </c>
      <c r="E28" s="221">
        <f>'50 кГЦ новый для ХК.01'!W22</f>
        <v>7.4652577669051903</v>
      </c>
      <c r="F28" s="251">
        <f t="shared" si="0"/>
        <v>7.4652577669051903</v>
      </c>
      <c r="G28" s="241">
        <f>'50 кГЦ новый для ХК.01'!Y22</f>
        <v>3.7747372238831849</v>
      </c>
      <c r="H28" s="234"/>
      <c r="I28" s="153"/>
      <c r="J28" s="219">
        <f>'50 кГЦ новый для ХК.01'!AD22</f>
        <v>19</v>
      </c>
      <c r="K28" s="220">
        <f>'50 кГЦ новый для ХК.01'!AE22</f>
        <v>64</v>
      </c>
      <c r="L28" s="221">
        <f>'50 кГЦ новый для ХК.01'!AL22</f>
        <v>82.861036046452725</v>
      </c>
      <c r="M28" s="251">
        <f>'50 кГЦ новый для ХК.01'!AN22</f>
        <v>8.2861036046452572</v>
      </c>
      <c r="N28" s="241">
        <f>'50 кГЦ новый для ХК.01'!AP22</f>
        <v>4.1897901846159167</v>
      </c>
      <c r="O28" s="234"/>
      <c r="P28" s="234"/>
      <c r="Q28" s="234"/>
      <c r="R28" s="153"/>
      <c r="S28" s="217">
        <f>'50 кГЦ новый для ХК.01'!AU22</f>
        <v>19</v>
      </c>
      <c r="T28" s="220">
        <f>'50 кГЦ новый для ХК.01'!AV22</f>
        <v>536</v>
      </c>
      <c r="U28" s="222">
        <f>'50 кГЦ новый для ХК.01'!BC22</f>
        <v>4662.2092915951325</v>
      </c>
      <c r="V28" s="249">
        <f>'50 кГЦ новый для ХК.01'!BE22</f>
        <v>282.55813888455367</v>
      </c>
      <c r="W28" s="239">
        <f>'50 кГЦ новый для ХК.01'!BG22</f>
        <v>142.87285959327878</v>
      </c>
      <c r="X28" s="153"/>
    </row>
    <row r="29" spans="3:35">
      <c r="C29" s="217">
        <f>'50 кГЦ новый для ХК.01'!O23</f>
        <v>20</v>
      </c>
      <c r="D29" s="218">
        <f>'50 кГЦ новый для ХК.01'!P23</f>
        <v>7.625</v>
      </c>
      <c r="E29" s="221">
        <f>'50 кГЦ новый для ХК.01'!W23</f>
        <v>7.863282847640173</v>
      </c>
      <c r="F29" s="251">
        <f t="shared" si="0"/>
        <v>7.863282847640173</v>
      </c>
      <c r="G29" s="241">
        <f>'50 кГЦ новый для ХК.01'!Y23</f>
        <v>3.9759948542559806</v>
      </c>
      <c r="H29" s="234"/>
      <c r="I29" s="153"/>
      <c r="J29" s="219">
        <f>'50 кГЦ новый для ХК.01'!AD23</f>
        <v>20</v>
      </c>
      <c r="K29" s="220">
        <f>'50 кГЦ новый для ХК.01'!AE23</f>
        <v>67</v>
      </c>
      <c r="L29" s="221">
        <f>'50 кГЦ новый для ХК.01'!AL23</f>
        <v>87.801750536628376</v>
      </c>
      <c r="M29" s="251">
        <f>'50 кГЦ новый для ХК.01'!AN23</f>
        <v>8.7801750536628216</v>
      </c>
      <c r="N29" s="241">
        <f>'50 кГЦ новый для ХК.01'!AP23</f>
        <v>4.4396127557978886</v>
      </c>
      <c r="O29" s="234"/>
      <c r="P29" s="234"/>
      <c r="Q29" s="234"/>
      <c r="R29" s="153"/>
      <c r="S29" s="217">
        <f>'50 кГЦ новый для ХК.01'!AU23</f>
        <v>20</v>
      </c>
      <c r="T29" s="220">
        <f>'50 кГЦ новый для ХК.01'!AV23</f>
        <v>563</v>
      </c>
      <c r="U29" s="222">
        <f>'50 кГЦ новый для ХК.01'!BC23</f>
        <v>5460.8123355759462</v>
      </c>
      <c r="V29" s="249">
        <f>'50 кГЦ новый для ХК.01'!BE23</f>
        <v>330.95832336823935</v>
      </c>
      <c r="W29" s="239">
        <f>'50 кГЦ новый для ХК.01'!BG23</f>
        <v>167.34595666747623</v>
      </c>
      <c r="X29" s="153"/>
    </row>
    <row r="30" spans="3:35">
      <c r="C30" s="217">
        <f>'50 кГЦ новый для ХК.01'!O24</f>
        <v>21</v>
      </c>
      <c r="D30" s="218">
        <f>'50 кГЦ новый для ХК.01'!P24</f>
        <v>8</v>
      </c>
      <c r="E30" s="221">
        <f>'50 кГЦ новый для ХК.01'!W24</f>
        <v>8.2624964355638664</v>
      </c>
      <c r="F30" s="251">
        <f t="shared" si="0"/>
        <v>8.2624964355638664</v>
      </c>
      <c r="G30" s="241">
        <f>'50 кГЦ новый для ХК.01'!Y24</f>
        <v>4.1778534420861293</v>
      </c>
      <c r="H30" s="234"/>
      <c r="I30" s="153"/>
      <c r="J30" s="219">
        <f>'50 кГЦ новый для ХК.01'!AD24</f>
        <v>21</v>
      </c>
      <c r="K30" s="220">
        <f>'50 кГЦ новый для ХК.01'!AE24</f>
        <v>70</v>
      </c>
      <c r="L30" s="221">
        <f>'50 кГЦ новый для ХК.01'!AL24</f>
        <v>92.850532506843066</v>
      </c>
      <c r="M30" s="251">
        <f>'50 кГЦ новый для ХК.01'!AN24</f>
        <v>9.2850532506842889</v>
      </c>
      <c r="N30" s="241">
        <f>'50 кГЦ новый для ХК.01'!AP24</f>
        <v>4.6948996572459176</v>
      </c>
      <c r="O30" s="234"/>
      <c r="P30" s="234"/>
      <c r="Q30" s="234"/>
      <c r="R30" s="153"/>
      <c r="S30" s="217">
        <f>'50 кГЦ новый для ХК.01'!AU24</f>
        <v>21</v>
      </c>
      <c r="T30" s="220">
        <f>'50 кГЦ новый для ХК.01'!AV24</f>
        <v>590</v>
      </c>
      <c r="U30" s="222">
        <f>'50 кГЦ новый для ХК.01'!BC24</f>
        <v>6381.4996538174501</v>
      </c>
      <c r="V30" s="249">
        <f>'50 кГЦ новый для ХК.01'!BE24</f>
        <v>386.75755477681537</v>
      </c>
      <c r="W30" s="239">
        <f>'50 кГЦ новый для ХК.01'!BG24</f>
        <v>195.56031207738278</v>
      </c>
      <c r="X30" s="153"/>
    </row>
    <row r="31" spans="3:35">
      <c r="C31" s="217">
        <f>'50 кГЦ новый для ХК.01'!O25</f>
        <v>22</v>
      </c>
      <c r="D31" s="218">
        <f>'50 кГЦ новый для ХК.01'!P25</f>
        <v>8.375</v>
      </c>
      <c r="E31" s="221">
        <f>'50 кГЦ новый для ХК.01'!W25</f>
        <v>8.6629012177290683</v>
      </c>
      <c r="F31" s="251">
        <f t="shared" si="0"/>
        <v>8.6629012177290683</v>
      </c>
      <c r="G31" s="241">
        <f>'50 кГЦ новый для ХК.01'!Y25</f>
        <v>4.380314346056549</v>
      </c>
      <c r="H31" s="234"/>
      <c r="I31" s="153"/>
      <c r="J31" s="219">
        <f>'50 кГЦ новый для ХК.01'!AD25</f>
        <v>22</v>
      </c>
      <c r="K31" s="220">
        <f>'50 кГЦ новый для ХК.01'!AE25</f>
        <v>73</v>
      </c>
      <c r="L31" s="221">
        <f>'50 кГЦ новый для ХК.01'!AL25</f>
        <v>98.009281566540693</v>
      </c>
      <c r="M31" s="251">
        <f>'50 кГЦ новый для ХК.01'!AN25</f>
        <v>9.8009281566540505</v>
      </c>
      <c r="N31" s="241">
        <f>'50 кГЦ новый для ХК.01'!AP25</f>
        <v>4.9557469409209736</v>
      </c>
      <c r="O31" s="234"/>
      <c r="P31" s="234"/>
      <c r="Q31" s="234"/>
      <c r="R31" s="153"/>
      <c r="S31" s="217">
        <f>'50 кГЦ новый для ХК.01'!AU25</f>
        <v>22</v>
      </c>
      <c r="T31" s="220">
        <f>'50 кГЦ новый для ХК.01'!AV25</f>
        <v>617</v>
      </c>
      <c r="U31" s="222">
        <f>'50 кГЦ новый для ХК.01'!BC25</f>
        <v>7441.7963941817816</v>
      </c>
      <c r="V31" s="249">
        <f>'50 кГЦ новый для ХК.01'!BE25</f>
        <v>451.01796328374462</v>
      </c>
      <c r="W31" s="239">
        <f>'50 кГЦ новый для ХК.01'!BG25</f>
        <v>228.05298193379201</v>
      </c>
      <c r="X31" s="153"/>
    </row>
    <row r="32" spans="3:35">
      <c r="C32" s="217">
        <f>'50 кГЦ новый для ХК.01'!O26</f>
        <v>23</v>
      </c>
      <c r="D32" s="218">
        <f>'50 кГЦ новый для ХК.01'!P26</f>
        <v>8.75</v>
      </c>
      <c r="E32" s="221">
        <f>'50 кГЦ новый для ХК.01'!W26</f>
        <v>9.0644998866015829</v>
      </c>
      <c r="F32" s="251">
        <f t="shared" si="0"/>
        <v>9.0644998866015829</v>
      </c>
      <c r="G32" s="241">
        <f>'50 кГЦ новый для ХК.01'!Y26</f>
        <v>4.583378927587197</v>
      </c>
      <c r="H32" s="234"/>
      <c r="I32" s="153"/>
      <c r="J32" s="219">
        <f>'50 кГЦ новый для ХК.01'!AD26</f>
        <v>23</v>
      </c>
      <c r="K32" s="220">
        <f>'50 кГЦ новый для ХК.01'!AE26</f>
        <v>76</v>
      </c>
      <c r="L32" s="221">
        <f>'50 кГЦ новый для ХК.01'!AL26</f>
        <v>103.27992756822063</v>
      </c>
      <c r="M32" s="251">
        <f>'50 кГЦ новый для ХК.01'!AN26</f>
        <v>10.327992756822043</v>
      </c>
      <c r="N32" s="241">
        <f>'50 кГЦ новый для ХК.01'!AP26</f>
        <v>5.2222521879956441</v>
      </c>
      <c r="O32" s="234"/>
      <c r="P32" s="234"/>
      <c r="Q32" s="234"/>
      <c r="R32" s="153"/>
      <c r="S32" s="217">
        <f>'50 кГЦ новый для ХК.01'!AU26</f>
        <v>23</v>
      </c>
      <c r="T32" s="220">
        <f>'50 кГЦ новый для ХК.01'!AV26</f>
        <v>644</v>
      </c>
      <c r="U32" s="222">
        <f>'50 кГЦ новый для ХК.01'!BC26</f>
        <v>8661.6447636860394</v>
      </c>
      <c r="V32" s="249">
        <f>'50 кГЦ новый для ХК.01'!BE26</f>
        <v>524.94816749612392</v>
      </c>
      <c r="W32" s="239">
        <f>'50 кГЦ новый для ХК.01'!BG26</f>
        <v>265.43509284319742</v>
      </c>
      <c r="X32" s="153"/>
    </row>
    <row r="33" spans="3:24">
      <c r="C33" s="217">
        <f>'50 кГЦ новый для ХК.01'!O27</f>
        <v>24</v>
      </c>
      <c r="D33" s="218">
        <f>'50 кГЦ новый для ХК.01'!P27</f>
        <v>9.125</v>
      </c>
      <c r="E33" s="221">
        <f>'50 кГЦ новый для ХК.01'!W27</f>
        <v>9.4672951400704495</v>
      </c>
      <c r="F33" s="251">
        <f t="shared" si="0"/>
        <v>9.4672951400704495</v>
      </c>
      <c r="G33" s="241">
        <f>'50 кГЦ новый для ХК.01'!Y27</f>
        <v>4.7870485508402343</v>
      </c>
      <c r="H33" s="234"/>
      <c r="I33" s="153"/>
      <c r="J33" s="219">
        <f>'50 кГЦ новый для ХК.01'!AD27</f>
        <v>24</v>
      </c>
      <c r="K33" s="220">
        <f>'50 кГЦ новый для ХК.01'!AE27</f>
        <v>79</v>
      </c>
      <c r="L33" s="221">
        <f>'50 кГЦ новый для ХК.01'!AL27</f>
        <v>108.66443106235431</v>
      </c>
      <c r="M33" s="251">
        <f>'50 кГЦ новый для ХК.01'!AN27</f>
        <v>10.86644310623541</v>
      </c>
      <c r="N33" s="241">
        <f>'50 кГЦ новый для ХК.01'!AP27</f>
        <v>5.4945145318565736</v>
      </c>
      <c r="O33" s="234"/>
      <c r="P33" s="234"/>
      <c r="Q33" s="234"/>
      <c r="R33" s="153"/>
      <c r="S33" s="217">
        <f>'50 кГЦ новый для ХК.01'!AU27</f>
        <v>24</v>
      </c>
      <c r="T33" s="220">
        <f>'50 кГЦ новый для ХК.01'!AV27</f>
        <v>671</v>
      </c>
      <c r="U33" s="222">
        <f>'50 кГЦ новый для ХК.01'!BC27</f>
        <v>10063.728278741721</v>
      </c>
      <c r="V33" s="249">
        <f>'50 кГЦ новый для ХК.01'!BE27</f>
        <v>609.9229259843471</v>
      </c>
      <c r="W33" s="239">
        <f>'50 кГЦ новый для ХК.01'!BG27</f>
        <v>308.40177851853429</v>
      </c>
      <c r="X33" s="153"/>
    </row>
    <row r="34" spans="3:24">
      <c r="C34" s="217">
        <f>'50 кГЦ новый для ХК.01'!O28</f>
        <v>25</v>
      </c>
      <c r="D34" s="218">
        <f>'50 кГЦ новый для ХК.01'!P28</f>
        <v>9.5</v>
      </c>
      <c r="E34" s="221">
        <f>'50 кГЦ новый для ХК.01'!W28</f>
        <v>9.8712896814582454</v>
      </c>
      <c r="F34" s="251">
        <f t="shared" si="0"/>
        <v>9.8712896814582454</v>
      </c>
      <c r="G34" s="241">
        <f>'50 кГЦ новый для ХК.01'!Y28</f>
        <v>4.9913245827252428</v>
      </c>
      <c r="H34" s="234"/>
      <c r="I34" s="153"/>
      <c r="J34" s="219">
        <f>'50 кГЦ новый для ХК.01'!AD28</f>
        <v>25</v>
      </c>
      <c r="K34" s="220">
        <f>'50 кГЦ новый для ХК.01'!AE28</f>
        <v>82</v>
      </c>
      <c r="L34" s="221">
        <f>'50 кГЦ новый для ХК.01'!AL28</f>
        <v>114.1647837588982</v>
      </c>
      <c r="M34" s="251">
        <f>'50 кГЦ новый для ХК.01'!AN28</f>
        <v>11.416478375889797</v>
      </c>
      <c r="N34" s="241">
        <f>'50 кГЦ новый для ХК.01'!AP28</f>
        <v>5.7726346814403291</v>
      </c>
      <c r="O34" s="234"/>
      <c r="P34" s="234"/>
      <c r="Q34" s="234"/>
      <c r="R34" s="153"/>
      <c r="S34" s="217">
        <f>'50 кГЦ новый для ХК.01'!AU28</f>
        <v>25</v>
      </c>
      <c r="T34" s="220">
        <f>'50 кГЦ новый для ХК.01'!AV28</f>
        <v>698</v>
      </c>
      <c r="U34" s="222">
        <f>'50 кГЦ новый для ХК.01'!BC28</f>
        <v>11673.838638481819</v>
      </c>
      <c r="V34" s="249">
        <f>'50 кГЦ новый для ХК.01'!BE28</f>
        <v>707.50537202920157</v>
      </c>
      <c r="W34" s="239">
        <f>'50 кГЦ новый для ХК.01'!BG28</f>
        <v>357.74342256946602</v>
      </c>
      <c r="X34" s="153"/>
    </row>
    <row r="35" spans="3:24">
      <c r="C35" s="217">
        <f>'50 кГЦ новый для ХК.01'!O29</f>
        <v>26</v>
      </c>
      <c r="D35" s="218">
        <f>'50 кГЦ новый для ХК.01'!P29</f>
        <v>9.875</v>
      </c>
      <c r="E35" s="221">
        <f>'50 кГЦ новый для ХК.01'!W29</f>
        <v>10.276486219531302</v>
      </c>
      <c r="F35" s="251">
        <f t="shared" si="0"/>
        <v>10.276486219531302</v>
      </c>
      <c r="G35" s="241">
        <f>'50 кГЦ новый для ХК.01'!Y29</f>
        <v>5.1962083929043841</v>
      </c>
      <c r="H35" s="234"/>
      <c r="I35" s="153"/>
      <c r="J35" s="219">
        <f>'50 кГЦ новый для ХК.01'!AD29</f>
        <v>26</v>
      </c>
      <c r="K35" s="220">
        <f>'50 кГЦ новый для ХК.01'!AE29</f>
        <v>85</v>
      </c>
      <c r="L35" s="221">
        <f>'50 кГЦ новый для ХК.01'!AL29</f>
        <v>119.78300899549316</v>
      </c>
      <c r="M35" s="251">
        <f>'50 кГЦ новый для ХК.01'!AN29</f>
        <v>11.978300899549293</v>
      </c>
      <c r="N35" s="241">
        <f>'50 кГЦ новый для ХК.01'!AP29</f>
        <v>6.0567149449075952</v>
      </c>
      <c r="O35" s="234"/>
      <c r="P35" s="234"/>
      <c r="Q35" s="234"/>
      <c r="R35" s="153"/>
      <c r="S35" s="217">
        <f>'50 кГЦ новый для ХК.01'!AU29</f>
        <v>26</v>
      </c>
      <c r="T35" s="220">
        <f>'50 кГЦ новый для ХК.01'!AV29</f>
        <v>725</v>
      </c>
      <c r="U35" s="222">
        <f>'50 кГЦ новый для ХК.01'!BC29</f>
        <v>13521.290737559055</v>
      </c>
      <c r="V35" s="249">
        <f>'50 кГЦ новый для ХК.01'!BE29</f>
        <v>819.47216591267045</v>
      </c>
      <c r="W35" s="239">
        <f>'50 кГЦ новый для ХК.01'!BG29</f>
        <v>414.35837652114759</v>
      </c>
      <c r="X35" s="153"/>
    </row>
    <row r="36" spans="3:24">
      <c r="C36" s="217">
        <f>'50 кГЦ новый для ХК.01'!O30</f>
        <v>27</v>
      </c>
      <c r="D36" s="218">
        <f>'50 кГЦ новый для ХК.01'!P30</f>
        <v>10.25</v>
      </c>
      <c r="E36" s="221">
        <f>'50 кГЦ новый для ХК.01'!W30</f>
        <v>10.682887468510003</v>
      </c>
      <c r="F36" s="251">
        <f t="shared" si="0"/>
        <v>10.682887468510003</v>
      </c>
      <c r="G36" s="241">
        <f>'50 кГЦ новый для ХК.01'!Y30</f>
        <v>5.4017013537976135</v>
      </c>
      <c r="H36" s="234"/>
      <c r="I36" s="153"/>
      <c r="J36" s="219">
        <f>'50 кГЦ новый для ХК.01'!AD30</f>
        <v>27</v>
      </c>
      <c r="K36" s="220">
        <f>'50 кГЦ новый для ХК.01'!AE30</f>
        <v>88</v>
      </c>
      <c r="L36" s="221">
        <f>'50 кГЦ новый для ХК.01'!AL30</f>
        <v>125.52116221244961</v>
      </c>
      <c r="M36" s="251">
        <f>'50 кГЦ новый для ХК.01'!AN30</f>
        <v>12.552116221244937</v>
      </c>
      <c r="N36" s="241">
        <f>'50 кГЦ новый для ХК.01'!AP30</f>
        <v>6.3468592536602468</v>
      </c>
      <c r="O36" s="234"/>
      <c r="P36" s="234"/>
      <c r="Q36" s="234"/>
      <c r="R36" s="153"/>
      <c r="S36" s="217">
        <f>'50 кГЦ новый для ХК.01'!AU30</f>
        <v>27</v>
      </c>
      <c r="T36" s="220">
        <f>'50 кГЦ новый для ХК.01'!AV30</f>
        <v>752</v>
      </c>
      <c r="U36" s="222">
        <f>'50 кГЦ новый для ХК.01'!BC30</f>
        <v>15639.392040024479</v>
      </c>
      <c r="V36" s="249">
        <f>'50 кГЦ новый для ХК.01'!BE30</f>
        <v>947.84194181966598</v>
      </c>
      <c r="W36" s="239">
        <f>'50 кГЦ новый для ХК.01'!BG30</f>
        <v>479.26734372196404</v>
      </c>
      <c r="X36" s="153"/>
    </row>
    <row r="37" spans="3:24">
      <c r="C37" s="217">
        <f>'50 кГЦ новый для ХК.01'!O31</f>
        <v>28</v>
      </c>
      <c r="D37" s="218">
        <f>'50 кГЦ новый для ХК.01'!P31</f>
        <v>10.625</v>
      </c>
      <c r="E37" s="221">
        <f>'50 кГЦ новый для ХК.01'!W31</f>
        <v>11.090496148079124</v>
      </c>
      <c r="F37" s="251">
        <f t="shared" si="0"/>
        <v>11.090496148079124</v>
      </c>
      <c r="G37" s="241">
        <f>'50 кГЦ новый для ХК.01'!Y31</f>
        <v>5.6078048405879004</v>
      </c>
      <c r="H37" s="234"/>
      <c r="I37" s="153"/>
      <c r="J37" s="219">
        <f>'50 кГЦ новый для ХК.01'!AD31</f>
        <v>28</v>
      </c>
      <c r="K37" s="220">
        <f>'50 кГЦ новый для ХК.01'!AE31</f>
        <v>91</v>
      </c>
      <c r="L37" s="221">
        <f>'50 кГЦ новый для ХК.01'!AL31</f>
        <v>131.38133143460843</v>
      </c>
      <c r="M37" s="251">
        <f>'50 кГЦ новый для ХК.01'!AN31</f>
        <v>13.138133143460818</v>
      </c>
      <c r="N37" s="241">
        <f>'50 кГЦ новый для ХК.01'!AP31</f>
        <v>6.6431731867062229</v>
      </c>
      <c r="O37" s="234"/>
      <c r="P37" s="234"/>
      <c r="Q37" s="234"/>
      <c r="R37" s="153"/>
      <c r="S37" s="217">
        <f>'50 кГЦ новый для ХК.01'!AU31</f>
        <v>28</v>
      </c>
      <c r="T37" s="220">
        <f>'50 кГЦ новый для ХК.01'!AV31</f>
        <v>779</v>
      </c>
      <c r="U37" s="222">
        <f>'50 кГЦ новый для ХК.01'!BC31</f>
        <v>18065.973330387387</v>
      </c>
      <c r="V37" s="249">
        <f>'50 кГЦ новый для ХК.01'!BE31</f>
        <v>1094.9074745689331</v>
      </c>
      <c r="W37" s="239">
        <f>'50 кГЦ новый для ХК.01'!BG31</f>
        <v>553.6296441477939</v>
      </c>
      <c r="X37" s="153"/>
    </row>
    <row r="38" spans="3:24">
      <c r="C38" s="217">
        <f>'50 кГЦ новый для ХК.01'!O32</f>
        <v>29</v>
      </c>
      <c r="D38" s="218">
        <f>'50 кГЦ новый для ХК.01'!P32</f>
        <v>11</v>
      </c>
      <c r="E38" s="221">
        <f>'50 кГЦ новый для ХК.01'!W32</f>
        <v>11.499314983398145</v>
      </c>
      <c r="F38" s="251">
        <f t="shared" si="0"/>
        <v>11.499314983398145</v>
      </c>
      <c r="G38" s="241">
        <f>'50 кГЦ новый для ХК.01'!Y32</f>
        <v>5.8145202312264512</v>
      </c>
      <c r="H38" s="234"/>
      <c r="I38" s="153"/>
      <c r="J38" s="219">
        <f>'50 кГЦ новый для ХК.01'!AD32</f>
        <v>29</v>
      </c>
      <c r="K38" s="220">
        <f>'50 кГЦ новый для ХК.01'!AE32</f>
        <v>94</v>
      </c>
      <c r="L38" s="221">
        <f>'50 кГЦ новый для ХК.01'!AL32</f>
        <v>137.36563776017931</v>
      </c>
      <c r="M38" s="251">
        <f>'50 кГЦ новый для ХК.01'!AN32</f>
        <v>13.736563776017904</v>
      </c>
      <c r="N38" s="241">
        <f>'50 кГЦ новый для ХК.01'!AP32</f>
        <v>6.9457639953772139</v>
      </c>
      <c r="O38" s="234"/>
      <c r="P38" s="234"/>
      <c r="Q38" s="234"/>
      <c r="R38" s="153"/>
      <c r="S38" s="217">
        <f>'50 кГЦ новый для ХК.01'!AU32</f>
        <v>29</v>
      </c>
      <c r="T38" s="220">
        <f>'50 кГЦ новый для ХК.01'!AV32</f>
        <v>806</v>
      </c>
      <c r="U38" s="222">
        <f>'50 кГЦ новый для ХК.01'!BC32</f>
        <v>20843.988752916426</v>
      </c>
      <c r="V38" s="249">
        <f>'50 кГЦ новый для ХК.01'!BE32</f>
        <v>1263.2720456312993</v>
      </c>
      <c r="W38" s="239">
        <f>'50 кГЦ новый для ХК.01'!BG32</f>
        <v>638.76160253638045</v>
      </c>
      <c r="X38" s="153"/>
    </row>
    <row r="39" spans="3:24">
      <c r="C39" s="217">
        <f>'50 кГЦ новый для ХК.01'!O33</f>
        <v>30</v>
      </c>
      <c r="D39" s="218">
        <f>'50 кГЦ новый для ХК.01'!P33</f>
        <v>11.375</v>
      </c>
      <c r="E39" s="221">
        <f>'50 кГЦ новый для ХК.01'!W33</f>
        <v>11.909346705111545</v>
      </c>
      <c r="F39" s="251">
        <f t="shared" si="0"/>
        <v>11.909346705111545</v>
      </c>
      <c r="G39" s="241">
        <f>'50 кГЦ новый для ХК.01'!Y33</f>
        <v>6.0218489064379064</v>
      </c>
      <c r="H39" s="234"/>
      <c r="I39" s="153"/>
      <c r="J39" s="219">
        <f>'50 кГЦ новый для ХК.01'!AD33</f>
        <v>30</v>
      </c>
      <c r="K39" s="220">
        <f>'50 кГЦ новый для ХК.01'!AE33</f>
        <v>97</v>
      </c>
      <c r="L39" s="221">
        <f>'50 кГЦ новый для ХК.01'!AL33</f>
        <v>143.47623585665335</v>
      </c>
      <c r="M39" s="251">
        <f>'50 кГЦ новый для ХК.01'!AN33</f>
        <v>14.347623585665307</v>
      </c>
      <c r="N39" s="241">
        <f>'50 кГЦ новый для ХК.01'!AP33</f>
        <v>7.2547406284039457</v>
      </c>
      <c r="O39" s="234"/>
      <c r="P39" s="234"/>
      <c r="Q39" s="234"/>
      <c r="R39" s="153"/>
      <c r="S39" s="217">
        <f>'50 кГЦ новый для ХК.01'!AU33</f>
        <v>30</v>
      </c>
      <c r="T39" s="220">
        <f>'50 кГЦ новый для ХК.01'!AV33</f>
        <v>833</v>
      </c>
      <c r="U39" s="222">
        <f>'50 кГЦ новый для ХК.01'!BC33</f>
        <v>24022.194058281137</v>
      </c>
      <c r="V39" s="249">
        <f>'50 кГЦ новый для ХК.01'!BE33</f>
        <v>1455.8905489867363</v>
      </c>
      <c r="W39" s="239">
        <f>'50 кГЦ новый для ХК.01'!BG33</f>
        <v>736.1573331764838</v>
      </c>
      <c r="X39" s="153"/>
    </row>
    <row r="40" spans="3:24">
      <c r="C40" s="217">
        <f>'50 кГЦ новый для ХК.01'!O34</f>
        <v>31</v>
      </c>
      <c r="D40" s="218">
        <f>'50 кГЦ новый для ХК.01'!P34</f>
        <v>11.75</v>
      </c>
      <c r="E40" s="221">
        <f>'50 кГЦ новый для ХК.01'!W34</f>
        <v>12.320594049359229</v>
      </c>
      <c r="F40" s="251">
        <f t="shared" si="0"/>
        <v>12.320594049359229</v>
      </c>
      <c r="G40" s="241">
        <f>'50 кГЦ новый для ХК.01'!Y34</f>
        <v>6.2297922497256204</v>
      </c>
      <c r="H40" s="234"/>
      <c r="I40" s="153"/>
      <c r="J40" s="219">
        <f>'50 кГЦ новый для ХК.01'!AD34</f>
        <v>31</v>
      </c>
      <c r="K40" s="220">
        <f>'50 кГЦ новый для ХК.01'!AE34</f>
        <v>100</v>
      </c>
      <c r="L40" s="221">
        <f>'50 кГЦ новый для ХК.01'!AL34</f>
        <v>149.71531446388832</v>
      </c>
      <c r="M40" s="251">
        <f>'50 кГЦ новый для ХК.01'!AN34</f>
        <v>14.971531446388804</v>
      </c>
      <c r="N40" s="241">
        <f>'50 кГЦ новый для ХК.01'!AP34</f>
        <v>7.5702137573542698</v>
      </c>
      <c r="O40" s="234"/>
      <c r="P40" s="234"/>
      <c r="Q40" s="234"/>
      <c r="R40" s="153"/>
      <c r="S40" s="217">
        <f>'50 кГЦ новый для ХК.01'!AU34</f>
        <v>31</v>
      </c>
      <c r="T40" s="220">
        <f>'50 кГЦ новый для ХК.01'!AV34</f>
        <v>860</v>
      </c>
      <c r="U40" s="222">
        <f>'50 кГЦ новый для ХК.01'!BC34</f>
        <v>27655.913111913444</v>
      </c>
      <c r="V40" s="249">
        <f>'50 кГЦ новый для ХК.01'!BE34</f>
        <v>1676.1159461765733</v>
      </c>
      <c r="W40" s="239">
        <f>'50 кГЦ новый для ХК.01'!BG34</f>
        <v>847.51222946716575</v>
      </c>
      <c r="X40" s="153"/>
    </row>
    <row r="41" spans="3:24">
      <c r="C41" s="217">
        <f>'50 кГЦ новый для ХК.01'!O35</f>
        <v>32</v>
      </c>
      <c r="D41" s="218">
        <f>'50 кГЦ новый для ХК.01'!P35</f>
        <v>12.125</v>
      </c>
      <c r="E41" s="221">
        <f>'50 кГЦ новый для ХК.01'!W35</f>
        <v>12.733059757786917</v>
      </c>
      <c r="F41" s="251">
        <f t="shared" si="0"/>
        <v>12.733059757786917</v>
      </c>
      <c r="G41" s="241">
        <f>'50 кГЦ новый для ХК.01'!Y35</f>
        <v>6.4383516473769076</v>
      </c>
      <c r="H41" s="234"/>
      <c r="I41" s="153"/>
      <c r="J41" s="219">
        <f>'50 кГЦ новый для ХК.01'!AD35</f>
        <v>32</v>
      </c>
      <c r="K41" s="220">
        <f>'50 кГЦ новый для ХК.01'!AE35</f>
        <v>103</v>
      </c>
      <c r="L41" s="221">
        <f>'50 кГЦ новый для ХК.01'!AL35</f>
        <v>156.08509690447082</v>
      </c>
      <c r="M41" s="251">
        <f>'50 кГЦ новый для ХК.01'!AN35</f>
        <v>15.608509690447052</v>
      </c>
      <c r="N41" s="241">
        <f>'50 кГЦ новый для ХК.01'!AP35</f>
        <v>7.8922958024391345</v>
      </c>
      <c r="O41" s="234"/>
      <c r="P41" s="234"/>
      <c r="Q41" s="234"/>
      <c r="R41" s="153"/>
      <c r="S41" s="217">
        <f>'50 кГЦ новый для ХК.01'!AU35</f>
        <v>32</v>
      </c>
      <c r="T41" s="220">
        <f>'50 кГЦ новый для ХК.01'!AV35</f>
        <v>887</v>
      </c>
      <c r="U41" s="222">
        <f>'50 кГЦ новый для ХК.01'!BC35</f>
        <v>31807.903996942037</v>
      </c>
      <c r="V41" s="249">
        <f>'50 кГЦ новый для ХК.01'!BE35</f>
        <v>1927.7517573904277</v>
      </c>
      <c r="W41" s="239">
        <f>'50 кГЦ новый для ХК.01'!BG35</f>
        <v>974.74950554112434</v>
      </c>
      <c r="X41" s="153"/>
    </row>
    <row r="42" spans="3:24">
      <c r="C42" s="217">
        <f>'50 кГЦ новый для ХК.01'!O36</f>
        <v>33</v>
      </c>
      <c r="D42" s="218">
        <f>'50 кГЦ новый для ХК.01'!P36</f>
        <v>12.5</v>
      </c>
      <c r="E42" s="221">
        <f>'50 кГЦ новый для ХК.01'!W36</f>
        <v>13.14674657755647</v>
      </c>
      <c r="F42" s="251">
        <f t="shared" si="0"/>
        <v>13.14674657755647</v>
      </c>
      <c r="G42" s="241">
        <f>'50 кГЦ новый для ХК.01'!Y36</f>
        <v>6.6475284884682697</v>
      </c>
      <c r="H42" s="234"/>
      <c r="I42" s="153"/>
      <c r="J42" s="219">
        <f>'50 кГЦ новый для ХК.01'!AD36</f>
        <v>33</v>
      </c>
      <c r="K42" s="220">
        <f>'50 кГЦ новый для ХК.01'!AE36</f>
        <v>106</v>
      </c>
      <c r="L42" s="221">
        <f>'50 кГЦ новый для ХК.01'!AL36</f>
        <v>162.58784160145501</v>
      </c>
      <c r="M42" s="251">
        <f>'50 кГЦ новый для ХК.01'!AN36</f>
        <v>16.258784160145471</v>
      </c>
      <c r="N42" s="241">
        <f>'50 кГЦ новый для ХК.01'!AP36</f>
        <v>8.2211009586915029</v>
      </c>
      <c r="O42" s="234"/>
      <c r="P42" s="234"/>
      <c r="Q42" s="234"/>
      <c r="R42" s="153"/>
      <c r="S42" s="217">
        <f>'50 кГЦ новый для ХК.01'!AU36</f>
        <v>33</v>
      </c>
      <c r="T42" s="220">
        <f>'50 кГЦ новый для ХК.01'!AV36</f>
        <v>914</v>
      </c>
      <c r="U42" s="222">
        <f>'50 кГЦ новый для ХК.01'!BC36</f>
        <v>36549.337484130359</v>
      </c>
      <c r="V42" s="249">
        <f>'50 кГЦ новый для ХК.01'!BE36</f>
        <v>2215.1113626745687</v>
      </c>
      <c r="W42" s="239">
        <f>'50 кГЦ новый для ХК.01'!BG36</f>
        <v>1120.0501813617382</v>
      </c>
      <c r="X42" s="153"/>
    </row>
    <row r="43" spans="3:24">
      <c r="C43" s="217">
        <f>'50 кГЦ новый для ХК.01'!O37</f>
        <v>34</v>
      </c>
      <c r="D43" s="218">
        <f>'50 кГЦ новый для ХК.01'!P37</f>
        <v>12.875</v>
      </c>
      <c r="E43" s="221">
        <f>'50 кГЦ новый для ХК.01'!W37</f>
        <v>13.561657261356387</v>
      </c>
      <c r="F43" s="251">
        <f t="shared" si="0"/>
        <v>13.561657261356387</v>
      </c>
      <c r="G43" s="241">
        <f>'50 кГЦ новый для ХК.01'!Y37</f>
        <v>6.8573241648707004</v>
      </c>
      <c r="H43" s="234"/>
      <c r="I43" s="153"/>
      <c r="J43" s="219">
        <f>'50 кГЦ новый для ХК.01'!AD37</f>
        <v>34</v>
      </c>
      <c r="K43" s="220">
        <f>'50 кГЦ новый для ХК.01'!AE37</f>
        <v>109</v>
      </c>
      <c r="L43" s="221">
        <f>'50 кГЦ новый для ХК.01'!AL37</f>
        <v>169.22584260358349</v>
      </c>
      <c r="M43" s="251">
        <f>'50 кГЦ новый для ХК.01'!AN37</f>
        <v>16.922584260358317</v>
      </c>
      <c r="N43" s="241">
        <f>'50 кГЦ новый для ХК.01'!AP37</f>
        <v>8.5567452225237535</v>
      </c>
      <c r="O43" s="234"/>
      <c r="P43" s="234"/>
      <c r="Q43" s="234"/>
      <c r="R43" s="153"/>
      <c r="S43" s="217">
        <f>'50 кГЦ новый для ХК.01'!AU37</f>
        <v>34</v>
      </c>
      <c r="T43" s="220">
        <f>'50 кГЦ новый для ХК.01'!AV37</f>
        <v>941</v>
      </c>
      <c r="U43" s="222">
        <f>'50 кГЦ новый для ХК.01'!BC37</f>
        <v>41960.902262085518</v>
      </c>
      <c r="V43" s="249">
        <f>'50 кГЦ новый для ХК.01'!BE37</f>
        <v>2543.084985580942</v>
      </c>
      <c r="W43" s="239">
        <f>'50 кГЦ новый для ХК.01'!BG37</f>
        <v>1285.8869523738344</v>
      </c>
      <c r="X43" s="153"/>
    </row>
    <row r="44" spans="3:24">
      <c r="C44" s="217">
        <f>'50 кГЦ новый для ХК.01'!O38</f>
        <v>35</v>
      </c>
      <c r="D44" s="218">
        <f>'50 кГЦ новый для ХК.01'!P38</f>
        <v>13.25</v>
      </c>
      <c r="E44" s="221">
        <f>'50 кГЦ новый для ХК.01'!W38</f>
        <v>13.977794567412202</v>
      </c>
      <c r="F44" s="251">
        <f t="shared" si="0"/>
        <v>13.977794567412202</v>
      </c>
      <c r="G44" s="241">
        <f>'50 кГЦ новый для ХК.01'!Y38</f>
        <v>7.0677400712549421</v>
      </c>
      <c r="H44" s="234"/>
      <c r="I44" s="153"/>
      <c r="J44" s="219">
        <f>'50 кГЦ новый для ХК.01'!AD38</f>
        <v>35</v>
      </c>
      <c r="K44" s="220">
        <f>'50 кГЦ новый для ХК.01'!AE38</f>
        <v>112</v>
      </c>
      <c r="L44" s="221">
        <f>'50 кГЦ новый для ХК.01'!AL38</f>
        <v>176.00143011809601</v>
      </c>
      <c r="M44" s="251">
        <f>'50 кГЦ новый для ХК.01'!AN38</f>
        <v>17.600143011809568</v>
      </c>
      <c r="N44" s="241">
        <f>'50 кГЦ новый для ХК.01'!AP38</f>
        <v>8.8993464186685358</v>
      </c>
      <c r="O44" s="234"/>
      <c r="P44" s="234"/>
      <c r="Q44" s="234"/>
      <c r="R44" s="153"/>
      <c r="S44" s="217">
        <f>'50 кГЦ новый для ХК.01'!AU38</f>
        <v>35</v>
      </c>
      <c r="T44" s="220">
        <f>'50 кГЦ новый для ХК.01'!AV38</f>
        <v>968</v>
      </c>
      <c r="U44" s="222">
        <f>'50 кГЦ новый для ХК.01'!BC38</f>
        <v>48134.05314576059</v>
      </c>
      <c r="V44" s="249">
        <f>'50 кГЦ новый для ХК.01'!BE38</f>
        <v>2917.2153421673102</v>
      </c>
      <c r="W44" s="239">
        <f>'50 кГЦ новый для ХК.01'!BG38</f>
        <v>1475.0624407075316</v>
      </c>
      <c r="X44" s="153"/>
    </row>
    <row r="45" spans="3:24">
      <c r="C45" s="217">
        <f>'50 кГЦ новый для ХК.01'!O39</f>
        <v>36</v>
      </c>
      <c r="D45" s="218">
        <f>'50 кГЦ новый для ХК.01'!P39</f>
        <v>13.625</v>
      </c>
      <c r="E45" s="221">
        <f>'50 кГЦ новый для ХК.01'!W39</f>
        <v>14.395161259496955</v>
      </c>
      <c r="F45" s="251">
        <f t="shared" si="0"/>
        <v>14.395161259496955</v>
      </c>
      <c r="G45" s="241">
        <f>'50 кГЦ новый для ХК.01'!Y39</f>
        <v>7.2787776050967814</v>
      </c>
      <c r="H45" s="234"/>
      <c r="I45" s="153"/>
      <c r="J45" s="219">
        <f>'50 кГЦ новый для ХК.01'!AD39</f>
        <v>36</v>
      </c>
      <c r="K45" s="220">
        <f>'50 кГЦ новый для ХК.01'!AE39</f>
        <v>115</v>
      </c>
      <c r="L45" s="221">
        <f>'50 кГЦ новый для ХК.01'!AL39</f>
        <v>182.91697105123114</v>
      </c>
      <c r="M45" s="251">
        <f>'50 кГЦ новый для ХК.01'!AN39</f>
        <v>18.291697105123081</v>
      </c>
      <c r="N45" s="241">
        <f>'50 кГЦ новый для ХК.01'!AP39</f>
        <v>9.2490242275087926</v>
      </c>
      <c r="O45" s="234"/>
      <c r="P45" s="234"/>
      <c r="Q45" s="234"/>
      <c r="R45" s="153"/>
      <c r="S45" s="217">
        <f>'50 кГЦ новый для ХК.01'!AU39</f>
        <v>36</v>
      </c>
      <c r="T45" s="220">
        <f>'50 кГЦ новый для ХК.01'!AV39</f>
        <v>995</v>
      </c>
      <c r="U45" s="222">
        <f>'50 кГЦ новый для ХК.01'!BC39</f>
        <v>55172.420535402132</v>
      </c>
      <c r="V45" s="249">
        <f>'50 кГЦ новый для ХК.01'!BE39</f>
        <v>3343.7830627516464</v>
      </c>
      <c r="W45" s="239">
        <f>'50 кГЦ новый для ХК.01'!BG39</f>
        <v>1690.7523878832242</v>
      </c>
      <c r="X45" s="153"/>
    </row>
    <row r="46" spans="3:24">
      <c r="C46" s="217">
        <f>'50 кГЦ новый для ХК.01'!O40</f>
        <v>37</v>
      </c>
      <c r="D46" s="218">
        <f>'50 кГЦ новый для ХК.01'!P40</f>
        <v>14</v>
      </c>
      <c r="E46" s="221">
        <f>'50 кГЦ новый для ХК.01'!W40</f>
        <v>14.81376010694167</v>
      </c>
      <c r="F46" s="251">
        <f t="shared" si="0"/>
        <v>14.81376010694167</v>
      </c>
      <c r="G46" s="241">
        <f>'50 кГЦ новый для ХК.01'!Y40</f>
        <v>7.4904381666823481</v>
      </c>
      <c r="H46" s="234"/>
      <c r="I46" s="153"/>
      <c r="J46" s="219">
        <f>'50 кГЦ новый для ХК.01'!AD40</f>
        <v>37</v>
      </c>
      <c r="K46" s="220">
        <f>'50 кГЦ новый для ХК.01'!AE40</f>
        <v>118</v>
      </c>
      <c r="L46" s="221">
        <f>'50 кГЦ новый для ХК.01'!AL40</f>
        <v>189.97486955653125</v>
      </c>
      <c r="M46" s="251">
        <f>'50 кГЦ новый для ХК.01'!AN40</f>
        <v>18.997486955653088</v>
      </c>
      <c r="N46" s="241">
        <f>'50 кГЦ новый для ХК.01'!AP40</f>
        <v>9.6059002128023518</v>
      </c>
      <c r="O46" s="234"/>
      <c r="P46" s="234"/>
      <c r="Q46" s="234"/>
      <c r="R46" s="153"/>
      <c r="S46" s="217">
        <f>'50 кГЦ новый для ХК.01'!AU40</f>
        <v>37</v>
      </c>
      <c r="T46" s="220">
        <f>'50 кГЦ новый для ХК.01'!AV40</f>
        <v>1022</v>
      </c>
      <c r="U46" s="222">
        <f>'50 кГЦ новый для ХК.01'!BC40</f>
        <v>63193.401710247927</v>
      </c>
      <c r="V46" s="249">
        <f>'50 кГЦ новый для ХК.01'!BE40</f>
        <v>3829.9031339544222</v>
      </c>
      <c r="W46" s="239">
        <f>'50 кГЦ новый для ХК.01'!BG40</f>
        <v>1936.5544198211708</v>
      </c>
      <c r="X46" s="153"/>
    </row>
    <row r="47" spans="3:24">
      <c r="C47" s="217">
        <f>'50 кГЦ новый для ХК.01'!O41</f>
        <v>38</v>
      </c>
      <c r="D47" s="218">
        <f>'50 кГЦ новый для ХК.01'!P41</f>
        <v>14.375</v>
      </c>
      <c r="E47" s="221">
        <f>'50 кГЦ новый для ХК.01'!W41</f>
        <v>15.233593884645856</v>
      </c>
      <c r="F47" s="251">
        <f t="shared" si="0"/>
        <v>15.233593884645856</v>
      </c>
      <c r="G47" s="241">
        <f>'50 кГЦ новый для ХК.01'!Y41</f>
        <v>7.7027231591134226</v>
      </c>
      <c r="H47" s="234"/>
      <c r="I47" s="153"/>
      <c r="J47" s="219">
        <f>'50 кГЦ новый для ХК.01'!AD41</f>
        <v>38</v>
      </c>
      <c r="K47" s="220">
        <f>'50 кГЦ новый для ХК.01'!AE41</f>
        <v>121</v>
      </c>
      <c r="L47" s="221">
        <f>'50 кГЦ новый для ХК.01'!AL41</f>
        <v>197.17756759106075</v>
      </c>
      <c r="M47" s="251">
        <f>'50 кГЦ новый для ХК.01'!AN41</f>
        <v>19.717756759106038</v>
      </c>
      <c r="N47" s="241">
        <f>'50 кГЦ новый для ХК.01'!AP41</f>
        <v>9.9700978498063844</v>
      </c>
      <c r="O47" s="234"/>
      <c r="P47" s="234"/>
      <c r="Q47" s="234"/>
      <c r="R47" s="153"/>
      <c r="S47" s="217">
        <f>'50 кГЦ новый для ХК.01'!AU41</f>
        <v>38</v>
      </c>
      <c r="T47" s="220">
        <f>'50 кГЦ новый для ХК.01'!AV41</f>
        <v>1049</v>
      </c>
      <c r="U47" s="222">
        <f>'50 кГЦ новый для ХК.01'!BC41</f>
        <v>72329.957143614709</v>
      </c>
      <c r="V47" s="249">
        <f>'50 кГЦ новый для ХК.01'!BE41</f>
        <v>4383.6337662796823</v>
      </c>
      <c r="W47" s="239">
        <f>'50 кГЦ новый для ХК.01'!BG41</f>
        <v>2216.5430947077534</v>
      </c>
      <c r="X47" s="153"/>
    </row>
    <row r="48" spans="3:24">
      <c r="C48" s="217">
        <f>'50 кГЦ новый для ХК.01'!O42</f>
        <v>39</v>
      </c>
      <c r="D48" s="218">
        <f>'50 кГЦ новый для ХК.01'!P42</f>
        <v>14.75</v>
      </c>
      <c r="E48" s="221">
        <f>'50 кГЦ новый для ХК.01'!W42</f>
        <v>15.654665373087994</v>
      </c>
      <c r="F48" s="251">
        <f t="shared" si="0"/>
        <v>15.654665373087994</v>
      </c>
      <c r="G48" s="241">
        <f>'50 кГЦ новый для ХК.01'!Y42</f>
        <v>7.9156339883127407</v>
      </c>
      <c r="H48" s="234"/>
      <c r="I48" s="153"/>
      <c r="J48" s="219">
        <f>'50 кГЦ новый для ХК.01'!AD42</f>
        <v>39</v>
      </c>
      <c r="K48" s="220">
        <f>'50 кГЦ новый для ХК.01'!AE42</f>
        <v>124</v>
      </c>
      <c r="L48" s="221">
        <f>'50 кГЦ новый для ХК.01'!AL42</f>
        <v>204.52754547964554</v>
      </c>
      <c r="M48" s="251">
        <f>'50 кГЦ новый для ХК.01'!AN42</f>
        <v>20.452754547964517</v>
      </c>
      <c r="N48" s="241">
        <f>'50 кГЦ новый для ХК.01'!AP42</f>
        <v>10.341742553807808</v>
      </c>
      <c r="O48" s="234"/>
      <c r="P48" s="234"/>
      <c r="Q48" s="234"/>
      <c r="S48" s="217">
        <f>'50 кГЦ новый для ХК.01'!AU42</f>
        <v>39</v>
      </c>
      <c r="T48" s="220">
        <f>'50 кГЦ новый для ХК.01'!AV42</f>
        <v>1076</v>
      </c>
      <c r="U48" s="222">
        <f>'50 кГЦ новый для ХК.01'!BC42</f>
        <v>82732.637954736681</v>
      </c>
      <c r="V48" s="249">
        <f>'50 кГЦ новый для ХК.01'!BE42</f>
        <v>5014.0992699840444</v>
      </c>
      <c r="W48" s="239">
        <f>'50 кГЦ новый для ХК.01'!BG42</f>
        <v>2535.3320340203836</v>
      </c>
      <c r="X48" s="153"/>
    </row>
    <row r="49" spans="3:24">
      <c r="C49" s="217">
        <f>'50 кГЦ новый для ХК.01'!O43</f>
        <v>40</v>
      </c>
      <c r="D49" s="218">
        <f>'50 кГЦ новый для ХК.01'!P43</f>
        <v>15.125</v>
      </c>
      <c r="E49" s="221">
        <f>'50 кГЦ новый для ХК.01'!W43</f>
        <v>16.076977358336098</v>
      </c>
      <c r="F49" s="251">
        <f t="shared" si="0"/>
        <v>16.076977358336098</v>
      </c>
      <c r="G49" s="241">
        <f>'50 кГЦ новый для ХК.01'!Y43</f>
        <v>8.1291720630293334</v>
      </c>
      <c r="H49" s="234"/>
      <c r="I49" s="153"/>
      <c r="J49" s="219">
        <f>'50 кГЦ новый для ХК.01'!AD43</f>
        <v>40</v>
      </c>
      <c r="K49" s="220">
        <f>'50 кГЦ новый для ХК.01'!AE43</f>
        <v>127</v>
      </c>
      <c r="L49" s="221">
        <f>'50 кГЦ новый для ХК.01'!AL43</f>
        <v>212.02732248725309</v>
      </c>
      <c r="M49" s="251">
        <f>'50 кГЦ новый для ХК.01'!AN43</f>
        <v>21.202732248725269</v>
      </c>
      <c r="N49" s="241">
        <f>'50 кГЦ новый для ХК.01'!AP43</f>
        <v>10.720961709065138</v>
      </c>
      <c r="O49" s="234"/>
      <c r="P49" s="234"/>
      <c r="Q49" s="234"/>
      <c r="S49" s="217">
        <f>'50 кГЦ новый для ХК.01'!AU43</f>
        <v>40</v>
      </c>
      <c r="T49" s="220">
        <f>'50 кГЦ новый для ХК.01'!AV43</f>
        <v>1103</v>
      </c>
      <c r="U49" s="222">
        <f>'50 кГЦ новый для ХК.01'!BC43</f>
        <v>94571.873908434849</v>
      </c>
      <c r="V49" s="249">
        <f>'50 кГЦ новый для ХК.01'!BE43</f>
        <v>5731.6287217233275</v>
      </c>
      <c r="W49" s="239">
        <f>'50 кГЦ новый для ХК.01'!BG43</f>
        <v>2898.14403801039</v>
      </c>
      <c r="X49" s="153"/>
    </row>
    <row r="50" spans="3:24">
      <c r="C50" s="217">
        <f>'50 кГЦ новый для ХК.01'!O44</f>
        <v>41</v>
      </c>
      <c r="D50" s="218">
        <f>'50 кГЦ новый для ХК.01'!P44</f>
        <v>15.5</v>
      </c>
      <c r="E50" s="221">
        <f>'50 кГЦ новый для ХК.01'!W44</f>
        <v>16.500532632058277</v>
      </c>
      <c r="F50" s="251">
        <f t="shared" si="0"/>
        <v>16.500532632058277</v>
      </c>
      <c r="G50" s="241">
        <f>'50 кГЦ новый для ХК.01'!Y44</f>
        <v>8.3433387948438664</v>
      </c>
      <c r="H50" s="234"/>
      <c r="I50" s="153"/>
      <c r="J50" s="219">
        <f>'50 кГЦ новый для ХК.01'!AD44</f>
        <v>41</v>
      </c>
      <c r="K50" s="220">
        <f>'50 кГЦ новый для ХК.01'!AE44</f>
        <v>130</v>
      </c>
      <c r="L50" s="221">
        <f>'50 кГЦ новый для ХК.01'!AL44</f>
        <v>219.67945739962019</v>
      </c>
      <c r="M50" s="251">
        <f>'50 кГЦ новый для ХК.01'!AN44</f>
        <v>21.967945739961976</v>
      </c>
      <c r="N50" s="241">
        <f>'50 кГЦ новый для ХК.01'!AP44</f>
        <v>11.107884698167284</v>
      </c>
      <c r="O50" s="234"/>
      <c r="P50" s="234"/>
      <c r="Q50" s="234"/>
      <c r="S50" s="217">
        <f>'50 кГЦ новый для ХК.01'!AU44</f>
        <v>41</v>
      </c>
      <c r="T50" s="220">
        <f>'50 кГЦ новый для ХК.01'!AV44</f>
        <v>1130</v>
      </c>
      <c r="U50" s="222">
        <f>'50 кГЦ новый для ХК.01'!BC44</f>
        <v>108040.55508216226</v>
      </c>
      <c r="V50" s="249">
        <f>'50 кГЦ новый для ХК.01'!BE44</f>
        <v>6547.9124292219594</v>
      </c>
      <c r="W50" s="239">
        <f>'50 кГЦ новый для ХК.01'!BG44</f>
        <v>3310.8902005882196</v>
      </c>
      <c r="X50" s="153"/>
    </row>
    <row r="51" spans="3:24">
      <c r="C51" s="217">
        <f>'50 кГЦ новый для ХК.01'!O45</f>
        <v>42</v>
      </c>
      <c r="D51" s="218">
        <f>'50 кГЦ новый для ХК.01'!P45</f>
        <v>15.875</v>
      </c>
      <c r="E51" s="221">
        <f>'50 кГЦ новый для ХК.01'!W45</f>
        <v>16.925333991533279</v>
      </c>
      <c r="F51" s="251">
        <f t="shared" si="0"/>
        <v>16.925333991533279</v>
      </c>
      <c r="G51" s="241">
        <f>'50 кГЦ новый для ХК.01'!Y45</f>
        <v>8.5581355981739708</v>
      </c>
      <c r="H51" s="234"/>
      <c r="I51" s="153"/>
      <c r="J51" s="219">
        <f>'50 кГЦ новый для ХК.01'!AD45</f>
        <v>42</v>
      </c>
      <c r="K51" s="220">
        <f>'50 кГЦ новый для ХК.01'!AE45</f>
        <v>133</v>
      </c>
      <c r="L51" s="221">
        <f>'50 кГЦ новый для ХК.01'!AL45</f>
        <v>227.48654911224932</v>
      </c>
      <c r="M51" s="251">
        <f>'50 кГЦ новый для ХК.01'!AN45</f>
        <v>22.748654911224889</v>
      </c>
      <c r="N51" s="241">
        <f>'50 кГЦ новый для ХК.01'!AP45</f>
        <v>11.502642931815622</v>
      </c>
      <c r="O51" s="234"/>
      <c r="P51" s="234"/>
      <c r="Q51" s="234"/>
      <c r="S51" s="217">
        <f>'50 кГЦ новый для ХК.01'!AU45</f>
        <v>42</v>
      </c>
      <c r="T51" s="220">
        <f>'50 кГЦ новый для ХК.01'!AV45</f>
        <v>1157</v>
      </c>
      <c r="U51" s="222">
        <f>'50 кГЦ новый для ХК.01'!BC45</f>
        <v>123356.94449245396</v>
      </c>
      <c r="V51" s="249">
        <f>'50 кГЦ новый для ХК.01'!BE45</f>
        <v>7476.1784540881226</v>
      </c>
      <c r="W51" s="239">
        <f>'50 кГЦ новый для ХК.01'!BG45</f>
        <v>3780.2591664211291</v>
      </c>
      <c r="X51" s="153"/>
    </row>
    <row r="52" spans="3:24">
      <c r="C52" s="217">
        <f>'50 кГЦ новый для ХК.01'!O46</f>
        <v>43</v>
      </c>
      <c r="D52" s="218">
        <f>'50 кГЦ новый для ХК.01'!P46</f>
        <v>16.25</v>
      </c>
      <c r="E52" s="221">
        <f>'50 кГЦ новый для ХК.01'!W46</f>
        <v>17.351384239661094</v>
      </c>
      <c r="F52" s="251">
        <f t="shared" si="0"/>
        <v>17.351384239661094</v>
      </c>
      <c r="G52" s="241">
        <f>'50 кГЦ новый для ХК.01'!Y46</f>
        <v>8.7735638902796076</v>
      </c>
      <c r="H52" s="234"/>
      <c r="I52" s="153"/>
      <c r="J52" s="219">
        <f>'50 кГЦ новый для ХК.01'!AD46</f>
        <v>43</v>
      </c>
      <c r="K52" s="220">
        <f>'50 кГЦ новый для ХК.01'!AE46</f>
        <v>136</v>
      </c>
      <c r="L52" s="221">
        <f>'50 кГЦ новый для ХК.01'!AL46</f>
        <v>235.45123722789197</v>
      </c>
      <c r="M52" s="251">
        <f>'50 кГЦ новый для ХК.01'!AN46</f>
        <v>23.545123722789153</v>
      </c>
      <c r="N52" s="241">
        <f>'50 кГЦ новый для ХК.01'!AP46</f>
        <v>11.905369879035275</v>
      </c>
      <c r="O52" s="234"/>
      <c r="P52" s="234"/>
      <c r="Q52" s="234"/>
      <c r="S52" s="217">
        <f>'50 кГЦ новый для ХК.01'!AU46</f>
        <v>43</v>
      </c>
      <c r="T52" s="220">
        <f>'50 кГЦ новый для ХК.01'!AV46</f>
        <v>1184</v>
      </c>
      <c r="U52" s="222">
        <f>'50 кГЦ новый для ХК.01'!BC46</f>
        <v>140767.96366709642</v>
      </c>
      <c r="V52" s="249">
        <f>'50 кГЦ новый для ХК.01'!BE46</f>
        <v>8531.3917373997883</v>
      </c>
      <c r="W52" s="239">
        <f>'50 кГЦ новый для ХК.01'!BG46</f>
        <v>4313.8178169087914</v>
      </c>
      <c r="X52" s="153"/>
    </row>
    <row r="53" spans="3:24">
      <c r="C53" s="217">
        <f>'50 кГЦ новый для ХК.01'!O47</f>
        <v>44</v>
      </c>
      <c r="D53" s="218">
        <f>'50 кГЦ новый для ХК.01'!P47</f>
        <v>16.625</v>
      </c>
      <c r="E53" s="221">
        <f>'50 кГЦ новый для ХК.01'!W47</f>
        <v>17.778686184973562</v>
      </c>
      <c r="F53" s="251">
        <f t="shared" si="0"/>
        <v>17.778686184973562</v>
      </c>
      <c r="G53" s="241">
        <f>'50 кГЦ новый для ХК.01'!Y47</f>
        <v>8.9896250912684312</v>
      </c>
      <c r="H53" s="234"/>
      <c r="I53" s="153"/>
      <c r="J53" s="219">
        <f>'50 кГЦ новый для ХК.01'!AD47</f>
        <v>44</v>
      </c>
      <c r="K53" s="220">
        <f>'50 кГЦ новый для ХК.01'!AE47</f>
        <v>139</v>
      </c>
      <c r="L53" s="221">
        <f>'50 кГЦ новый для ХК.01'!AL47</f>
        <v>243.57620266263348</v>
      </c>
      <c r="M53" s="251">
        <f>'50 кГЦ новый для ХК.01'!AN47</f>
        <v>24.3576202662633</v>
      </c>
      <c r="N53" s="241">
        <f>'50 кГЦ новый для ХК.01'!AP47</f>
        <v>12.316201097821132</v>
      </c>
      <c r="O53" s="234"/>
      <c r="P53" s="234"/>
      <c r="Q53" s="234"/>
      <c r="S53" s="217">
        <f>'50 кГЦ новый для ХК.01'!AU47</f>
        <v>44</v>
      </c>
      <c r="T53" s="220">
        <f>'50 кГЦ новый для ХК.01'!AV47</f>
        <v>1211</v>
      </c>
      <c r="U53" s="222">
        <f>'50 кГЦ новый для ХК.01'!BC47</f>
        <v>160552.89843017093</v>
      </c>
      <c r="V53" s="249">
        <f>'50 кГЦ новый для ХК.01'!BE47</f>
        <v>9730.4786927376372</v>
      </c>
      <c r="W53" s="239">
        <f>'50 кГЦ новый для ХК.01'!BG47</f>
        <v>4920.1248335334749</v>
      </c>
      <c r="X53" s="153"/>
    </row>
    <row r="54" spans="3:24">
      <c r="C54" s="217">
        <f>'50 кГЦ новый для ХК.01'!O48</f>
        <v>45</v>
      </c>
      <c r="D54" s="218">
        <f>'50 кГЦ новый для ХК.01'!P48</f>
        <v>17</v>
      </c>
      <c r="E54" s="221">
        <f>'50 кГЦ новый для ХК.01'!W48</f>
        <v>18.207242641645031</v>
      </c>
      <c r="F54" s="251">
        <f t="shared" si="0"/>
        <v>18.207242641645031</v>
      </c>
      <c r="G54" s="241">
        <f>'50 кГЦ новый для ХК.01'!Y48</f>
        <v>9.2063206241011724</v>
      </c>
      <c r="H54" s="234"/>
      <c r="I54" s="153"/>
      <c r="J54" s="219">
        <f>'50 кГЦ новый для ХК.01'!AD48</f>
        <v>45</v>
      </c>
      <c r="K54" s="220">
        <f>'50 кГЦ новый для ХК.01'!AE48</f>
        <v>142</v>
      </c>
      <c r="L54" s="221">
        <f>'50 кГЦ новый для ХК.01'!AL48</f>
        <v>251.86416826070439</v>
      </c>
      <c r="M54" s="251">
        <f>'50 кГЦ новый для ХК.01'!AN48</f>
        <v>25.186416826070392</v>
      </c>
      <c r="N54" s="241">
        <f>'50 кГЦ новый для ХК.01'!AP48</f>
        <v>12.735274266225215</v>
      </c>
      <c r="O54" s="234"/>
      <c r="P54" s="234"/>
      <c r="Q54" s="234"/>
      <c r="S54" s="217">
        <f>'50 кГЦ новый для ХК.01'!AU48</f>
        <v>45</v>
      </c>
      <c r="T54" s="220">
        <f>'50 кГЦ новый для ХК.01'!AV48</f>
        <v>1238</v>
      </c>
      <c r="U54" s="222">
        <f>'50 кГЦ новый для ХК.01'!BC48</f>
        <v>183027.57810742318</v>
      </c>
      <c r="V54" s="249">
        <f>'50 кГЦ новый для ХК.01'!BE48</f>
        <v>11092.580491358987</v>
      </c>
      <c r="W54" s="239">
        <f>'50 кГЦ новый для ХК.01'!BG48</f>
        <v>5608.8587691207804</v>
      </c>
      <c r="X54" s="153"/>
    </row>
    <row r="55" spans="3:24">
      <c r="C55" s="217">
        <f>'50 кГЦ новый для ХК.01'!O49</f>
        <v>46</v>
      </c>
      <c r="D55" s="218">
        <f>'50 кГЦ новый для ХК.01'!P49</f>
        <v>17.375</v>
      </c>
      <c r="E55" s="221">
        <f>'50 кГЦ новый для ХК.01'!W49</f>
        <v>18.637056429502938</v>
      </c>
      <c r="F55" s="251">
        <f t="shared" si="0"/>
        <v>18.637056429502938</v>
      </c>
      <c r="G55" s="241">
        <f>'50 кГЦ новый для ХК.01'!Y49</f>
        <v>9.423651914596995</v>
      </c>
      <c r="H55" s="234"/>
      <c r="I55" s="153"/>
      <c r="J55" s="219">
        <f>'50 кГЦ новый для ХК.01'!AD49</f>
        <v>46</v>
      </c>
      <c r="K55" s="220">
        <f>'50 кГЦ новый для ХК.01'!AE49</f>
        <v>145</v>
      </c>
      <c r="L55" s="221">
        <f>'50 кГЦ новый для ХК.01'!AL49</f>
        <v>260.31789941814083</v>
      </c>
      <c r="M55" s="251">
        <f>'50 кГЦ новый для ХК.01'!AN49</f>
        <v>26.031789941814033</v>
      </c>
      <c r="N55" s="241">
        <f>'50 кГЦ новый для ХК.01'!AP49</f>
        <v>13.162729213891478</v>
      </c>
      <c r="O55" s="234"/>
      <c r="P55" s="234"/>
      <c r="Q55" s="234"/>
      <c r="S55" s="217">
        <f>'50 кГЦ новый для ХК.01'!AU49</f>
        <v>46</v>
      </c>
      <c r="T55" s="220">
        <f>'50 кГЦ новый для ХК.01'!AV49</f>
        <v>1265</v>
      </c>
      <c r="U55" s="222">
        <f>'50 кГЦ новый для ХК.01'!BC49</f>
        <v>208549.08804098412</v>
      </c>
      <c r="V55" s="249">
        <f>'50 кГЦ новый для ХК.01'!BE49</f>
        <v>12639.33866915056</v>
      </c>
      <c r="W55" s="239">
        <f>'50 кГЦ новый для ХК.01'!BG49</f>
        <v>6390.962462303225</v>
      </c>
      <c r="X55" s="153"/>
    </row>
    <row r="56" spans="3:24">
      <c r="C56" s="217">
        <f>'50 кГЦ новый для ХК.01'!O50</f>
        <v>47</v>
      </c>
      <c r="D56" s="218">
        <f>'50 кГЦ новый для ХК.01'!P50</f>
        <v>17.75</v>
      </c>
      <c r="E56" s="221">
        <f>'50 кГЦ новый для ХК.01'!W50</f>
        <v>19.068130374038574</v>
      </c>
      <c r="F56" s="251">
        <f t="shared" si="0"/>
        <v>19.068130374038574</v>
      </c>
      <c r="G56" s="241">
        <f>'50 кГЦ новый для ХК.01'!Y50</f>
        <v>9.6416203914389396</v>
      </c>
      <c r="H56" s="234"/>
      <c r="I56" s="153"/>
      <c r="J56" s="219">
        <f>'50 кГЦ новый для ХК.01'!AD50</f>
        <v>47</v>
      </c>
      <c r="K56" s="220">
        <f>'50 кГЦ новый для ХК.01'!AE50</f>
        <v>148</v>
      </c>
      <c r="L56" s="221">
        <f>'50 кГЦ новый для ХК.01'!AL50</f>
        <v>268.94020471541563</v>
      </c>
      <c r="M56" s="251">
        <f>'50 кГЦ новый для ХК.01'!AN50</f>
        <v>26.894020471541513</v>
      </c>
      <c r="N56" s="241">
        <f>'50 кГЦ новый для ХК.01'!AP50</f>
        <v>13.598707954044235</v>
      </c>
      <c r="O56" s="234"/>
      <c r="P56" s="234"/>
      <c r="Q56" s="234"/>
      <c r="S56" s="217">
        <f>'50 кГЦ новый для ХК.01'!AU50</f>
        <v>47</v>
      </c>
      <c r="T56" s="220">
        <f>'50 кГЦ новый для ХК.01'!AV50</f>
        <v>1292</v>
      </c>
      <c r="U56" s="222">
        <f>'50 кГЦ новый для ХК.01'!BC50</f>
        <v>237521.08281725191</v>
      </c>
      <c r="V56" s="249">
        <f>'50 кГЦ новый для ХК.01'!BE50</f>
        <v>14395.217140439518</v>
      </c>
      <c r="W56" s="239">
        <f>'50 кГЦ новый для ХК.01'!BG50</f>
        <v>7278.8058607686635</v>
      </c>
      <c r="X56" s="153"/>
    </row>
    <row r="57" spans="3:24">
      <c r="C57" s="217">
        <f>'50 кГЦ новый для ХК.01'!O51</f>
        <v>48</v>
      </c>
      <c r="D57" s="218">
        <f>'50 кГЦ новый для ХК.01'!P51</f>
        <v>18.125</v>
      </c>
      <c r="E57" s="221">
        <f>'50 кГЦ новый для ХК.01'!W51</f>
        <v>19.500467306417661</v>
      </c>
      <c r="F57" s="251">
        <f t="shared" si="0"/>
        <v>19.500467306417661</v>
      </c>
      <c r="G57" s="241">
        <f>'50 кГЦ новый для ХК.01'!Y51</f>
        <v>9.8602274861792658</v>
      </c>
      <c r="H57" s="234"/>
      <c r="I57" s="153"/>
      <c r="J57" s="219">
        <f>'50 кГЦ новый для ХК.01'!AD51</f>
        <v>48</v>
      </c>
      <c r="K57" s="220">
        <f>'50 кГЦ новый для ХК.01'!AE51</f>
        <v>151</v>
      </c>
      <c r="L57" s="221">
        <f>'50 кГЦ новый для ХК.01'!AL51</f>
        <v>277.73393655916834</v>
      </c>
      <c r="M57" s="251">
        <f>'50 кГЦ новый для ХК.01'!AN51</f>
        <v>27.773393655916781</v>
      </c>
      <c r="N57" s="241">
        <f>'50 кГЦ новый для ХК.01'!AP51</f>
        <v>14.043354715936573</v>
      </c>
      <c r="O57" s="234"/>
      <c r="P57" s="234"/>
      <c r="Q57" s="234"/>
      <c r="S57" s="217">
        <f>'50 кГЦ новый для ХК.01'!AU51</f>
        <v>48</v>
      </c>
      <c r="T57" s="220">
        <f>'50 кГЦ новый для ХК.01'!AV51</f>
        <v>1319</v>
      </c>
      <c r="U57" s="222">
        <f>'50 кГЦ новый для ХК.01'!BC51</f>
        <v>270399.77606309566</v>
      </c>
      <c r="V57" s="249">
        <f>'50 кГЦ новый для ХК.01'!BE51</f>
        <v>16387.865215945203</v>
      </c>
      <c r="W57" s="239">
        <f>'50 кГЦ новый для ХК.01'!BG51</f>
        <v>8286.3695778656966</v>
      </c>
      <c r="X57" s="153"/>
    </row>
    <row r="58" spans="3:24">
      <c r="C58" s="217">
        <f>'50 кГЦ новый для ХК.01'!O52</f>
        <v>49</v>
      </c>
      <c r="D58" s="218">
        <f>'50 кГЦ новый для ХК.01'!P52</f>
        <v>18.5</v>
      </c>
      <c r="E58" s="221">
        <f>'50 кГЦ новый для ХК.01'!W52</f>
        <v>19.93407006349117</v>
      </c>
      <c r="F58" s="251">
        <f t="shared" si="0"/>
        <v>19.93407006349117</v>
      </c>
      <c r="G58" s="241">
        <f>'50 кГЦ новый для ХК.01'!Y52</f>
        <v>10.07947463324493</v>
      </c>
      <c r="H58" s="234"/>
      <c r="I58" s="153"/>
      <c r="J58" s="219">
        <f>'50 кГЦ новый для ХК.01'!AD52</f>
        <v>49</v>
      </c>
      <c r="K58" s="220">
        <f>'50 кГЦ новый для ХК.01'!AE52</f>
        <v>154</v>
      </c>
      <c r="L58" s="221">
        <f>'50 кГЦ новый для ХК.01'!AL52</f>
        <v>286.70199183316248</v>
      </c>
      <c r="M58" s="251">
        <f>'50 кГЦ новый для ХК.01'!AN52</f>
        <v>28.670199183316193</v>
      </c>
      <c r="N58" s="241">
        <f>'50 кГЦ новый для ХК.01'!AP52</f>
        <v>14.496815977765477</v>
      </c>
      <c r="O58" s="234"/>
      <c r="P58" s="234"/>
      <c r="Q58" s="234"/>
      <c r="S58" s="217">
        <f>'50 кГЦ новый для ХК.01'!AU52</f>
        <v>49</v>
      </c>
      <c r="T58" s="220">
        <f>'50 кГЦ новый для ХК.01'!AV52</f>
        <v>1346</v>
      </c>
      <c r="U58" s="222">
        <f>'50 кГЦ новый для ХК.01'!BC52</f>
        <v>307700.69216938538</v>
      </c>
      <c r="V58" s="249">
        <f>'50 кГЦ новый для ХК.01'!BE52</f>
        <v>18648.52679814458</v>
      </c>
      <c r="W58" s="239">
        <f>'50 кГЦ новый для ХК.01'!BG52</f>
        <v>9429.4517983833175</v>
      </c>
      <c r="X58" s="153"/>
    </row>
    <row r="59" spans="3:24">
      <c r="C59" s="217">
        <f>'50 кГЦ новый для ХК.01'!O53</f>
        <v>50</v>
      </c>
      <c r="D59" s="218">
        <f>'50 кГЦ новый для ХК.01'!P53</f>
        <v>18.875</v>
      </c>
      <c r="E59" s="221">
        <f>'50 кГЦ новый для ХК.01'!W53</f>
        <v>20.368941487805987</v>
      </c>
      <c r="F59" s="251">
        <f t="shared" si="0"/>
        <v>20.368941487805987</v>
      </c>
      <c r="G59" s="241">
        <f>'50 кГЦ новый для ХК.01'!Y53</f>
        <v>10.299363269942971</v>
      </c>
      <c r="H59" s="234"/>
      <c r="I59" s="153"/>
      <c r="J59" s="219">
        <f>'50 кГЦ новый для ХК.01'!AD53</f>
        <v>50</v>
      </c>
      <c r="K59" s="220">
        <f>'50 кГЦ новый для ХК.01'!AE53</f>
        <v>157</v>
      </c>
      <c r="L59" s="221">
        <f>'50 кГЦ новый для ХК.01'!AL53</f>
        <v>295.8473125585956</v>
      </c>
      <c r="M59" s="251">
        <f>'50 кГЦ новый для ХК.01'!AN53</f>
        <v>29.584731255859506</v>
      </c>
      <c r="N59" s="241">
        <f>'50 кГЦ новый для ХК.01'!AP53</f>
        <v>14.959240500059721</v>
      </c>
      <c r="O59" s="234"/>
      <c r="P59" s="234"/>
      <c r="Q59" s="234"/>
      <c r="S59" s="217">
        <f>'50 кГЦ новый для ХК.01'!AU53</f>
        <v>50</v>
      </c>
      <c r="T59" s="220">
        <f>'50 кГЦ новый для ХК.01'!AV53</f>
        <v>1373</v>
      </c>
      <c r="U59" s="222">
        <f>'50 кГЦ новый для ХК.01'!BC53</f>
        <v>350006.275987642</v>
      </c>
      <c r="V59" s="249">
        <f>'50 кГЦ новый для ХК.01'!BE53</f>
        <v>21212.50157500862</v>
      </c>
      <c r="W59" s="239">
        <f>'50 кГЦ новый для ХК.01'!BG53</f>
        <v>10725.901476816696</v>
      </c>
      <c r="X59" s="153"/>
    </row>
    <row r="60" spans="3:24">
      <c r="C60" s="217">
        <f>'50 кГЦ новый для ХК.01'!O54</f>
        <v>51</v>
      </c>
      <c r="D60" s="218">
        <f>'50 кГЦ новый для ХК.01'!P54</f>
        <v>19.25</v>
      </c>
      <c r="E60" s="221">
        <f>'50 кГЦ новый для ХК.01'!W54</f>
        <v>20.805084427615625</v>
      </c>
      <c r="F60" s="251">
        <f t="shared" si="0"/>
        <v>20.805084427615625</v>
      </c>
      <c r="G60" s="241">
        <f>'50 кГЦ новый для ХК.01'!Y54</f>
        <v>10.51989483646593</v>
      </c>
      <c r="H60" s="234"/>
      <c r="I60" s="153"/>
      <c r="J60" s="219">
        <f>'50 кГЦ новый для ХК.01'!AD54</f>
        <v>51</v>
      </c>
      <c r="K60" s="220">
        <f>'50 кГЦ новый для ХК.01'!AE54</f>
        <v>160</v>
      </c>
      <c r="L60" s="221">
        <f>'50 кГЦ новый для ХК.01'!AL54</f>
        <v>305.17288656390213</v>
      </c>
      <c r="M60" s="251">
        <f>'50 кГЦ новый для ХК.01'!AN54</f>
        <v>30.517288656390154</v>
      </c>
      <c r="N60" s="241">
        <f>'50 кГЦ новый для ХК.01'!AP54</f>
        <v>15.430779359547707</v>
      </c>
      <c r="O60" s="234"/>
      <c r="P60" s="234"/>
      <c r="Q60" s="234"/>
      <c r="S60" s="217">
        <f>'50 кГЦ новый для ХК.01'!AU54</f>
        <v>51</v>
      </c>
      <c r="T60" s="220">
        <f>'50 кГЦ новый для ХК.01'!AV54</f>
        <v>1400</v>
      </c>
      <c r="U60" s="222">
        <f>'50 кГЦ новый для ХК.01'!BC54</f>
        <v>397974.46856167947</v>
      </c>
      <c r="V60" s="249">
        <f>'50 кГЦ новый для ХК.01'!BE54</f>
        <v>24119.664761313921</v>
      </c>
      <c r="W60" s="239">
        <f>'50 кГЦ новый для ХК.01'!BG54</f>
        <v>12195.881139662099</v>
      </c>
      <c r="X60" s="153"/>
    </row>
    <row r="61" spans="3:24">
      <c r="C61" s="217">
        <f>'50 кГЦ новый для ХК.01'!O55</f>
        <v>52</v>
      </c>
      <c r="D61" s="218">
        <f>'50 кГЦ новый для ХК.01'!P55</f>
        <v>19.625</v>
      </c>
      <c r="E61" s="221">
        <f>'50 кГЦ новый для ХК.01'!W55</f>
        <v>21.242501736891054</v>
      </c>
      <c r="F61" s="251">
        <f t="shared" si="0"/>
        <v>21.242501736891054</v>
      </c>
      <c r="G61" s="241">
        <f>'50 кГЦ новый для ХК.01'!Y55</f>
        <v>10.741070775897326</v>
      </c>
      <c r="H61" s="234"/>
      <c r="I61" s="153"/>
      <c r="J61" s="219">
        <f>'50 кГЦ новый для ХК.01'!AD55</f>
        <v>52</v>
      </c>
      <c r="K61" s="220">
        <f>'50 кГЦ новый для ХК.01'!AE55</f>
        <v>163</v>
      </c>
      <c r="L61" s="221">
        <f>'50 кГЦ новый для ХК.01'!AL55</f>
        <v>314.68174816416683</v>
      </c>
      <c r="M61" s="251">
        <f>'50 кГЦ новый для ХК.01'!AN55</f>
        <v>31.468174816416624</v>
      </c>
      <c r="N61" s="241">
        <f>'50 кГЦ новый для ХК.01'!AP55</f>
        <v>15.911585983511779</v>
      </c>
      <c r="O61" s="234"/>
      <c r="P61" s="234"/>
      <c r="Q61" s="234"/>
      <c r="S61" s="217">
        <f>'50 кГЦ новый для ХК.01'!AU55</f>
        <v>52</v>
      </c>
      <c r="T61" s="220">
        <f>'50 кГЦ новый для ХК.01'!AV55</f>
        <v>1427</v>
      </c>
      <c r="U61" s="222">
        <f>'50 кГЦ новый для ХК.01'!BC55</f>
        <v>452348.37046585954</v>
      </c>
      <c r="V61" s="249">
        <f>'50 кГЦ новый для ХК.01'!BE55</f>
        <v>27415.052755506655</v>
      </c>
      <c r="W61" s="239">
        <f>'50 кГЦ новый для ХК.01'!BG55</f>
        <v>13862.163017290288</v>
      </c>
      <c r="X61" s="153"/>
    </row>
    <row r="62" spans="3:24">
      <c r="C62" s="217">
        <f>'50 кГЦ новый для ХК.01'!O56</f>
        <v>53</v>
      </c>
      <c r="D62" s="218">
        <f>'50 кГЦ новый для ХК.01'!P56</f>
        <v>20</v>
      </c>
      <c r="E62" s="221">
        <f>'50 кГЦ новый для ХК.01'!W56</f>
        <v>21.681196275331491</v>
      </c>
      <c r="F62" s="251">
        <f t="shared" si="0"/>
        <v>21.681196275331491</v>
      </c>
      <c r="G62" s="241">
        <f>'50 кГЦ новый для ХК.01'!Y56</f>
        <v>10.962892534217115</v>
      </c>
      <c r="H62" s="234"/>
      <c r="I62" s="153"/>
      <c r="J62" s="219">
        <f>'50 кГЦ новый для ХК.01'!AD56</f>
        <v>53</v>
      </c>
      <c r="K62" s="220">
        <f>'50 кГЦ новый для ХК.01'!AE56</f>
        <v>166</v>
      </c>
      <c r="L62" s="221">
        <f>'50 кГЦ новый для ХК.01'!AL56</f>
        <v>324.37697885030479</v>
      </c>
      <c r="M62" s="251">
        <f>'50 кГЦ новый для ХК.01'!AN56</f>
        <v>32.437697885030417</v>
      </c>
      <c r="N62" s="241">
        <f>'50 кГЦ новый для ХК.01'!AP56</f>
        <v>16.401816184635493</v>
      </c>
      <c r="O62" s="234"/>
      <c r="P62" s="234"/>
      <c r="Q62" s="234"/>
      <c r="S62" s="217">
        <f>'50 кГЦ новый для ХК.01'!AU56</f>
        <v>53</v>
      </c>
      <c r="T62" s="220">
        <f>'50 кГЦ новый для ХК.01'!AV56</f>
        <v>1454</v>
      </c>
      <c r="U62" s="222">
        <f>'50 кГЦ новый для ХК.01'!BC56</f>
        <v>513967.12950981501</v>
      </c>
      <c r="V62" s="249">
        <f>'50 кГЦ новый для ХК.01'!BE56</f>
        <v>31149.523000594869</v>
      </c>
      <c r="W62" s="239">
        <f>'50 кГЦ новый для ХК.01'!BG56</f>
        <v>15750.462696386583</v>
      </c>
      <c r="X62" s="153"/>
    </row>
    <row r="63" spans="3:24">
      <c r="C63" s="217">
        <f>'50 кГЦ новый для ХК.01'!O57</f>
        <v>54</v>
      </c>
      <c r="D63" s="218">
        <f>'50 кГЦ новый для ХК.01'!P57</f>
        <v>20.375</v>
      </c>
      <c r="E63" s="221">
        <f>'50 кГЦ новый для ХК.01'!W57</f>
        <v>22.121170908375142</v>
      </c>
      <c r="F63" s="251">
        <f t="shared" si="0"/>
        <v>22.121170908375142</v>
      </c>
      <c r="G63" s="241">
        <f>'50 кГЦ новый для ХК.01'!Y57</f>
        <v>11.185361560307115</v>
      </c>
      <c r="H63" s="234"/>
      <c r="I63" s="153"/>
      <c r="J63" s="219">
        <f>'50 кГЦ новый для ХК.01'!AD57</f>
        <v>54</v>
      </c>
      <c r="K63" s="220">
        <f>'50 кГЦ новый для ХК.01'!AE57</f>
        <v>169</v>
      </c>
      <c r="L63" s="221">
        <f>'50 кГЦ новый для ХК.01'!AL57</f>
        <v>334.26170798812586</v>
      </c>
      <c r="M63" s="251">
        <f>'50 кГЦ новый для ХК.01'!AN57</f>
        <v>33.426170798812521</v>
      </c>
      <c r="N63" s="241">
        <f>'50 кГЦ новый для ХК.01'!AP57</f>
        <v>16.901628196351222</v>
      </c>
      <c r="O63" s="234"/>
      <c r="P63" s="234"/>
      <c r="Q63" s="234"/>
      <c r="S63" s="217">
        <f>'50 кГЦ новый для ХК.01'!AU57</f>
        <v>54</v>
      </c>
      <c r="T63" s="220">
        <f>'50 кГЦ новый для ХК.01'!AV57</f>
        <v>1481</v>
      </c>
      <c r="U63" s="222">
        <f>'50 кГЦ новый для ХК.01'!BC57</f>
        <v>583778.20664341643</v>
      </c>
      <c r="V63" s="249">
        <f>'50 кГЦ новый для ХК.01'!BE57</f>
        <v>35380.497372328289</v>
      </c>
      <c r="W63" s="239">
        <f>'50 кГЦ новый для ХК.01'!BG57</f>
        <v>17889.815007177454</v>
      </c>
      <c r="X63" s="153"/>
    </row>
    <row r="64" spans="3:24">
      <c r="C64" s="217">
        <f>'50 кГЦ новый для ХК.01'!O58</f>
        <v>55</v>
      </c>
      <c r="D64" s="218">
        <f>'50 кГЦ новый для ХК.01'!P58</f>
        <v>20.75</v>
      </c>
      <c r="E64" s="221">
        <f>'50 кГЦ новый для ХК.01'!W58</f>
        <v>22.562428507210083</v>
      </c>
      <c r="F64" s="251">
        <f t="shared" si="0"/>
        <v>22.562428507210083</v>
      </c>
      <c r="G64" s="241">
        <f>'50 кГЦ новый для ХК.01'!Y58</f>
        <v>11.408479305956517</v>
      </c>
      <c r="H64" s="234"/>
      <c r="I64" s="153"/>
      <c r="J64" s="219">
        <f>'50 кГЦ новый для ХК.01'!AD58</f>
        <v>55</v>
      </c>
      <c r="K64" s="220">
        <f>'50 кГЦ новый для ХК.01'!AE58</f>
        <v>172</v>
      </c>
      <c r="L64" s="221">
        <f>'50 кГЦ новый для ХК.01'!AL58</f>
        <v>344.33911352743013</v>
      </c>
      <c r="M64" s="251">
        <f>'50 кГЦ новый для ХК.01'!AN58</f>
        <v>34.433911352742946</v>
      </c>
      <c r="N64" s="241">
        <f>'50 кГЦ новый для ХК.01'!AP58</f>
        <v>17.411182708695264</v>
      </c>
      <c r="O64" s="234"/>
      <c r="P64" s="234"/>
      <c r="Q64" s="234"/>
      <c r="S64" s="217">
        <f>'50 кГЦ новый для ХК.01'!AU58</f>
        <v>55</v>
      </c>
      <c r="T64" s="220">
        <f>'50 кГЦ новый для ХК.01'!AV58</f>
        <v>1508</v>
      </c>
      <c r="U64" s="222">
        <f>'50 кГЦ новый для ХК.01'!BC58</f>
        <v>662851.19308844081</v>
      </c>
      <c r="V64" s="249">
        <f>'50 кГЦ новый для ХК.01'!BE58</f>
        <v>40172.799581117652</v>
      </c>
      <c r="W64" s="239">
        <f>'50 кГЦ новый для ХК.01'!BG58</f>
        <v>20312.997447817248</v>
      </c>
    </row>
    <row r="65" spans="3:23">
      <c r="C65" s="217">
        <f>'50 кГЦ новый для ХК.01'!O59</f>
        <v>56</v>
      </c>
      <c r="D65" s="218">
        <f>'50 кГЦ новый для ХК.01'!P59</f>
        <v>21.125</v>
      </c>
      <c r="E65" s="221">
        <f>'50 кГЦ новый для ХК.01'!W59</f>
        <v>23.004971948785073</v>
      </c>
      <c r="F65" s="251">
        <f t="shared" si="0"/>
        <v>23.004971948785073</v>
      </c>
      <c r="G65" s="241">
        <f>'50 кГЦ новый для ХК.01'!Y59</f>
        <v>11.632247225867339</v>
      </c>
      <c r="H65" s="234"/>
      <c r="I65" s="153"/>
      <c r="J65" s="219">
        <f>'50 кГЦ новый для ХК.01'!AD59</f>
        <v>56</v>
      </c>
      <c r="K65" s="220">
        <f>'50 кГЦ новый для ХК.01'!AE59</f>
        <v>175</v>
      </c>
      <c r="L65" s="221">
        <f>'50 кГЦ новый для ХК.01'!AL59</f>
        <v>354.61242272127885</v>
      </c>
      <c r="M65" s="251">
        <f>'50 кГЦ новый для ХК.01'!AN59</f>
        <v>35.461242272127819</v>
      </c>
      <c r="N65" s="241">
        <f>'50 кГЦ новый для ХК.01'!AP59</f>
        <v>17.93064290467666</v>
      </c>
      <c r="O65" s="234"/>
      <c r="P65" s="234"/>
      <c r="Q65" s="234"/>
      <c r="S65" s="217">
        <f>'50 кГЦ новый для ХК.01'!AU59</f>
        <v>56</v>
      </c>
      <c r="T65" s="220">
        <f>'50 кГЦ новый для ХК.01'!AV59</f>
        <v>1535</v>
      </c>
      <c r="U65" s="222">
        <f>'50 кГЦ новый для ХК.01'!BC59</f>
        <v>752393.37329627085</v>
      </c>
      <c r="V65" s="249">
        <f>'50 кГЦ новый для ХК.01'!BE59</f>
        <v>45599.598381592201</v>
      </c>
      <c r="W65" s="239">
        <f>'50 кГЦ новый для ХК.01'!BG59</f>
        <v>23057.007109411061</v>
      </c>
    </row>
    <row r="66" spans="3:23">
      <c r="C66" s="217">
        <f>'50 кГЦ новый для ХК.01'!O60</f>
        <v>57</v>
      </c>
      <c r="D66" s="218">
        <f>'50 кГЦ новый для ХК.01'!P60</f>
        <v>21.5</v>
      </c>
      <c r="E66" s="221">
        <f>'50 кГЦ новый для ХК.01'!W60</f>
        <v>23.44880411582044</v>
      </c>
      <c r="F66" s="251">
        <f t="shared" si="0"/>
        <v>23.44880411582044</v>
      </c>
      <c r="G66" s="241">
        <f>'50 кГЦ новый для ХК.01'!Y60</f>
        <v>11.856666777659946</v>
      </c>
      <c r="H66" s="234"/>
      <c r="I66" s="153"/>
      <c r="J66" s="219">
        <f>'50 кГЦ новый для ХК.01'!AD60</f>
        <v>57</v>
      </c>
      <c r="K66" s="220">
        <f>'50 кГЦ новый для ХК.01'!AE60</f>
        <v>178</v>
      </c>
      <c r="L66" s="221">
        <f>'50 кГЦ новый для ХК.01'!AL60</f>
        <v>365.08491285557596</v>
      </c>
      <c r="M66" s="251">
        <f>'50 кГЦ новый для ХК.01'!AN60</f>
        <v>36.508491285557525</v>
      </c>
      <c r="N66" s="241">
        <f>'50 кГЦ новый для ХК.01'!AP60</f>
        <v>18.460174497168037</v>
      </c>
      <c r="O66" s="234"/>
      <c r="P66" s="234"/>
      <c r="Q66" s="234"/>
      <c r="S66" s="217">
        <f>'50 кГЦ новый для ХК.01'!AU60</f>
        <v>57</v>
      </c>
      <c r="T66" s="220">
        <f>'50 кГЦ новый для ХК.01'!AV60</f>
        <v>1562</v>
      </c>
      <c r="U66" s="222">
        <f>'50 кГЦ новый для ХК.01'!BC60</f>
        <v>853767.25257770333</v>
      </c>
      <c r="V66" s="249">
        <f>'50 кГЦ новый для ХК.01'!BE60</f>
        <v>51743.469853194176</v>
      </c>
      <c r="W66" s="239">
        <f>'50 кГЦ новый для ХК.01'!BG60</f>
        <v>26163.597808183928</v>
      </c>
    </row>
    <row r="67" spans="3:23">
      <c r="C67" s="217">
        <f>'50 кГЦ новый для ХК.01'!O61</f>
        <v>58</v>
      </c>
      <c r="D67" s="218">
        <f>'50 кГЦ новый для ХК.01'!P61</f>
        <v>21.875</v>
      </c>
      <c r="E67" s="221">
        <f>'50 кГЦ новый для ХК.01'!W61</f>
        <v>23.893927896818894</v>
      </c>
      <c r="F67" s="251">
        <f t="shared" si="0"/>
        <v>23.893927896818894</v>
      </c>
      <c r="G67" s="241">
        <f>'50 кГЦ новый для ХК.01'!Y61</f>
        <v>12.081739421878506</v>
      </c>
      <c r="H67" s="234"/>
      <c r="I67" s="153"/>
      <c r="J67" s="219">
        <f>'50 кГЦ новый для ХК.01'!AD61</f>
        <v>58</v>
      </c>
      <c r="K67" s="220">
        <f>'50 кГЦ новый для ХК.01'!AE61</f>
        <v>181</v>
      </c>
      <c r="L67" s="221">
        <f>'50 кГЦ новый для ХК.01'!AL61</f>
        <v>375.75991198910975</v>
      </c>
      <c r="M67" s="251">
        <f>'50 кГЦ новый для ХК.01'!AN61</f>
        <v>37.575991198910906</v>
      </c>
      <c r="N67" s="241">
        <f>'50 кГЦ новый для ХК.01'!AP61</f>
        <v>18.999945766325155</v>
      </c>
      <c r="O67" s="234"/>
      <c r="P67" s="234"/>
      <c r="Q67" s="234"/>
      <c r="S67" s="217">
        <f>'50 кГЦ новый для ХК.01'!AU61</f>
        <v>58</v>
      </c>
      <c r="T67" s="220">
        <f>'50 кГЦ новый для ХК.01'!AV61</f>
        <v>1589</v>
      </c>
      <c r="U67" s="222">
        <f>'50 кГЦ новый для ХК.01'!BC61</f>
        <v>968510.29550133226</v>
      </c>
      <c r="V67" s="249">
        <f>'50 кГЦ новый для ХК.01'!BE61</f>
        <v>58697.593666747445</v>
      </c>
      <c r="W67" s="239">
        <f>'50 кГЦ новый для ХК.01'!BG61</f>
        <v>29679.884966396141</v>
      </c>
    </row>
    <row r="68" spans="3:23">
      <c r="C68" s="217">
        <f>'50 кГЦ новый для ХК.01'!O62</f>
        <v>59</v>
      </c>
      <c r="D68" s="218">
        <f>'50 кГЦ новый для ХК.01'!P62</f>
        <v>22.25</v>
      </c>
      <c r="E68" s="221">
        <f>'50 кГЦ новый для ХК.01'!W62</f>
        <v>24.340346186076587</v>
      </c>
      <c r="F68" s="251">
        <f t="shared" si="0"/>
        <v>24.340346186076587</v>
      </c>
      <c r="G68" s="241">
        <f>'50 кГЦ новый для ХК.01'!Y62</f>
        <v>12.307466621996586</v>
      </c>
      <c r="H68" s="234"/>
      <c r="I68" s="153"/>
      <c r="J68" s="219">
        <f>'50 кГЦ новый для ХК.01'!AD62</f>
        <v>59</v>
      </c>
      <c r="K68" s="220">
        <f>'50 кГЦ новый для ХК.01'!AE62</f>
        <v>184</v>
      </c>
      <c r="L68" s="221">
        <f>'50 кГЦ новый для ХК.01'!AL62</f>
        <v>386.64079970419732</v>
      </c>
      <c r="M68" s="251">
        <f>'50 кГЦ новый для ХК.01'!AN62</f>
        <v>38.664079970419657</v>
      </c>
      <c r="N68" s="241">
        <f>'50 кГЦ новый для ХК.01'!AP62</f>
        <v>19.550127597542232</v>
      </c>
      <c r="S68" s="217">
        <f>'50 кГЦ новый для ХК.01'!AU62</f>
        <v>59</v>
      </c>
      <c r="T68" s="220">
        <f>'50 кГЦ новый для ХК.01'!AV62</f>
        <v>1616</v>
      </c>
      <c r="U68" s="222">
        <f>'50 кГЦ новый для ХК.01'!BC62</f>
        <v>1098357.1517812568</v>
      </c>
      <c r="V68" s="249">
        <f>'50 кГЦ новый для ХК.01'!BE62</f>
        <v>66567.10010795499</v>
      </c>
      <c r="W68" s="239">
        <f>'50 кГЦ новый для ХК.01'!BG62</f>
        <v>33659.026722077178</v>
      </c>
    </row>
    <row r="69" spans="3:23">
      <c r="C69" s="217">
        <f>'50 кГЦ новый для ХК.01'!O63</f>
        <v>60</v>
      </c>
      <c r="D69" s="218">
        <f>'50 кГЦ новый для ХК.01'!P63</f>
        <v>22.625</v>
      </c>
      <c r="E69" s="221">
        <f>'50 кГЦ новый для ХК.01'!W63</f>
        <v>24.78806188369386</v>
      </c>
      <c r="F69" s="251">
        <f t="shared" si="0"/>
        <v>24.78806188369386</v>
      </c>
      <c r="G69" s="241">
        <f>'50 кГЦ новый для ХК.01'!Y63</f>
        <v>12.533849844422591</v>
      </c>
      <c r="H69" s="234"/>
      <c r="I69" s="153"/>
      <c r="J69" s="219">
        <f>'50 кГЦ новый для ХК.01'!AD63</f>
        <v>60</v>
      </c>
      <c r="K69" s="220">
        <f>'50 кГЦ новый для ХК.01'!AE63</f>
        <v>187</v>
      </c>
      <c r="L69" s="221">
        <f>'50 кГЦ новый для ХК.01'!AL63</f>
        <v>397.73100786808715</v>
      </c>
      <c r="M69" s="251">
        <f>'50 кГЦ новый для ХК.01'!AN63</f>
        <v>39.773100786808641</v>
      </c>
      <c r="N69" s="241">
        <f>'50 кГЦ новый для ХК.01'!AP63</f>
        <v>20.110893519951887</v>
      </c>
      <c r="S69" s="217">
        <f>'50 кГЦ новый для ХК.01'!AU63</f>
        <v>60</v>
      </c>
      <c r="T69" s="220">
        <f>'50 кГЦ новый для ХК.01'!AV63</f>
        <v>1643</v>
      </c>
      <c r="U69" s="222">
        <f>'50 кГЦ новый для ХК.01'!BC63</f>
        <v>1245264.6807885275</v>
      </c>
      <c r="V69" s="249">
        <f>'50 кГЦ новый для ХК.01'!BE63</f>
        <v>75470.586714456251</v>
      </c>
      <c r="W69" s="239">
        <f>'50 кГЦ новый для ХК.01'!BG63</f>
        <v>38160.990802259024</v>
      </c>
    </row>
    <row r="70" spans="3:23">
      <c r="C70" s="217">
        <f>'50 кГЦ новый для ХК.01'!O64</f>
        <v>61</v>
      </c>
      <c r="D70" s="218">
        <f>'50 кГЦ новый для ХК.01'!P64</f>
        <v>23</v>
      </c>
      <c r="E70" s="221">
        <f>'50 кГЦ новый для ХК.01'!W64</f>
        <v>25.237077895586268</v>
      </c>
      <c r="F70" s="251">
        <f t="shared" si="0"/>
        <v>25.237077895586268</v>
      </c>
      <c r="G70" s="241">
        <f>'50 кГЦ новый для ХК.01'!Y64</f>
        <v>12.760890558505325</v>
      </c>
      <c r="H70" s="234"/>
      <c r="I70" s="153"/>
      <c r="J70" s="219">
        <f>'50 кГЦ новый для ХК.01'!AD64</f>
        <v>61</v>
      </c>
      <c r="K70" s="220">
        <f>'50 кГЦ новый для ХК.01'!AE64</f>
        <v>190</v>
      </c>
      <c r="L70" s="221">
        <f>'50 кГЦ новый для ХК.01'!AL64</f>
        <v>409.03402140526066</v>
      </c>
      <c r="M70" s="251">
        <f>'50 кГЦ новый для ХК.01'!AN64</f>
        <v>40.903402140525991</v>
      </c>
      <c r="N70" s="241">
        <f>'50 кГЦ новый для ХК.01'!AP64</f>
        <v>20.682419745475805</v>
      </c>
      <c r="S70" s="217">
        <f>'50 кГЦ новый для ХК.01'!AU64</f>
        <v>61</v>
      </c>
      <c r="T70" s="220">
        <f>'50 кГЦ новый для ХК.01'!AV64</f>
        <v>1670</v>
      </c>
      <c r="U70" s="222">
        <f>'50 кГЦ новый для ХК.01'!BC64</f>
        <v>1411440.124490723</v>
      </c>
      <c r="V70" s="249">
        <f>'50 кГЦ новый для ХК.01'!BE64</f>
        <v>85541.825726710536</v>
      </c>
      <c r="W70" s="239">
        <f>'50 кГЦ новый для ХК.01'!BG64</f>
        <v>43253.417879420864</v>
      </c>
    </row>
    <row r="71" spans="3:23">
      <c r="C71" s="217">
        <f>'50 кГЦ новый для ХК.01'!O65</f>
        <v>62</v>
      </c>
      <c r="D71" s="218">
        <f>'50 кГЦ новый для ХК.01'!P65</f>
        <v>23.375</v>
      </c>
      <c r="E71" s="221">
        <f>'50 кГЦ новый для ХК.01'!W65</f>
        <v>25.687397133495569</v>
      </c>
      <c r="F71" s="251">
        <f t="shared" si="0"/>
        <v>25.687397133495569</v>
      </c>
      <c r="G71" s="241">
        <f>'50 кГЦ новый для ХК.01'!Y65</f>
        <v>12.988590236539569</v>
      </c>
      <c r="H71" s="234"/>
      <c r="I71" s="153"/>
      <c r="J71" s="219">
        <f>'50 кГЦ новый для ХК.01'!AD65</f>
        <v>62</v>
      </c>
      <c r="K71" s="220">
        <f>'50 кГЦ новый для ХК.01'!AE65</f>
        <v>193</v>
      </c>
      <c r="L71" s="221">
        <f>'50 кГЦ новый для ХК.01'!AL65</f>
        <v>420.55337908079309</v>
      </c>
      <c r="M71" s="251">
        <f>'50 кГЦ новый для ХК.01'!AN65</f>
        <v>42.055337908079231</v>
      </c>
      <c r="N71" s="241">
        <f>'50 кГЦ новый для ХК.01'!AP65</f>
        <v>21.264885208434418</v>
      </c>
      <c r="S71" s="217">
        <f>'50 кГЦ новый для ХК.01'!AU65</f>
        <v>62</v>
      </c>
      <c r="T71" s="220">
        <f>'50 кГЦ новый для ХК.01'!AV65</f>
        <v>1697</v>
      </c>
      <c r="U71" s="222">
        <f>'50 кГЦ новый для ХК.01'!BC65</f>
        <v>1599372.8220738864</v>
      </c>
      <c r="V71" s="249">
        <f>'50 кГЦ новый для ХК.01'!BE65</f>
        <v>96931.686186296211</v>
      </c>
      <c r="W71" s="239">
        <f>'50 кГЦ новый для ХК.01'!BG65</f>
        <v>49012.593462376892</v>
      </c>
    </row>
    <row r="72" spans="3:23">
      <c r="C72" s="217">
        <f>'50 кГЦ новый для ХК.01'!O66</f>
        <v>63</v>
      </c>
      <c r="D72" s="218">
        <f>'50 кГЦ новый для ХК.01'!P66</f>
        <v>23.75</v>
      </c>
      <c r="E72" s="221">
        <f>'50 кГЦ новый для ХК.01'!W66</f>
        <v>26.139022515000629</v>
      </c>
      <c r="F72" s="251">
        <f t="shared" si="0"/>
        <v>26.139022515000629</v>
      </c>
      <c r="G72" s="241">
        <f>'50 кГЦ новый для ХК.01'!Y66</f>
        <v>13.216950353771573</v>
      </c>
      <c r="H72" s="234"/>
      <c r="I72" s="153"/>
      <c r="J72" s="219">
        <f>'50 кГЦ новый для ХК.01'!AD66</f>
        <v>63</v>
      </c>
      <c r="K72" s="220">
        <f>'50 кГЦ новый для ХК.01'!AE66</f>
        <v>196</v>
      </c>
      <c r="L72" s="221">
        <f>'50 кГЦ новый для ХК.01'!AL66</f>
        <v>432.29267429492694</v>
      </c>
      <c r="M72" s="251">
        <f>'50 кГЦ новый для ХК.01'!AN66</f>
        <v>43.229267429492616</v>
      </c>
      <c r="N72" s="241">
        <f>'50 кГЦ новый для ХК.01'!AP66</f>
        <v>21.858471605723892</v>
      </c>
      <c r="S72" s="217">
        <f>'50 кГЦ новый для ХК.01'!AU66</f>
        <v>63</v>
      </c>
      <c r="T72" s="220">
        <f>'50 кГЦ новый для ХК.01'!AV66</f>
        <v>1724</v>
      </c>
      <c r="U72" s="222">
        <f>'50 кГЦ новый для ХК.01'!BC66</f>
        <v>1811869.9083191487</v>
      </c>
      <c r="V72" s="249">
        <f>'50 кГЦ новый для ХК.01'!BE66</f>
        <v>109810.29747388787</v>
      </c>
      <c r="W72" s="239">
        <f>'50 кГЦ новый для ХК.01'!BG66</f>
        <v>55524.541868861314</v>
      </c>
    </row>
    <row r="73" spans="3:23">
      <c r="C73" s="217">
        <f>'50 кГЦ новый для ХК.01'!O67</f>
        <v>64</v>
      </c>
      <c r="D73" s="218">
        <f>'50 кГЦ новый для ХК.01'!P67</f>
        <v>24.125</v>
      </c>
      <c r="E73" s="221">
        <f>'50 кГЦ новый для ХК.01'!W67</f>
        <v>26.591956963528514</v>
      </c>
      <c r="F73" s="251">
        <f t="shared" si="0"/>
        <v>26.591956963528514</v>
      </c>
      <c r="G73" s="241">
        <f>'50 кГЦ новый для ХК.01'!Y67</f>
        <v>13.445972388404677</v>
      </c>
      <c r="H73" s="234"/>
      <c r="I73" s="153"/>
      <c r="J73" s="219">
        <f>'50 кГЦ новый для ХК.01'!AD67</f>
        <v>64</v>
      </c>
      <c r="K73" s="220">
        <f>'50 кГЦ новый для ХК.01'!AE67</f>
        <v>199</v>
      </c>
      <c r="L73" s="221">
        <f>'50 кГЦ новый для ХК.01'!AL67</f>
        <v>444.25555588901437</v>
      </c>
      <c r="M73" s="251">
        <f>'50 кГЦ новый для ХК.01'!AN67</f>
        <v>44.425555588901354</v>
      </c>
      <c r="N73" s="241">
        <f>'50 кГЦ новый для ХК.01'!AP67</f>
        <v>22.463363437567878</v>
      </c>
      <c r="S73" s="217">
        <f>'50 кГЦ новый для ХК.01'!AU67</f>
        <v>64</v>
      </c>
      <c r="T73" s="220">
        <f>'50 кГЦ новый для ХК.01'!AV67</f>
        <v>1751</v>
      </c>
      <c r="U73" s="222">
        <f>'50 кГЦ новый для ХК.01'!BC67</f>
        <v>2052096.4926524677</v>
      </c>
      <c r="V73" s="249">
        <f>'50 кГЦ новый для ХК.01'!BE67</f>
        <v>124369.48440317993</v>
      </c>
      <c r="W73" s="239">
        <f>'50 кГЦ новый для ХК.01'!BG67</f>
        <v>62886.257507818555</v>
      </c>
    </row>
    <row r="74" spans="3:23">
      <c r="C74" s="217">
        <f>'50 кГЦ новый для ХК.01'!O68</f>
        <v>65</v>
      </c>
      <c r="D74" s="218">
        <f>'50 кГЦ новый для ХК.01'!P68</f>
        <v>24.5</v>
      </c>
      <c r="E74" s="221">
        <f>'50 кГЦ новый для ХК.01'!W68</f>
        <v>27.046203408365432</v>
      </c>
      <c r="F74" s="251">
        <f t="shared" si="0"/>
        <v>27.046203408365432</v>
      </c>
      <c r="G74" s="241">
        <f>'50 кГЦ новый для ХК.01'!Y68</f>
        <v>13.675657821604842</v>
      </c>
      <c r="H74" s="234"/>
      <c r="I74" s="153"/>
      <c r="J74" s="219">
        <f>'50 кГЦ новый для ХК.01'!AD68</f>
        <v>65</v>
      </c>
      <c r="K74" s="220">
        <f>'50 кГЦ новый для ХК.01'!AE68</f>
        <v>202</v>
      </c>
      <c r="L74" s="221">
        <f>'50 кГЦ новый для ХК.01'!AL68</f>
        <v>456.44572896298212</v>
      </c>
      <c r="M74" s="251">
        <f>'50 кГЦ новый для ХК.01'!AN68</f>
        <v>45.644572896298122</v>
      </c>
      <c r="N74" s="241">
        <f>'50 кГЦ новый для ХК.01'!AP68</f>
        <v>23.079748048851886</v>
      </c>
      <c r="S74" s="217">
        <f>'50 кГЦ новый для ХК.01'!AU68</f>
        <v>65</v>
      </c>
      <c r="T74" s="220">
        <f>'50 кГЦ новый для ХК.01'!AV68</f>
        <v>1778</v>
      </c>
      <c r="U74" s="222">
        <f>'50 кГЦ новый для ХК.01'!BC68</f>
        <v>2323620.8774014222</v>
      </c>
      <c r="V74" s="249">
        <f>'50 кГЦ новый для ХК.01'!BE68</f>
        <v>140825.5077212984</v>
      </c>
      <c r="W74" s="239">
        <f>'50 кГЦ новый для ХК.01'!BG68</f>
        <v>71207.090587604209</v>
      </c>
    </row>
    <row r="75" spans="3:23">
      <c r="C75" s="217">
        <f>'50 кГЦ новый для ХК.01'!O69</f>
        <v>66</v>
      </c>
      <c r="D75" s="218">
        <f>'50 кГЦ новый для ХК.01'!P69</f>
        <v>24.875</v>
      </c>
      <c r="E75" s="221">
        <f>'50 кГЦ новый для ХК.01'!W69</f>
        <v>27.501764784667834</v>
      </c>
      <c r="F75" s="251">
        <f t="shared" ref="F75:F94" si="1">E75</f>
        <v>27.501764784667834</v>
      </c>
      <c r="G75" s="241">
        <f>'50 кГЦ новый для ХК.01'!Y69</f>
        <v>13.906008137506261</v>
      </c>
      <c r="H75" s="234"/>
      <c r="I75" s="153"/>
      <c r="J75" s="219">
        <f>'50 кГЦ новый для ХК.01'!AD69</f>
        <v>66</v>
      </c>
      <c r="K75" s="220">
        <f>'50 кГЦ новый для ХК.01'!AE69</f>
        <v>205</v>
      </c>
      <c r="L75" s="221">
        <f>'50 кГЦ новый для ХК.01'!AL69</f>
        <v>468.86695570449098</v>
      </c>
      <c r="M75" s="251">
        <f>'50 кГЦ новый для ХК.01'!AN69</f>
        <v>46.886695570449007</v>
      </c>
      <c r="N75" s="241">
        <f>'50 кГЦ новый для ХК.01'!AP69</f>
        <v>23.707815671048664</v>
      </c>
      <c r="S75" s="217">
        <f>'50 кГЦ новый для ХК.01'!AU69</f>
        <v>66</v>
      </c>
      <c r="T75" s="220">
        <f>'50 кГЦ новый для ХК.01'!AV69</f>
        <v>1805</v>
      </c>
      <c r="U75" s="222">
        <f>'50 кГЦ новый для ХК.01'!BC69</f>
        <v>2630465.4430091372</v>
      </c>
      <c r="V75" s="249">
        <f>'50 кГЦ новый для ХК.01'!BE69</f>
        <v>159422.14806115991</v>
      </c>
      <c r="W75" s="239">
        <f>'50 кГЦ новый для ХК.01'!BG69</f>
        <v>80610.306487427428</v>
      </c>
    </row>
    <row r="76" spans="3:23">
      <c r="C76" s="217">
        <f>'50 кГЦ новый для ХК.01'!O70</f>
        <v>67</v>
      </c>
      <c r="D76" s="218">
        <f>'50 кГЦ новый для ХК.01'!P70</f>
        <v>25.25</v>
      </c>
      <c r="E76" s="221">
        <f>'50 кГЦ новый для ХК.01'!W70</f>
        <v>27.95864403347343</v>
      </c>
      <c r="F76" s="251">
        <f t="shared" si="1"/>
        <v>27.95864403347343</v>
      </c>
      <c r="G76" s="241">
        <f>'50 кГЦ новый для ХК.01'!Y70</f>
        <v>14.13702482321693</v>
      </c>
      <c r="H76" s="234"/>
      <c r="I76" s="153"/>
      <c r="J76" s="219">
        <f>'50 кГЦ новый для ХК.01'!AD70</f>
        <v>67</v>
      </c>
      <c r="K76" s="220">
        <f>'50 кГЦ новый для ХК.01'!AE70</f>
        <v>208</v>
      </c>
      <c r="L76" s="221">
        <f>'50 кГЦ новый для ХК.01'!AL70</f>
        <v>481.52305622994726</v>
      </c>
      <c r="M76" s="251">
        <f>'50 кГЦ новый для ХК.01'!AN70</f>
        <v>48.152305622994632</v>
      </c>
      <c r="N76" s="241">
        <f>'50 кГЦ новый для ХК.01'!AP70</f>
        <v>24.347759464743739</v>
      </c>
      <c r="S76" s="217">
        <f>'50 кГЦ новый для ХК.01'!AU70</f>
        <v>67</v>
      </c>
      <c r="T76" s="220">
        <f>'50 кГЦ новый для ХК.01'!AV70</f>
        <v>1832</v>
      </c>
      <c r="U76" s="222">
        <f>'50 кГЦ новый для ХК.01'!BC70</f>
        <v>2977163.9057062441</v>
      </c>
      <c r="V76" s="249">
        <f>'50 кГЦ новый для ХК.01'!BE70</f>
        <v>180434.17610340883</v>
      </c>
      <c r="W76" s="239">
        <f>'50 кГЦ новый для ХК.01'!BG70</f>
        <v>91234.840412025602</v>
      </c>
    </row>
    <row r="77" spans="3:23">
      <c r="C77" s="217">
        <f>'50 кГЦ новый для ХК.01'!O71</f>
        <v>68</v>
      </c>
      <c r="D77" s="218">
        <f>'50 кГЦ новый для ХК.01'!P71</f>
        <v>25.625</v>
      </c>
      <c r="E77" s="221">
        <f>'50 кГЦ новый для ХК.01'!W71</f>
        <v>28.416844101712272</v>
      </c>
      <c r="F77" s="251">
        <f t="shared" si="1"/>
        <v>28.416844101712272</v>
      </c>
      <c r="G77" s="241">
        <f>'50 кГЦ новый для ХК.01'!Y71</f>
        <v>14.368709368824254</v>
      </c>
      <c r="H77" s="234"/>
      <c r="I77" s="153"/>
      <c r="J77" s="219">
        <f>'50 кГЦ новый для ХК.01'!AD71</f>
        <v>68</v>
      </c>
      <c r="K77" s="220">
        <f>'50 кГЦ новый для ХК.01'!AE71</f>
        <v>211</v>
      </c>
      <c r="L77" s="221">
        <f>'50 кГЦ новый для ХК.01'!AL71</f>
        <v>494.41790943752835</v>
      </c>
      <c r="M77" s="251">
        <f>'50 кГЦ новый для ХК.01'!AN71</f>
        <v>49.441790943752743</v>
      </c>
      <c r="N77" s="241">
        <f>'50 кГЦ новый для ХК.01'!AP71</f>
        <v>24.999775562767159</v>
      </c>
      <c r="S77" s="217">
        <f>'50 кГЦ новый для ХК.01'!AU71</f>
        <v>68</v>
      </c>
      <c r="T77" s="220">
        <f>'50 кГЦ новый для ХК.01'!AV71</f>
        <v>1859</v>
      </c>
      <c r="U77" s="222">
        <f>'50 кГЦ новый для ХК.01'!BC71</f>
        <v>3368825.7404740881</v>
      </c>
      <c r="V77" s="249">
        <f>'50 кГЦ новый для ХК.01'!BE71</f>
        <v>204171.25699842972</v>
      </c>
      <c r="W77" s="239">
        <f>'50 кГЦ новый для ХК.01'!BG71</f>
        <v>103237.27162585164</v>
      </c>
    </row>
    <row r="78" spans="3:23">
      <c r="C78" s="217">
        <f>'50 кГЦ новый для ХК.01'!O72</f>
        <v>69</v>
      </c>
      <c r="D78" s="218">
        <f>'50 кГЦ новый для ХК.01'!P72</f>
        <v>26</v>
      </c>
      <c r="E78" s="221">
        <f>'50 кГЦ новый для ХК.01'!W72</f>
        <v>28.876367942217954</v>
      </c>
      <c r="F78" s="251">
        <f t="shared" si="1"/>
        <v>28.876367942217954</v>
      </c>
      <c r="G78" s="241">
        <f>'50 кГЦ новый для ХК.01'!Y72</f>
        <v>14.601063267400706</v>
      </c>
      <c r="H78" s="234"/>
      <c r="I78" s="153"/>
      <c r="J78" s="219">
        <f>'50 кГЦ новый для ХК.01'!AD72</f>
        <v>69</v>
      </c>
      <c r="K78" s="220">
        <f>'50 кГЦ новый для ХК.01'!AE72</f>
        <v>214</v>
      </c>
      <c r="L78" s="221">
        <f>'50 кГЦ новый для ХК.01'!AL72</f>
        <v>507.55545387239658</v>
      </c>
      <c r="M78" s="251">
        <f>'50 кГЦ новый для ХК.01'!AN72</f>
        <v>50.755545387239565</v>
      </c>
      <c r="N78" s="241">
        <f>'50 кГЦ новый для ХК.01'!AP72</f>
        <v>25.664063113942703</v>
      </c>
      <c r="S78" s="217">
        <f>'50 кГЦ новый для ХК.01'!AU72</f>
        <v>69</v>
      </c>
      <c r="T78" s="220">
        <f>'50 кГЦ новый для ХК.01'!AV72</f>
        <v>1886</v>
      </c>
      <c r="U78" s="222">
        <f>'50 кГЦ новый для ХК.01'!BC72</f>
        <v>3811208.6602227949</v>
      </c>
      <c r="V78" s="249">
        <f>'50 кГЦ новый для ХК.01'!BE72</f>
        <v>230982.34304380589</v>
      </c>
      <c r="W78" s="239">
        <f>'50 кГЦ новый для ХК.01'!BG72</f>
        <v>116794.04456902803</v>
      </c>
    </row>
    <row r="79" spans="3:23">
      <c r="C79" s="244">
        <f>'50 кГЦ новый для ХК.01'!O73</f>
        <v>70</v>
      </c>
      <c r="D79" s="245">
        <f>'50 кГЦ новый для ХК.01'!P73</f>
        <v>26.375</v>
      </c>
      <c r="E79" s="221">
        <f>'50 кГЦ новый для ХК.01'!W73</f>
        <v>29.33721851373857</v>
      </c>
      <c r="F79" s="251">
        <f t="shared" si="1"/>
        <v>29.33721851373857</v>
      </c>
      <c r="G79" s="241">
        <f>'50 кГЦ новый для ХК.01'!Y73</f>
        <v>14.834088015009371</v>
      </c>
      <c r="H79" s="234"/>
      <c r="I79" s="103"/>
      <c r="J79" s="246">
        <f>'50 кГЦ новый для ХК.01'!AD73</f>
        <v>70</v>
      </c>
      <c r="K79" s="247">
        <f>'50 кГЦ новый для ХК.01'!AE73</f>
        <v>217</v>
      </c>
      <c r="L79" s="221">
        <f>'50 кГЦ новый для ХК.01'!AL73</f>
        <v>520.93968860427219</v>
      </c>
      <c r="M79" s="251">
        <f>'50 кГЦ новый для ХК.01'!AN73</f>
        <v>52.093968860427118</v>
      </c>
      <c r="N79" s="241">
        <f>'50 кГЦ новый для ХК.01'!AP73</f>
        <v>26.34082432746127</v>
      </c>
      <c r="R79" s="237"/>
      <c r="S79" s="244">
        <f>'50 кГЦ новый для ХК.01'!AU73</f>
        <v>70</v>
      </c>
      <c r="T79" s="247">
        <f>'50 кГЦ новый для ХК.01'!AV73</f>
        <v>1913</v>
      </c>
      <c r="U79" s="222">
        <f>'50 кГЦ новый для ХК.01'!BC73</f>
        <v>4310800.1522754338</v>
      </c>
      <c r="V79" s="249">
        <f>'50 кГЦ новый для ХК.01'!BE73</f>
        <v>261260.61528942038</v>
      </c>
      <c r="W79" s="239">
        <f>'50 кГЦ новый для ХК.01'!BG73</f>
        <v>132103.96753338573</v>
      </c>
    </row>
    <row r="80" spans="3:23">
      <c r="C80" s="244">
        <f>'50 кГЦ новый для ХК.01'!O74</f>
        <v>71</v>
      </c>
      <c r="D80" s="245">
        <f>'50 кГЦ новый для ХК.01'!P74</f>
        <v>26.75</v>
      </c>
      <c r="E80" s="221">
        <f>'50 кГЦ новый для ХК.01'!W74</f>
        <v>29.79939878094795</v>
      </c>
      <c r="F80" s="251">
        <f t="shared" si="1"/>
        <v>29.79939878094795</v>
      </c>
      <c r="G80" s="241">
        <f>'50 кГЦ новый для ХК.01'!Y74</f>
        <v>15.067785110709627</v>
      </c>
      <c r="H80" s="234"/>
      <c r="I80" s="103"/>
      <c r="J80" s="246">
        <f>'50 кГЦ новый для ХК.01'!AD74</f>
        <v>71</v>
      </c>
      <c r="K80" s="247">
        <f>'50 кГЦ новый для ХК.01'!AE74</f>
        <v>220</v>
      </c>
      <c r="L80" s="221">
        <f>'50 кГЦ новый для ХК.01'!AL74</f>
        <v>534.5746741175285</v>
      </c>
      <c r="M80" s="251">
        <f>'50 кГЦ новый для ХК.01'!AN74</f>
        <v>53.457467411752752</v>
      </c>
      <c r="N80" s="241">
        <f>'50 кГЦ новый для ХК.01'!AP74</f>
        <v>27.030264517888018</v>
      </c>
      <c r="R80" s="237"/>
      <c r="S80" s="244">
        <f>'50 кГЦ новый для ХК.01'!AU74</f>
        <v>71</v>
      </c>
      <c r="T80" s="247">
        <f>'50 кГЦ новый для ХК.01'!AV74</f>
        <v>1940</v>
      </c>
      <c r="U80" s="222">
        <f>'50 кГЦ новый для ХК.01'!BC74</f>
        <v>4874909.1969747916</v>
      </c>
      <c r="V80" s="249">
        <f>'50 кГЦ новый для ХК.01'!BE74</f>
        <v>295449.04224089661</v>
      </c>
      <c r="W80" s="239">
        <f>'50 кГЦ новый для ХК.01'!BG74</f>
        <v>149391.02336846496</v>
      </c>
    </row>
    <row r="81" spans="3:23">
      <c r="C81" s="244">
        <f>'50 кГЦ новый для ХК.01'!O75</f>
        <v>72</v>
      </c>
      <c r="D81" s="245">
        <f>'50 кГЦ новый для ХК.01'!P75</f>
        <v>27.125</v>
      </c>
      <c r="E81" s="221">
        <f>'50 кГЦ новый для ХК.01'!W75</f>
        <v>30.262911714456934</v>
      </c>
      <c r="F81" s="251">
        <f t="shared" si="1"/>
        <v>30.262911714456934</v>
      </c>
      <c r="G81" s="241">
        <f>'50 кГЦ новый для ХК.01'!Y75</f>
        <v>15.302156056562845</v>
      </c>
      <c r="H81" s="234"/>
      <c r="I81" s="103"/>
      <c r="J81" s="246">
        <f>'50 кГЦ новый для ХК.01'!AD75</f>
        <v>72</v>
      </c>
      <c r="K81" s="247">
        <f>'50 кГЦ новый для ХК.01'!AE75</f>
        <v>223</v>
      </c>
      <c r="L81" s="221">
        <f>'50 кГЦ новый для ХК.01'!AL75</f>
        <v>548.46453321399974</v>
      </c>
      <c r="M81" s="251">
        <f>'50 кГЦ новый для ХК.01'!AN75</f>
        <v>54.846453321399871</v>
      </c>
      <c r="N81" s="241">
        <f>'50 кГЦ новый для ХК.01'!AP75</f>
        <v>27.732592150811509</v>
      </c>
      <c r="R81" s="237"/>
      <c r="S81" s="244">
        <f>'50 кГЦ новый для ХК.01'!AU75</f>
        <v>72</v>
      </c>
      <c r="T81" s="247">
        <f>'50 кГЦ новый для ХК.01'!AV75</f>
        <v>1967</v>
      </c>
      <c r="U81" s="222">
        <f>'50 кГЦ новый для ХК.01'!BC75</f>
        <v>5511769.4321741927</v>
      </c>
      <c r="V81" s="249">
        <f>'50 кГЦ новый для ХК.01'!BE75</f>
        <v>334046.6322529816</v>
      </c>
      <c r="W81" s="239">
        <f>'50 кГЦ новый для ХК.01'!BG75</f>
        <v>168907.53094529524</v>
      </c>
    </row>
    <row r="82" spans="3:23">
      <c r="C82" s="244">
        <f>'50 кГЦ новый для ХК.01'!O76</f>
        <v>73</v>
      </c>
      <c r="D82" s="245">
        <f>'50 кГЦ новый для ХК.01'!P76</f>
        <v>27.5</v>
      </c>
      <c r="E82" s="221">
        <f>'50 кГЦ новый для ХК.01'!W76</f>
        <v>30.727760290824254</v>
      </c>
      <c r="F82" s="251">
        <f t="shared" si="1"/>
        <v>30.727760290824254</v>
      </c>
      <c r="G82" s="241">
        <f>'50 кГЦ новый для ХК.01'!Y76</f>
        <v>15.537202357637891</v>
      </c>
      <c r="H82" s="234"/>
      <c r="I82" s="103"/>
      <c r="J82" s="246">
        <f>'50 кГЦ новый для ХК.01'!AD76</f>
        <v>73</v>
      </c>
      <c r="K82" s="247">
        <f>'50 кГЦ новый для ХК.01'!AE76</f>
        <v>226</v>
      </c>
      <c r="L82" s="221">
        <f>'50 кГЦ новый для ХК.01'!AL76</f>
        <v>562.61345192866202</v>
      </c>
      <c r="M82" s="251">
        <f>'50 кГЦ новый для ХК.01'!AN76</f>
        <v>56.261345192866095</v>
      </c>
      <c r="N82" s="241">
        <f>'50 кГЦ новый для ХК.01'!AP76</f>
        <v>28.448018889144716</v>
      </c>
      <c r="R82" s="237"/>
      <c r="S82" s="244">
        <f>'50 кГЦ новый для ХК.01'!AU76</f>
        <v>73</v>
      </c>
      <c r="T82" s="247">
        <f>'50 кГЦ новый для ХК.01'!AV76</f>
        <v>1994</v>
      </c>
      <c r="U82" s="222">
        <f>'50 кГЦ новый для ХК.01'!BC76</f>
        <v>6230655.1834025523</v>
      </c>
      <c r="V82" s="249">
        <f>'50 кГЦ новый для ХК.01'!BE76</f>
        <v>377615.46566076099</v>
      </c>
      <c r="W82" s="239">
        <f>'50 кГЦ новый для ХК.01'!BG76</f>
        <v>190937.70088726253</v>
      </c>
    </row>
    <row r="83" spans="3:23">
      <c r="C83" s="244">
        <f>'50 кГЦ новый для ХК.01'!O77</f>
        <v>74</v>
      </c>
      <c r="D83" s="245">
        <f>'50 кГЦ новый для ХК.01'!P77</f>
        <v>27.875</v>
      </c>
      <c r="E83" s="221">
        <f>'50 кГЦ новый для ХК.01'!W77</f>
        <v>31.193947492568039</v>
      </c>
      <c r="F83" s="251">
        <f t="shared" si="1"/>
        <v>31.193947492568039</v>
      </c>
      <c r="G83" s="241">
        <f>'50 кГЦ новый для ХК.01'!Y77</f>
        <v>15.772925522016946</v>
      </c>
      <c r="H83" s="234"/>
      <c r="I83" s="103"/>
      <c r="J83" s="246">
        <f>'50 кГЦ новый для ХК.01'!AD77</f>
        <v>74</v>
      </c>
      <c r="K83" s="247">
        <f>'50 кГЦ новый для ХК.01'!AE77</f>
        <v>229</v>
      </c>
      <c r="L83" s="221">
        <f>'50 кГЦ новый для ХК.01'!AL77</f>
        <v>577.02568045838382</v>
      </c>
      <c r="M83" s="251">
        <f>'50 кГЦ новый для ХК.01'!AN77</f>
        <v>57.702568045838269</v>
      </c>
      <c r="N83" s="241">
        <f>'50 кГЦ новый для ХК.01'!AP77</f>
        <v>29.176759640086019</v>
      </c>
      <c r="R83" s="237"/>
      <c r="S83" s="244">
        <f>'50 кГЦ новый для ХК.01'!AU77</f>
        <v>74</v>
      </c>
      <c r="T83" s="247">
        <f>'50 кГЦ новый для ХК.01'!AV77</f>
        <v>2021</v>
      </c>
      <c r="U83" s="222">
        <f>'50 кГЦ новый для ХК.01'!BC77</f>
        <v>7042011.9546990432</v>
      </c>
      <c r="V83" s="249">
        <f>'50 кГЦ новый для ХК.01'!BE77</f>
        <v>426788.60331509379</v>
      </c>
      <c r="W83" s="239">
        <f>'50 кГЦ новый для ХК.01'!BG77</f>
        <v>215801.63444650357</v>
      </c>
    </row>
    <row r="84" spans="3:23">
      <c r="C84" s="244">
        <f>'50 кГЦ новый для ХК.01'!O78</f>
        <v>75</v>
      </c>
      <c r="D84" s="245">
        <f>'50 кГЦ новый для ХК.01'!P78</f>
        <v>28.25</v>
      </c>
      <c r="E84" s="221">
        <f>'50 кГЦ новый для ХК.01'!W78</f>
        <v>31.661476308176923</v>
      </c>
      <c r="F84" s="251">
        <f t="shared" si="1"/>
        <v>31.661476308176923</v>
      </c>
      <c r="G84" s="241">
        <f>'50 кГЦ новый для ХК.01'!Y78</f>
        <v>16.009327060801116</v>
      </c>
      <c r="H84" s="234"/>
      <c r="I84" s="103"/>
      <c r="J84" s="246">
        <f>'50 кГЦ новый для ХК.01'!AD78</f>
        <v>75</v>
      </c>
      <c r="K84" s="247">
        <f>'50 кГЦ новый для ХК.01'!AE78</f>
        <v>232</v>
      </c>
      <c r="L84" s="221">
        <f>'50 кГЦ новый для ХК.01'!AL78</f>
        <v>591.70553410390983</v>
      </c>
      <c r="M84" s="251">
        <f>'50 кГЦ новый для ХК.01'!AN78</f>
        <v>59.170553410390873</v>
      </c>
      <c r="N84" s="241">
        <f>'50 кГЦ новый для ХК.01'!AP78</f>
        <v>29.919032602750217</v>
      </c>
      <c r="R84" s="237"/>
      <c r="S84" s="244">
        <f>'50 кГЦ новый для ХК.01'!AU78</f>
        <v>75</v>
      </c>
      <c r="T84" s="247">
        <f>'50 кГЦ новый для ХК.01'!AV78</f>
        <v>2048</v>
      </c>
      <c r="U84" s="222">
        <f>'50 кГЦ новый для ХК.01'!BC78</f>
        <v>7957603.1718398109</v>
      </c>
      <c r="V84" s="249">
        <f>'50 кГЦ новый для ХК.01'!BE78</f>
        <v>482278.98011150397</v>
      </c>
      <c r="W84" s="239">
        <f>'50 кГЦ новый для ХК.01'!BG78</f>
        <v>243859.82043296692</v>
      </c>
    </row>
    <row r="85" spans="3:23">
      <c r="C85" s="244">
        <f>'50 кГЦ новый для ХК.01'!O79</f>
        <v>76</v>
      </c>
      <c r="D85" s="245">
        <f>'50 кГЦ новый для ХК.01'!P79</f>
        <v>28.625</v>
      </c>
      <c r="E85" s="221">
        <f>'50 кГЦ новый для ХК.01'!W79</f>
        <v>32.130349732121196</v>
      </c>
      <c r="F85" s="251">
        <f t="shared" si="1"/>
        <v>32.130349732121196</v>
      </c>
      <c r="G85" s="241">
        <f>'50 кГЦ новый для ХК.01'!Y79</f>
        <v>16.246408488116082</v>
      </c>
      <c r="H85" s="234"/>
      <c r="I85" s="103"/>
      <c r="J85" s="246">
        <f>'50 кГЦ новый для ХК.01'!AD79</f>
        <v>76</v>
      </c>
      <c r="K85" s="247">
        <f>'50 кГЦ новый для ХК.01'!AE79</f>
        <v>235</v>
      </c>
      <c r="L85" s="221">
        <f>'50 кГЦ новый для ХК.01'!AL79</f>
        <v>606.6573942252827</v>
      </c>
      <c r="M85" s="251">
        <f>'50 кГЦ новый для ХК.01'!AN79</f>
        <v>60.665739422528155</v>
      </c>
      <c r="N85" s="241">
        <f>'50 кГЦ новый для ХК.01'!AP79</f>
        <v>30.675059316477956</v>
      </c>
      <c r="R85" s="237"/>
      <c r="S85" s="244">
        <f>'50 кГЦ новый для ХК.01'!AU79</f>
        <v>76</v>
      </c>
      <c r="T85" s="247">
        <f>'50 кГЦ новый для ХК.01'!AV79</f>
        <v>2075</v>
      </c>
      <c r="U85" s="222">
        <f>'50 кГЦ новый для ХК.01'!BC79</f>
        <v>8990675.1905654389</v>
      </c>
      <c r="V85" s="249">
        <f>'50 кГЦ новый для ХК.01'!BE79</f>
        <v>544889.40548881481</v>
      </c>
      <c r="W85" s="239">
        <f>'50 кГЦ новый для ХК.01'!BG79</f>
        <v>275518.19187227875</v>
      </c>
    </row>
    <row r="86" spans="3:23">
      <c r="C86" s="244">
        <f>'50 кГЦ новый для ХК.01'!O80</f>
        <v>77</v>
      </c>
      <c r="D86" s="245">
        <f>'50 кГЦ новый для ХК.01'!P80</f>
        <v>29</v>
      </c>
      <c r="E86" s="221">
        <f>'50 кГЦ новый для ХК.01'!W80</f>
        <v>32.600570764864223</v>
      </c>
      <c r="F86" s="251">
        <f t="shared" si="1"/>
        <v>32.600570764864223</v>
      </c>
      <c r="G86" s="241">
        <f>'50 кГЦ новый для ХК.01'!Y80</f>
        <v>16.484171321117859</v>
      </c>
      <c r="H86" s="234"/>
      <c r="I86" s="103"/>
      <c r="J86" s="246">
        <f>'50 кГЦ новый для ХК.01'!AD80</f>
        <v>77</v>
      </c>
      <c r="K86" s="247">
        <f>'50 кГЦ новый для ХК.01'!AE80</f>
        <v>238</v>
      </c>
      <c r="L86" s="221">
        <f>'50 кГЦ новый для ХК.01'!AL80</f>
        <v>621.88570921087921</v>
      </c>
      <c r="M86" s="251">
        <f>'50 кГЦ новый для ХК.01'!AN80</f>
        <v>62.188570921087802</v>
      </c>
      <c r="N86" s="241">
        <f>'50 кГЦ новый для ХК.01'!AP80</f>
        <v>31.44506470983471</v>
      </c>
      <c r="R86" s="237"/>
      <c r="S86" s="244">
        <f>'50 кГЦ новый для ХК.01'!AU80</f>
        <v>77</v>
      </c>
      <c r="T86" s="247">
        <f>'50 кГЦ новый для ХК.01'!AV80</f>
        <v>2102</v>
      </c>
      <c r="U86" s="222">
        <f>'50 кГЦ новый для ХК.01'!BC80</f>
        <v>10156142.83041241</v>
      </c>
      <c r="V86" s="249">
        <f>'50 кГЦ новый для ХК.01'!BE80</f>
        <v>615523.80790378281</v>
      </c>
      <c r="W86" s="239">
        <f>'50 кГЦ новый для ХК.01'!BG80</f>
        <v>311233.8116683588</v>
      </c>
    </row>
    <row r="87" spans="3:23">
      <c r="C87" s="244">
        <f>'50 кГЦ новый для ХК.01'!O81</f>
        <v>78</v>
      </c>
      <c r="D87" s="245">
        <f>'50 кГЦ новый для ХК.01'!P81</f>
        <v>29.375</v>
      </c>
      <c r="E87" s="221">
        <f>'50 кГЦ новый для ХК.01'!W81</f>
        <v>33.072142412873688</v>
      </c>
      <c r="F87" s="251">
        <f t="shared" si="1"/>
        <v>33.072142412873688</v>
      </c>
      <c r="G87" s="241">
        <f>'50 кГЦ новый для ХК.01'!Y81</f>
        <v>16.722617079998496</v>
      </c>
      <c r="H87" s="234"/>
      <c r="I87" s="103"/>
      <c r="J87" s="246">
        <f>'50 кГЦ новый для ХК.01'!AD81</f>
        <v>78</v>
      </c>
      <c r="K87" s="247">
        <f>'50 кГЦ новый для ХК.01'!AE81</f>
        <v>241</v>
      </c>
      <c r="L87" s="221">
        <f>'50 кГЦ новый для ХК.01'!AL81</f>
        <v>637.3949954602449</v>
      </c>
      <c r="M87" s="251">
        <f>'50 кГЦ новый для ХК.01'!AN81</f>
        <v>63.739499546024369</v>
      </c>
      <c r="N87" s="241">
        <f>'50 кГЦ новый для ХК.01'!AP81</f>
        <v>32.229277150306217</v>
      </c>
      <c r="R87" s="237"/>
      <c r="S87" s="244">
        <f>'50 кГЦ новый для ХК.01'!AU81</f>
        <v>78</v>
      </c>
      <c r="T87" s="247">
        <f>'50 кГЦ новый для ХК.01'!AV81</f>
        <v>2129</v>
      </c>
      <c r="U87" s="222">
        <f>'50 кГЦ новый для ХК.01'!BC81</f>
        <v>11470797.973176315</v>
      </c>
      <c r="V87" s="249">
        <f>'50 кГЦ новый для ХК.01'!BE81</f>
        <v>695199.87716220133</v>
      </c>
      <c r="W87" s="239">
        <f>'50 кГЦ новый для ХК.01'!BG81</f>
        <v>351521.26507897675</v>
      </c>
    </row>
    <row r="88" spans="3:23">
      <c r="C88" s="244">
        <f>'50 кГЦ новый для ХК.01'!O82</f>
        <v>79</v>
      </c>
      <c r="D88" s="245">
        <f>'50 кГЦ новый для ХК.01'!P82</f>
        <v>29.75</v>
      </c>
      <c r="E88" s="221">
        <f>'50 кГЦ новый для ХК.01'!W82</f>
        <v>33.545067688632784</v>
      </c>
      <c r="F88" s="251">
        <f t="shared" si="1"/>
        <v>33.545067688632784</v>
      </c>
      <c r="G88" s="241">
        <f>'50 кГЦ новый для ХК.01'!Y82</f>
        <v>16.96174728799172</v>
      </c>
      <c r="H88" s="234"/>
      <c r="I88" s="103"/>
      <c r="J88" s="246">
        <f>'50 кГЦ новый для ХК.01'!AD82</f>
        <v>79</v>
      </c>
      <c r="K88" s="247">
        <f>'50 кГЦ новый для ХК.01'!AE82</f>
        <v>244</v>
      </c>
      <c r="L88" s="221">
        <f>'50 кГЦ новый для ХК.01'!AL82</f>
        <v>653.18983838093675</v>
      </c>
      <c r="M88" s="251">
        <f>'50 кГЦ новый для ХК.01'!AN82</f>
        <v>65.318983838093558</v>
      </c>
      <c r="N88" s="241">
        <f>'50 кГЦ новый для ХК.01'!AP82</f>
        <v>33.027928494703694</v>
      </c>
      <c r="R88" s="237"/>
      <c r="S88" s="244">
        <f>'50 кГЦ новый для ХК.01'!AU82</f>
        <v>79</v>
      </c>
      <c r="T88" s="247">
        <f>'50 кГЦ новый для ХК.01'!AV82</f>
        <v>2156</v>
      </c>
      <c r="U88" s="222">
        <f>'50 кГЦ новый для ХК.01'!BC82</f>
        <v>12953544.077601412</v>
      </c>
      <c r="V88" s="249">
        <f>'50 кГЦ новый для ХК.01'!BE82</f>
        <v>785063.27743038908</v>
      </c>
      <c r="W88" s="239">
        <f>'50 кГЦ новый для ХК.01'!BG82</f>
        <v>396959.84639104101</v>
      </c>
    </row>
    <row r="89" spans="3:23">
      <c r="C89" s="244">
        <f>'50 кГЦ новый для ХК.01'!O83</f>
        <v>80</v>
      </c>
      <c r="D89" s="245">
        <f>'50 кГЦ новый для ХК.01'!P83</f>
        <v>30.125</v>
      </c>
      <c r="E89" s="221">
        <f>'50 кГЦ новый для ХК.01'!W83</f>
        <v>34.019349610651702</v>
      </c>
      <c r="F89" s="251">
        <f t="shared" si="1"/>
        <v>34.019349610651702</v>
      </c>
      <c r="G89" s="241">
        <f>'50 кГЦ новый для ХК.01'!Y83</f>
        <v>17.201563471378762</v>
      </c>
      <c r="H89" s="234"/>
      <c r="I89" s="103"/>
      <c r="J89" s="246">
        <f>'50 кГЦ новый для ХК.01'!AD83</f>
        <v>80</v>
      </c>
      <c r="K89" s="247">
        <f>'50 кГЦ новый для ХК.01'!AE83</f>
        <v>247</v>
      </c>
      <c r="L89" s="221">
        <f>'50 кГЦ новый для ХК.01'!AL83</f>
        <v>669.27489339955332</v>
      </c>
      <c r="M89" s="251">
        <f>'50 кГЦ новый для ХК.01'!AN83</f>
        <v>66.927489339955201</v>
      </c>
      <c r="N89" s="241">
        <f>'50 кГЦ новый для ХК.01'!AP83</f>
        <v>33.841254140284839</v>
      </c>
      <c r="R89" s="237"/>
      <c r="S89" s="244">
        <f>'50 кГЦ новый для ХК.01'!AU83</f>
        <v>80</v>
      </c>
      <c r="T89" s="247">
        <f>'50 кГЦ новый для ХК.01'!AV83</f>
        <v>2183</v>
      </c>
      <c r="U89" s="222">
        <f>'50 кГЦ новый для ХК.01'!BC83</f>
        <v>14625659.81277545</v>
      </c>
      <c r="V89" s="249">
        <f>'50 кГЦ новый для ХК.01'!BE83</f>
        <v>886403.62501669442</v>
      </c>
      <c r="W89" s="239">
        <f>'50 кГЦ новый для ХК.01'!BG83</f>
        <v>448201.63793521712</v>
      </c>
    </row>
    <row r="90" spans="3:23">
      <c r="C90" s="244">
        <f>'50 кГЦ новый для ХК.01'!O84</f>
        <v>81</v>
      </c>
      <c r="D90" s="245">
        <f>'50 кГЦ новый для ХК.01'!P84</f>
        <v>30.5</v>
      </c>
      <c r="E90" s="221">
        <f>'50 кГЦ новый для ХК.01'!W84</f>
        <v>34.494991203478861</v>
      </c>
      <c r="F90" s="251">
        <f t="shared" si="1"/>
        <v>34.494991203478861</v>
      </c>
      <c r="G90" s="241">
        <f>'50 кГЦ новый для ХК.01'!Y84</f>
        <v>17.44206715949402</v>
      </c>
      <c r="H90" s="234"/>
      <c r="I90" s="103"/>
      <c r="J90" s="246">
        <f>'50 кГЦ новый для ХК.01'!AD84</f>
        <v>81</v>
      </c>
      <c r="K90" s="247">
        <f>'50 кГЦ новый для ХК.01'!AE84</f>
        <v>250</v>
      </c>
      <c r="L90" s="221">
        <f>'50 кГЦ новый для ХК.01'!AL84</f>
        <v>685.65488698715524</v>
      </c>
      <c r="M90" s="251">
        <f>'50 кГЦ новый для ХК.01'!AN84</f>
        <v>68.565488698715399</v>
      </c>
      <c r="N90" s="241">
        <f>'50 кГЦ новый для ХК.01'!AP84</f>
        <v>34.669493076603828</v>
      </c>
      <c r="R90" s="237"/>
      <c r="S90" s="244">
        <f>'50 кГЦ новый для ХК.01'!AU84</f>
        <v>81</v>
      </c>
      <c r="T90" s="247">
        <f>'50 кГЦ новый для ХК.01'!AV84</f>
        <v>2210</v>
      </c>
      <c r="U90" s="222">
        <f>'50 кГЦ новый для ХК.01'!BC84</f>
        <v>16511095.406592522</v>
      </c>
      <c r="V90" s="249">
        <f>'50 кГЦ новый для ХК.01'!BE84</f>
        <v>1000672.4488843959</v>
      </c>
      <c r="W90" s="239">
        <f>'50 кГЦ новый для ХК.01'!BG84</f>
        <v>505980.59164997656</v>
      </c>
    </row>
    <row r="91" spans="3:23">
      <c r="C91" s="244">
        <f>'50 кГЦ новый для ХК.01'!O85</f>
        <v>82</v>
      </c>
      <c r="D91" s="245">
        <f>'50 кГЦ новый для ХК.01'!P85</f>
        <v>30.875</v>
      </c>
      <c r="E91" s="221">
        <f>'50 кГЦ новый для ХК.01'!W85</f>
        <v>34.971995497712314</v>
      </c>
      <c r="F91" s="251">
        <f t="shared" si="1"/>
        <v>34.971995497712314</v>
      </c>
      <c r="G91" s="241">
        <f>'50 кГЦ новый для ХК.01'!Y85</f>
        <v>17.68325988473083</v>
      </c>
      <c r="H91" s="234"/>
      <c r="I91" s="103"/>
      <c r="J91" s="246">
        <f>'50 кГЦ новый для ХК.01'!AD85</f>
        <v>82</v>
      </c>
      <c r="K91" s="247">
        <f>'50 кГЦ новый для ХК.01'!AE85</f>
        <v>253</v>
      </c>
      <c r="L91" s="221">
        <f>'50 кГЦ новый для ХК.01'!AL85</f>
        <v>702.33461769928601</v>
      </c>
      <c r="M91" s="251">
        <f>'50 кГЦ новый для ХК.01'!AN85</f>
        <v>70.233461769928468</v>
      </c>
      <c r="N91" s="241">
        <f>'50 кГЦ новый для ХК.01'!AP85</f>
        <v>35.512887938098807</v>
      </c>
      <c r="R91" s="237"/>
      <c r="S91" s="244">
        <f>'50 кГЦ новый для ХК.01'!AU85</f>
        <v>82</v>
      </c>
      <c r="T91" s="247">
        <f>'50 кГЦ новый для ХК.01'!AV85</f>
        <v>2237</v>
      </c>
      <c r="U91" s="222">
        <f>'50 кГЦ новый для ХК.01'!BC85</f>
        <v>18636805.747770563</v>
      </c>
      <c r="V91" s="249">
        <f>'50 кГЦ новый для ХК.01'!BE85</f>
        <v>1129503.3786527622</v>
      </c>
      <c r="W91" s="239">
        <f>'50 кГЦ новый для ХК.01'!BG85</f>
        <v>571122.73695405212</v>
      </c>
    </row>
    <row r="92" spans="3:23">
      <c r="C92" s="244">
        <f>'50 кГЦ новый для ХК.01'!O86</f>
        <v>83</v>
      </c>
      <c r="D92" s="245">
        <f>'50 кГЦ новый для ХК.01'!P86</f>
        <v>31.25</v>
      </c>
      <c r="E92" s="221">
        <f>'50 кГЦ новый для ХК.01'!W86</f>
        <v>35.450365530011183</v>
      </c>
      <c r="F92" s="251">
        <f t="shared" si="1"/>
        <v>35.450365530011183</v>
      </c>
      <c r="G92" s="241">
        <f>'50 кГЦ новый для ХК.01'!Y86</f>
        <v>17.925143182547259</v>
      </c>
      <c r="H92" s="235"/>
      <c r="I92" s="103"/>
      <c r="J92" s="246">
        <f>'50 кГЦ новый для ХК.01'!AD86</f>
        <v>83</v>
      </c>
      <c r="K92" s="247">
        <f>'50 кГЦ новый для ХК.01'!AE86</f>
        <v>256</v>
      </c>
      <c r="L92" s="221">
        <f>'50 кГЦ новый для ХК.01'!AL86</f>
        <v>719.31895723077798</v>
      </c>
      <c r="M92" s="251">
        <f>'50 кГЦ новый для ХК.01'!AN86</f>
        <v>71.931895723077659</v>
      </c>
      <c r="N92" s="241">
        <f>'50 кГЦ новый для ХК.01'!AP86</f>
        <v>36.37168505742676</v>
      </c>
      <c r="R92" s="237"/>
      <c r="S92" s="244">
        <f>'50 кГЦ новый для ХК.01'!AU86</f>
        <v>83</v>
      </c>
      <c r="T92" s="247">
        <f>'50 кГЦ новый для ХК.01'!AV86</f>
        <v>2264</v>
      </c>
      <c r="U92" s="222">
        <f>'50 кГЦ новый для ХК.01'!BC86</f>
        <v>21033124.776175018</v>
      </c>
      <c r="V92" s="249">
        <f>'50 кГЦ новый для ХК.01'!BE86</f>
        <v>1274734.8349196988</v>
      </c>
      <c r="W92" s="239">
        <f>'50 кГЦ новый для ХК.01'!BG86</f>
        <v>644557.65389421454</v>
      </c>
    </row>
    <row r="93" spans="3:23">
      <c r="C93" s="244">
        <f>'50 кГЦ новый для ХК.01'!O87</f>
        <v>84</v>
      </c>
      <c r="D93" s="245">
        <f>'50 кГЦ новый для ХК.01'!P87</f>
        <v>31.625</v>
      </c>
      <c r="E93" s="221">
        <f>'50 кГЦ новый для ХК.01'!W87</f>
        <v>35.930104343107004</v>
      </c>
      <c r="F93" s="251">
        <f t="shared" si="1"/>
        <v>35.930104343107004</v>
      </c>
      <c r="G93" s="241">
        <f>'50 кГЦ новый для ХК.01'!Y87</f>
        <v>18.167718591471829</v>
      </c>
      <c r="H93" s="235"/>
      <c r="I93" s="103"/>
      <c r="J93" s="246">
        <f>'50 кГЦ новый для ХК.01'!AD87</f>
        <v>84</v>
      </c>
      <c r="K93" s="247">
        <f>'50 кГЦ новый для ХК.01'!AE87</f>
        <v>259</v>
      </c>
      <c r="L93" s="221">
        <f>'50 кГЦ новый для ХК.01'!AL87</f>
        <v>736.61285148556601</v>
      </c>
      <c r="M93" s="251">
        <f>'50 кГЦ новый для ХК.01'!AN87</f>
        <v>73.661285148556459</v>
      </c>
      <c r="N93" s="241">
        <f>'50 кГЦ новый для ХК.01'!AP87</f>
        <v>37.246134519558503</v>
      </c>
      <c r="R93" s="237"/>
      <c r="S93" s="244">
        <f>'50 кГЦ новый для ХК.01'!AU87</f>
        <v>84</v>
      </c>
      <c r="T93" s="247">
        <f>'50 кГЦ новый для ХК.01'!AV87</f>
        <v>2291</v>
      </c>
      <c r="U93" s="222">
        <f>'50 кГЦ новый для ХК.01'!BC87</f>
        <v>23734186.253201522</v>
      </c>
      <c r="V93" s="249">
        <f>'50 кГЦ новый для ХК.01'!BE87</f>
        <v>1438435.5304970627</v>
      </c>
      <c r="W93" s="239">
        <f>'50 кГЦ новый для ХК.01'!BG87</f>
        <v>727331.36760452006</v>
      </c>
    </row>
    <row r="94" spans="3:23">
      <c r="C94" s="244">
        <f>'50 кГЦ новый для ХК.01'!O88</f>
        <v>85</v>
      </c>
      <c r="D94" s="245">
        <f>'50 кГЦ новый для ХК.01'!P88</f>
        <v>32</v>
      </c>
      <c r="E94" s="221">
        <f>'50 кГЦ новый для ХК.01'!W88</f>
        <v>36.411214985815093</v>
      </c>
      <c r="F94" s="251">
        <f t="shared" si="1"/>
        <v>36.411214985815093</v>
      </c>
      <c r="G94" s="241">
        <f>'50 кГЦ новый для ХК.01'!Y88</f>
        <v>18.410987653109263</v>
      </c>
      <c r="H94" s="235"/>
      <c r="I94" s="103"/>
      <c r="J94" s="246">
        <f>'50 кГЦ новый для ХК.01'!AD88</f>
        <v>85</v>
      </c>
      <c r="K94" s="247">
        <f>'50 кГЦ новый для ХК.01'!AE88</f>
        <v>262</v>
      </c>
      <c r="L94" s="221">
        <f>'50 кГЦ новый для ХК.01'!AL88</f>
        <v>754.2213216617082</v>
      </c>
      <c r="M94" s="251">
        <f>'50 кГЦ новый для ХК.01'!AN88</f>
        <v>75.422132166170684</v>
      </c>
      <c r="N94" s="241">
        <f>'50 кГЦ новый для ХК.01'!AP88</f>
        <v>38.136490216640887</v>
      </c>
      <c r="R94" s="237"/>
      <c r="S94" s="244">
        <f>'50 кГЦ новый для ХК.01'!AU88</f>
        <v>85</v>
      </c>
      <c r="T94" s="247">
        <f>'50 кГЦ новый для ХК.01'!AV88</f>
        <v>2318</v>
      </c>
      <c r="U94" s="222">
        <f>'50 кГЦ новый для ХК.01'!BC88</f>
        <v>26778396.629111394</v>
      </c>
      <c r="V94" s="249">
        <f>'50 кГЦ новый для ХК.01'!BE88</f>
        <v>1622933.1290370552</v>
      </c>
      <c r="W94" s="239">
        <f>'50 кГЦ новый для ХК.01'!BG88</f>
        <v>820620.83927063749</v>
      </c>
    </row>
    <row r="95" spans="3:23">
      <c r="C95" s="62"/>
      <c r="D95" s="62"/>
      <c r="E95" s="62"/>
      <c r="F95" s="62"/>
      <c r="G95" s="62"/>
      <c r="I95" s="237"/>
      <c r="J95" s="246">
        <f>'50 кГЦ новый для ХК.01'!AD89</f>
        <v>86</v>
      </c>
      <c r="K95" s="247">
        <f>'50 кГЦ новый для ХК.01'!AE89</f>
        <v>265</v>
      </c>
      <c r="L95" s="221">
        <f>'50 кГЦ новый для ХК.01'!AL89</f>
        <v>772.14946535183594</v>
      </c>
      <c r="M95" s="251">
        <f>'50 кГЦ новый для ХК.01'!AN89</f>
        <v>77.214946535183444</v>
      </c>
      <c r="N95" s="241">
        <f>'50 кГЦ новый для ХК.01'!AP89</f>
        <v>39.043009903640268</v>
      </c>
      <c r="R95" s="237"/>
      <c r="S95" s="244">
        <f>'50 кГЦ новый для ХК.01'!AU89</f>
        <v>86</v>
      </c>
      <c r="T95" s="247">
        <f>'50 кГЦ новый для ХК.01'!AV89</f>
        <v>2345</v>
      </c>
      <c r="U95" s="222">
        <f>'50 кГЦ новый для ХК.01'!BC89</f>
        <v>30208966.425826367</v>
      </c>
      <c r="V95" s="249">
        <f>'50 кГЦ новый для ХК.01'!BE89</f>
        <v>1830846.4500500839</v>
      </c>
      <c r="W95" s="239">
        <f>'50 кГЦ новый для ХК.01'!BG89</f>
        <v>925750.25029355835</v>
      </c>
    </row>
    <row r="96" spans="3:23">
      <c r="U96" s="237"/>
    </row>
  </sheetData>
  <mergeCells count="12">
    <mergeCell ref="C8:G8"/>
    <mergeCell ref="J8:N8"/>
    <mergeCell ref="S8:W8"/>
    <mergeCell ref="T5:W5"/>
    <mergeCell ref="T6:W6"/>
    <mergeCell ref="T7:W7"/>
    <mergeCell ref="D5:G5"/>
    <mergeCell ref="D6:G6"/>
    <mergeCell ref="D7:G7"/>
    <mergeCell ref="K5:N5"/>
    <mergeCell ref="K6:N6"/>
    <mergeCell ref="K7:N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Z91"/>
  <sheetViews>
    <sheetView topLeftCell="A16" zoomScale="70" zoomScaleNormal="70" workbookViewId="0">
      <selection activeCell="AE65" sqref="AE65"/>
    </sheetView>
  </sheetViews>
  <sheetFormatPr defaultRowHeight="14.4"/>
  <cols>
    <col min="1" max="1" width="13.21875" customWidth="1"/>
    <col min="2" max="2" width="5.109375" style="261" customWidth="1"/>
    <col min="3" max="3" width="6.6640625" style="261" customWidth="1"/>
    <col min="4" max="4" width="7.44140625" style="261" customWidth="1"/>
    <col min="5" max="5" width="4.44140625" customWidth="1"/>
    <col min="6" max="6" width="5.33203125" style="261" customWidth="1"/>
    <col min="7" max="7" width="7.21875" style="262" customWidth="1"/>
    <col min="8" max="8" width="6.88671875" style="262" customWidth="1"/>
    <col min="9" max="9" width="4.21875" customWidth="1"/>
    <col min="10" max="10" width="8.88671875" style="261"/>
  </cols>
  <sheetData>
    <row r="2" spans="2:14">
      <c r="B2" s="280">
        <v>1</v>
      </c>
      <c r="C2" s="280"/>
      <c r="D2" s="280"/>
      <c r="F2" s="280">
        <v>2</v>
      </c>
      <c r="G2" s="280"/>
      <c r="H2" s="280"/>
    </row>
    <row r="3" spans="2:14">
      <c r="B3" s="265" t="s">
        <v>283</v>
      </c>
      <c r="C3" s="265">
        <v>16</v>
      </c>
      <c r="D3" s="264">
        <v>10</v>
      </c>
      <c r="F3" s="265" t="str">
        <f>B3</f>
        <v>Шаг</v>
      </c>
      <c r="G3" s="268">
        <v>16</v>
      </c>
      <c r="H3" s="269">
        <v>10</v>
      </c>
      <c r="J3" s="261" t="s">
        <v>234</v>
      </c>
    </row>
    <row r="4" spans="2:14">
      <c r="B4" s="266">
        <v>1</v>
      </c>
      <c r="C4" s="266" t="s">
        <v>255</v>
      </c>
      <c r="D4" s="261">
        <f>HEX2DEC(C4)</f>
        <v>255</v>
      </c>
      <c r="F4" s="266">
        <f>B4</f>
        <v>1</v>
      </c>
      <c r="G4" s="267" t="s">
        <v>255</v>
      </c>
      <c r="H4" s="262">
        <f>HEX2DEC(G4)</f>
        <v>255</v>
      </c>
      <c r="J4" s="261">
        <f>(256-D4)*(256-H4)</f>
        <v>1</v>
      </c>
      <c r="L4">
        <v>1</v>
      </c>
      <c r="M4">
        <f>L4*3.6*0.5*1.2</f>
        <v>2.16</v>
      </c>
      <c r="N4">
        <f>'КУ для 240 кГц '!E10</f>
        <v>0.30121406001021767</v>
      </c>
    </row>
    <row r="5" spans="2:14">
      <c r="B5" s="266">
        <f>B4+1</f>
        <v>2</v>
      </c>
      <c r="C5" s="266" t="s">
        <v>255</v>
      </c>
      <c r="D5" s="261">
        <f t="shared" ref="D5:D68" si="0">HEX2DEC(C5)</f>
        <v>255</v>
      </c>
      <c r="F5" s="266">
        <f t="shared" ref="F5:F68" si="1">B5</f>
        <v>2</v>
      </c>
      <c r="G5" s="267" t="s">
        <v>255</v>
      </c>
      <c r="H5" s="262">
        <f t="shared" ref="H5:H68" si="2">HEX2DEC(G5)</f>
        <v>255</v>
      </c>
      <c r="J5" s="261">
        <f t="shared" ref="J5:J68" si="3">(256-D5)*(256-H5)</f>
        <v>1</v>
      </c>
      <c r="L5">
        <v>1</v>
      </c>
      <c r="M5">
        <f t="shared" ref="M5:M68" si="4">L5*3.6*0.5*1.2</f>
        <v>2.16</v>
      </c>
      <c r="N5">
        <f>'КУ для 240 кГц '!E11</f>
        <v>0.68116172951925102</v>
      </c>
    </row>
    <row r="6" spans="2:14">
      <c r="B6" s="266">
        <f t="shared" ref="B6:B69" si="5">B5+1</f>
        <v>3</v>
      </c>
      <c r="C6" s="266" t="s">
        <v>255</v>
      </c>
      <c r="D6" s="261">
        <f t="shared" si="0"/>
        <v>255</v>
      </c>
      <c r="F6" s="266">
        <f t="shared" si="1"/>
        <v>3</v>
      </c>
      <c r="G6" s="267" t="s">
        <v>255</v>
      </c>
      <c r="H6" s="262">
        <f t="shared" si="2"/>
        <v>255</v>
      </c>
      <c r="J6" s="261">
        <f t="shared" si="3"/>
        <v>1</v>
      </c>
      <c r="L6">
        <v>1</v>
      </c>
      <c r="M6">
        <f t="shared" si="4"/>
        <v>2.16</v>
      </c>
      <c r="N6">
        <f>'КУ для 240 кГц '!E12</f>
        <v>1.0649476198713399</v>
      </c>
    </row>
    <row r="7" spans="2:14">
      <c r="B7" s="266">
        <f t="shared" si="5"/>
        <v>4</v>
      </c>
      <c r="C7" s="266" t="s">
        <v>255</v>
      </c>
      <c r="D7" s="261">
        <f t="shared" si="0"/>
        <v>255</v>
      </c>
      <c r="F7" s="266">
        <f t="shared" si="1"/>
        <v>4</v>
      </c>
      <c r="G7" s="267" t="s">
        <v>255</v>
      </c>
      <c r="H7" s="262">
        <f t="shared" si="2"/>
        <v>255</v>
      </c>
      <c r="J7" s="261">
        <f t="shared" si="3"/>
        <v>1</v>
      </c>
      <c r="L7">
        <v>1</v>
      </c>
      <c r="M7">
        <f t="shared" si="4"/>
        <v>2.16</v>
      </c>
      <c r="N7">
        <f>'КУ для 240 кГц '!E13</f>
        <v>1.4526008501994547</v>
      </c>
    </row>
    <row r="8" spans="2:14">
      <c r="B8" s="266">
        <f t="shared" si="5"/>
        <v>5</v>
      </c>
      <c r="C8" s="266" t="s">
        <v>255</v>
      </c>
      <c r="D8" s="261">
        <f t="shared" si="0"/>
        <v>255</v>
      </c>
      <c r="F8" s="266">
        <f t="shared" si="1"/>
        <v>5</v>
      </c>
      <c r="G8" s="267" t="s">
        <v>255</v>
      </c>
      <c r="H8" s="262">
        <f t="shared" si="2"/>
        <v>255</v>
      </c>
      <c r="J8" s="261">
        <f t="shared" si="3"/>
        <v>1</v>
      </c>
      <c r="L8">
        <v>1</v>
      </c>
      <c r="M8">
        <f t="shared" si="4"/>
        <v>2.16</v>
      </c>
      <c r="N8">
        <f>'КУ для 240 кГц '!E14</f>
        <v>1.8441507360720208</v>
      </c>
    </row>
    <row r="9" spans="2:14">
      <c r="B9" s="266">
        <f t="shared" si="5"/>
        <v>6</v>
      </c>
      <c r="C9" s="266" t="s">
        <v>256</v>
      </c>
      <c r="D9" s="261">
        <f t="shared" si="0"/>
        <v>253</v>
      </c>
      <c r="F9" s="266">
        <f t="shared" si="1"/>
        <v>6</v>
      </c>
      <c r="G9" s="267" t="s">
        <v>256</v>
      </c>
      <c r="H9" s="262">
        <f t="shared" si="2"/>
        <v>253</v>
      </c>
      <c r="J9" s="261">
        <f t="shared" si="3"/>
        <v>9</v>
      </c>
      <c r="L9">
        <f>Z74*Z74</f>
        <v>1.0404</v>
      </c>
      <c r="M9">
        <f t="shared" si="4"/>
        <v>2.2472639999999999</v>
      </c>
      <c r="N9">
        <f>'КУ для 240 кГц '!E15</f>
        <v>2.2396267907354028</v>
      </c>
    </row>
    <row r="10" spans="2:14">
      <c r="B10" s="266">
        <f t="shared" si="5"/>
        <v>7</v>
      </c>
      <c r="C10" s="266" t="s">
        <v>257</v>
      </c>
      <c r="D10" s="261">
        <f t="shared" si="0"/>
        <v>233</v>
      </c>
      <c r="F10" s="266">
        <f t="shared" si="1"/>
        <v>7</v>
      </c>
      <c r="G10" s="267" t="s">
        <v>284</v>
      </c>
      <c r="H10" s="262">
        <f t="shared" si="2"/>
        <v>235</v>
      </c>
      <c r="J10" s="261">
        <f t="shared" si="3"/>
        <v>483</v>
      </c>
      <c r="L10">
        <f>Z54*Z56</f>
        <v>1.2210000000000003</v>
      </c>
      <c r="M10">
        <f t="shared" si="4"/>
        <v>2.6373600000000006</v>
      </c>
      <c r="N10">
        <f>'КУ для 240 кГц '!E16</f>
        <v>2.6390587263639325</v>
      </c>
    </row>
    <row r="11" spans="2:14">
      <c r="B11" s="266">
        <f t="shared" si="5"/>
        <v>8</v>
      </c>
      <c r="C11" s="266" t="s">
        <v>258</v>
      </c>
      <c r="D11" s="261">
        <f t="shared" si="0"/>
        <v>218</v>
      </c>
      <c r="F11" s="266">
        <f t="shared" si="1"/>
        <v>8</v>
      </c>
      <c r="G11" s="267" t="s">
        <v>285</v>
      </c>
      <c r="H11" s="262">
        <f t="shared" si="2"/>
        <v>219</v>
      </c>
      <c r="J11" s="261">
        <f t="shared" si="3"/>
        <v>1406</v>
      </c>
      <c r="L11">
        <f>Z39*Z40</f>
        <v>1.4041999999999999</v>
      </c>
      <c r="M11">
        <f t="shared" si="4"/>
        <v>3.0330719999999998</v>
      </c>
      <c r="N11">
        <f>'КУ для 240 кГц '!E17</f>
        <v>3.0424764553175296</v>
      </c>
    </row>
    <row r="12" spans="2:14">
      <c r="B12" s="266">
        <f t="shared" si="5"/>
        <v>9</v>
      </c>
      <c r="C12" s="266" t="s">
        <v>259</v>
      </c>
      <c r="D12" s="261">
        <f t="shared" si="0"/>
        <v>206</v>
      </c>
      <c r="F12" s="266">
        <f t="shared" si="1"/>
        <v>9</v>
      </c>
      <c r="G12" s="267" t="s">
        <v>286</v>
      </c>
      <c r="H12" s="262">
        <f t="shared" si="2"/>
        <v>204</v>
      </c>
      <c r="J12" s="261">
        <f t="shared" si="3"/>
        <v>2600</v>
      </c>
      <c r="L12">
        <f>X81*X79</f>
        <v>1.6002000000000001</v>
      </c>
      <c r="M12">
        <f t="shared" si="4"/>
        <v>3.4564319999999999</v>
      </c>
      <c r="N12">
        <f>'КУ для 240 кГц '!E18</f>
        <v>3.4499100914069514</v>
      </c>
    </row>
    <row r="13" spans="2:14">
      <c r="B13" s="266">
        <f t="shared" si="5"/>
        <v>10</v>
      </c>
      <c r="C13" s="266" t="s">
        <v>260</v>
      </c>
      <c r="D13" s="261">
        <f t="shared" si="0"/>
        <v>194</v>
      </c>
      <c r="F13" s="266">
        <f t="shared" si="1"/>
        <v>10</v>
      </c>
      <c r="G13" s="267" t="s">
        <v>287</v>
      </c>
      <c r="H13" s="262">
        <f t="shared" si="2"/>
        <v>195</v>
      </c>
      <c r="J13" s="261">
        <f t="shared" si="3"/>
        <v>3782</v>
      </c>
      <c r="L13">
        <f>X69*X70</f>
        <v>1.7822000000000002</v>
      </c>
      <c r="M13">
        <f t="shared" si="4"/>
        <v>3.8495520000000001</v>
      </c>
      <c r="N13">
        <f>'КУ для 240 кГц '!E19</f>
        <v>3.8613899511667316</v>
      </c>
    </row>
    <row r="14" spans="2:14">
      <c r="B14" s="266">
        <f t="shared" si="5"/>
        <v>11</v>
      </c>
      <c r="C14" s="266" t="s">
        <v>261</v>
      </c>
      <c r="D14" s="261">
        <f t="shared" si="0"/>
        <v>184</v>
      </c>
      <c r="F14" s="266">
        <f t="shared" si="1"/>
        <v>11</v>
      </c>
      <c r="G14" s="267" t="s">
        <v>288</v>
      </c>
      <c r="H14" s="262">
        <f t="shared" si="2"/>
        <v>186</v>
      </c>
      <c r="J14" s="261">
        <f t="shared" si="3"/>
        <v>5040</v>
      </c>
      <c r="L14">
        <f>X59*X61</f>
        <v>1.9739999999999998</v>
      </c>
      <c r="M14">
        <f t="shared" si="4"/>
        <v>4.2638399999999992</v>
      </c>
      <c r="N14">
        <f>'КУ для 240 кГц '!E20</f>
        <v>4.2769465551358268</v>
      </c>
    </row>
    <row r="15" spans="2:14">
      <c r="B15" s="266">
        <f t="shared" si="5"/>
        <v>12</v>
      </c>
      <c r="C15" s="266" t="s">
        <v>298</v>
      </c>
      <c r="D15" s="261">
        <f t="shared" si="0"/>
        <v>176</v>
      </c>
      <c r="F15" s="266">
        <f t="shared" si="1"/>
        <v>12</v>
      </c>
      <c r="G15" s="267" t="s">
        <v>299</v>
      </c>
      <c r="H15" s="262">
        <f t="shared" si="2"/>
        <v>177</v>
      </c>
      <c r="J15" s="261">
        <f t="shared" si="3"/>
        <v>6320</v>
      </c>
      <c r="L15">
        <f>X51*X52</f>
        <v>2.1903999999999999</v>
      </c>
      <c r="M15">
        <f t="shared" si="4"/>
        <v>4.7312639999999995</v>
      </c>
      <c r="N15">
        <f>'КУ для 240 кГц '!E21</f>
        <v>4.6966106291460585</v>
      </c>
    </row>
    <row r="16" spans="2:14">
      <c r="B16" s="266">
        <f t="shared" si="5"/>
        <v>13</v>
      </c>
      <c r="C16" s="266" t="s">
        <v>262</v>
      </c>
      <c r="D16" s="261">
        <f t="shared" si="0"/>
        <v>168</v>
      </c>
      <c r="F16" s="266">
        <f t="shared" si="1"/>
        <v>13</v>
      </c>
      <c r="G16" s="267" t="s">
        <v>289</v>
      </c>
      <c r="H16" s="262">
        <f t="shared" si="2"/>
        <v>169</v>
      </c>
      <c r="J16" s="261">
        <f t="shared" si="3"/>
        <v>7656</v>
      </c>
      <c r="L16">
        <f>X43*X44</f>
        <v>2.3562000000000003</v>
      </c>
      <c r="M16">
        <f t="shared" si="4"/>
        <v>5.089392000000001</v>
      </c>
      <c r="N16">
        <f>'КУ для 240 кГц '!E22</f>
        <v>5.1204131056183444</v>
      </c>
    </row>
    <row r="17" spans="2:14">
      <c r="B17" s="266">
        <f t="shared" si="5"/>
        <v>14</v>
      </c>
      <c r="C17" s="266" t="s">
        <v>263</v>
      </c>
      <c r="D17" s="261">
        <f t="shared" si="0"/>
        <v>161</v>
      </c>
      <c r="F17" s="266">
        <f t="shared" si="1"/>
        <v>14</v>
      </c>
      <c r="G17" s="267" t="s">
        <v>263</v>
      </c>
      <c r="H17" s="262">
        <f t="shared" si="2"/>
        <v>161</v>
      </c>
      <c r="J17" s="261">
        <f t="shared" si="3"/>
        <v>9025</v>
      </c>
      <c r="L17">
        <f>V90*V90</f>
        <v>2.5600000000000005</v>
      </c>
      <c r="M17">
        <f t="shared" si="4"/>
        <v>5.5296000000000012</v>
      </c>
      <c r="N17">
        <f>'КУ для 240 кГц '!E23</f>
        <v>5.5483851248668135</v>
      </c>
    </row>
    <row r="18" spans="2:14">
      <c r="B18" s="266">
        <f t="shared" si="5"/>
        <v>15</v>
      </c>
      <c r="C18" s="266" t="s">
        <v>264</v>
      </c>
      <c r="D18" s="261">
        <f t="shared" si="0"/>
        <v>156</v>
      </c>
      <c r="F18" s="266">
        <f t="shared" si="1"/>
        <v>15</v>
      </c>
      <c r="G18" s="267" t="s">
        <v>264</v>
      </c>
      <c r="H18" s="262">
        <f t="shared" si="2"/>
        <v>156</v>
      </c>
      <c r="J18" s="261">
        <f t="shared" si="3"/>
        <v>10000</v>
      </c>
      <c r="L18">
        <f>V85*V85</f>
        <v>2.7555999999999998</v>
      </c>
      <c r="M18">
        <f t="shared" si="4"/>
        <v>5.9520959999999992</v>
      </c>
      <c r="N18">
        <f>'КУ для 240 кГц '!E24</f>
        <v>5.9805580364108124</v>
      </c>
    </row>
    <row r="19" spans="2:14">
      <c r="B19" s="266">
        <f t="shared" si="5"/>
        <v>16</v>
      </c>
      <c r="C19" s="266">
        <v>96</v>
      </c>
      <c r="D19" s="261">
        <f t="shared" si="0"/>
        <v>150</v>
      </c>
      <c r="F19" s="266">
        <f t="shared" si="1"/>
        <v>16</v>
      </c>
      <c r="G19" s="267">
        <v>96</v>
      </c>
      <c r="H19" s="262">
        <f t="shared" si="2"/>
        <v>150</v>
      </c>
      <c r="J19" s="261">
        <f t="shared" si="3"/>
        <v>11236</v>
      </c>
      <c r="L19">
        <f>V79*V79</f>
        <v>2.9929000000000001</v>
      </c>
      <c r="M19">
        <f t="shared" si="4"/>
        <v>6.464664</v>
      </c>
      <c r="N19">
        <f>'КУ для 240 кГц '!E25</f>
        <v>6.4169634002948817</v>
      </c>
    </row>
    <row r="20" spans="2:14">
      <c r="B20" s="266">
        <f t="shared" si="5"/>
        <v>17</v>
      </c>
      <c r="C20" s="266">
        <v>92</v>
      </c>
      <c r="D20" s="261">
        <f t="shared" si="0"/>
        <v>146</v>
      </c>
      <c r="F20" s="266">
        <f t="shared" si="1"/>
        <v>17</v>
      </c>
      <c r="G20" s="267">
        <v>91</v>
      </c>
      <c r="H20" s="262">
        <f t="shared" si="2"/>
        <v>145</v>
      </c>
      <c r="J20" s="261">
        <f t="shared" si="3"/>
        <v>12210</v>
      </c>
      <c r="L20">
        <f>V75*V74</f>
        <v>3.1861999999999999</v>
      </c>
      <c r="M20">
        <f t="shared" si="4"/>
        <v>6.882191999999999</v>
      </c>
      <c r="N20">
        <f>'КУ для 240 кГц '!E26</f>
        <v>6.8576329884167393</v>
      </c>
    </row>
    <row r="21" spans="2:14">
      <c r="B21" s="266">
        <f t="shared" si="5"/>
        <v>18</v>
      </c>
      <c r="C21" s="266" t="s">
        <v>265</v>
      </c>
      <c r="D21" s="261">
        <f t="shared" si="0"/>
        <v>141</v>
      </c>
      <c r="F21" s="266">
        <f t="shared" si="1"/>
        <v>18</v>
      </c>
      <c r="G21" s="267" t="s">
        <v>290</v>
      </c>
      <c r="H21" s="262">
        <f t="shared" si="2"/>
        <v>140</v>
      </c>
      <c r="J21" s="261">
        <f t="shared" si="3"/>
        <v>13340</v>
      </c>
      <c r="L21">
        <f>V70*V69</f>
        <v>3.3855000000000004</v>
      </c>
      <c r="M21">
        <f t="shared" si="4"/>
        <v>7.3126800000000003</v>
      </c>
      <c r="N21">
        <f>'КУ для 240 кГц '!E27</f>
        <v>7.3025987858632666</v>
      </c>
    </row>
    <row r="22" spans="2:14">
      <c r="B22" s="266">
        <f t="shared" si="5"/>
        <v>19</v>
      </c>
      <c r="C22" s="266">
        <v>89</v>
      </c>
      <c r="D22" s="261">
        <f t="shared" si="0"/>
        <v>137</v>
      </c>
      <c r="F22" s="266">
        <f t="shared" si="1"/>
        <v>19</v>
      </c>
      <c r="G22" s="267">
        <v>89</v>
      </c>
      <c r="H22" s="262">
        <f t="shared" si="2"/>
        <v>137</v>
      </c>
      <c r="J22" s="261">
        <f t="shared" si="3"/>
        <v>14161</v>
      </c>
      <c r="L22">
        <f>V66*V66</f>
        <v>3.5720999999999998</v>
      </c>
      <c r="M22">
        <f t="shared" si="4"/>
        <v>7.7157359999999997</v>
      </c>
      <c r="N22">
        <f>'КУ для 240 кГц '!E28</f>
        <v>7.7518929922546755</v>
      </c>
    </row>
    <row r="23" spans="2:14">
      <c r="B23" s="266">
        <f t="shared" si="5"/>
        <v>20</v>
      </c>
      <c r="C23" s="266">
        <v>85</v>
      </c>
      <c r="D23" s="261">
        <f t="shared" si="0"/>
        <v>133</v>
      </c>
      <c r="F23" s="266">
        <f t="shared" si="1"/>
        <v>20</v>
      </c>
      <c r="G23" s="267">
        <v>85</v>
      </c>
      <c r="H23" s="262">
        <f t="shared" si="2"/>
        <v>133</v>
      </c>
      <c r="J23" s="261">
        <f t="shared" si="3"/>
        <v>15129</v>
      </c>
      <c r="L23">
        <f>V62*V62</f>
        <v>3.8024999999999998</v>
      </c>
      <c r="M23">
        <f t="shared" si="4"/>
        <v>8.2134</v>
      </c>
      <c r="N23">
        <f>'КУ для 240 кГц '!E29</f>
        <v>8.2055480230967355</v>
      </c>
    </row>
    <row r="24" spans="2:14">
      <c r="B24" s="266">
        <f t="shared" si="5"/>
        <v>21</v>
      </c>
      <c r="C24" s="266">
        <v>82</v>
      </c>
      <c r="D24" s="261">
        <f t="shared" si="0"/>
        <v>130</v>
      </c>
      <c r="F24" s="266">
        <f t="shared" si="1"/>
        <v>21</v>
      </c>
      <c r="G24" s="267">
        <v>82</v>
      </c>
      <c r="H24" s="262">
        <f t="shared" si="2"/>
        <v>130</v>
      </c>
      <c r="J24" s="261">
        <f t="shared" si="3"/>
        <v>15876</v>
      </c>
      <c r="L24">
        <f>V59*V59</f>
        <v>4</v>
      </c>
      <c r="M24">
        <f t="shared" si="4"/>
        <v>8.64</v>
      </c>
      <c r="N24">
        <f>'КУ для 240 кГц '!E30</f>
        <v>8.6635965111412503</v>
      </c>
    </row>
    <row r="25" spans="2:14">
      <c r="B25" s="266">
        <f t="shared" si="5"/>
        <v>22</v>
      </c>
      <c r="C25" s="266" t="s">
        <v>266</v>
      </c>
      <c r="D25" s="261">
        <f t="shared" si="0"/>
        <v>126</v>
      </c>
      <c r="F25" s="266">
        <f t="shared" si="1"/>
        <v>22</v>
      </c>
      <c r="G25" s="267" t="s">
        <v>266</v>
      </c>
      <c r="H25" s="262">
        <f t="shared" si="2"/>
        <v>126</v>
      </c>
      <c r="J25" s="261">
        <f t="shared" si="3"/>
        <v>16900</v>
      </c>
      <c r="L25">
        <f>V55*V55</f>
        <v>4.2435999999999998</v>
      </c>
      <c r="M25">
        <f t="shared" si="4"/>
        <v>9.1661759999999983</v>
      </c>
      <c r="N25">
        <f>'КУ для 240 кГц '!E31</f>
        <v>9.1260713077547368</v>
      </c>
    </row>
    <row r="26" spans="2:14">
      <c r="B26" s="266">
        <f t="shared" si="5"/>
        <v>23</v>
      </c>
      <c r="C26" s="266" t="s">
        <v>267</v>
      </c>
      <c r="D26" s="261">
        <f t="shared" si="0"/>
        <v>123</v>
      </c>
      <c r="F26" s="266">
        <f t="shared" si="1"/>
        <v>23</v>
      </c>
      <c r="G26" s="267" t="s">
        <v>291</v>
      </c>
      <c r="H26" s="262">
        <f t="shared" si="2"/>
        <v>124</v>
      </c>
      <c r="J26" s="261">
        <f t="shared" si="3"/>
        <v>17556</v>
      </c>
      <c r="L26">
        <f>V52*V53</f>
        <v>4.4520000000000008</v>
      </c>
      <c r="M26">
        <f t="shared" si="4"/>
        <v>9.6163200000000018</v>
      </c>
      <c r="N26">
        <f>'КУ для 240 кГц '!E32</f>
        <v>9.5930054842954409</v>
      </c>
    </row>
    <row r="27" spans="2:14">
      <c r="B27" s="266">
        <f t="shared" si="5"/>
        <v>24</v>
      </c>
      <c r="C27" s="266">
        <v>78</v>
      </c>
      <c r="D27" s="261">
        <f t="shared" si="0"/>
        <v>120</v>
      </c>
      <c r="F27" s="266">
        <f t="shared" si="1"/>
        <v>24</v>
      </c>
      <c r="G27" s="267">
        <v>79</v>
      </c>
      <c r="H27" s="262">
        <f t="shared" si="2"/>
        <v>121</v>
      </c>
      <c r="J27" s="261">
        <f t="shared" si="3"/>
        <v>18360</v>
      </c>
      <c r="L27">
        <f>V49*V50</f>
        <v>4.6440000000000001</v>
      </c>
      <c r="M27">
        <f t="shared" si="4"/>
        <v>10.031040000000001</v>
      </c>
      <c r="N27">
        <f>'КУ для 240 кГц '!E33</f>
        <v>10.064432333498624</v>
      </c>
    </row>
    <row r="28" spans="2:14">
      <c r="B28" s="266">
        <f t="shared" si="5"/>
        <v>25</v>
      </c>
      <c r="C28" s="266">
        <v>75</v>
      </c>
      <c r="D28" s="261">
        <f t="shared" si="0"/>
        <v>117</v>
      </c>
      <c r="F28" s="266">
        <f t="shared" si="1"/>
        <v>25</v>
      </c>
      <c r="G28" s="267">
        <v>76</v>
      </c>
      <c r="H28" s="262">
        <f t="shared" si="2"/>
        <v>118</v>
      </c>
      <c r="J28" s="261">
        <f t="shared" si="3"/>
        <v>19182</v>
      </c>
      <c r="L28">
        <f>V46*V47</f>
        <v>4.9060000000000006</v>
      </c>
      <c r="M28">
        <f t="shared" si="4"/>
        <v>10.596960000000001</v>
      </c>
      <c r="N28">
        <f>'КУ для 240 кГц '!E34</f>
        <v>10.54038537087032</v>
      </c>
    </row>
    <row r="29" spans="2:14">
      <c r="B29" s="266">
        <f t="shared" si="5"/>
        <v>26</v>
      </c>
      <c r="C29" s="266">
        <v>73</v>
      </c>
      <c r="D29" s="261">
        <f t="shared" si="0"/>
        <v>115</v>
      </c>
      <c r="F29" s="266">
        <f t="shared" si="1"/>
        <v>26</v>
      </c>
      <c r="G29" s="267">
        <v>73</v>
      </c>
      <c r="H29" s="262">
        <f t="shared" si="2"/>
        <v>115</v>
      </c>
      <c r="J29" s="261">
        <f t="shared" si="3"/>
        <v>19881</v>
      </c>
      <c r="L29">
        <f>V44*V44</f>
        <v>5.1075999999999988</v>
      </c>
      <c r="M29">
        <f t="shared" si="4"/>
        <v>11.032415999999998</v>
      </c>
      <c r="N29">
        <f>'КУ для 240 кГц '!E35</f>
        <v>11.02089833608944</v>
      </c>
    </row>
    <row r="30" spans="2:14">
      <c r="B30" s="266">
        <f t="shared" si="5"/>
        <v>27</v>
      </c>
      <c r="C30" s="266">
        <v>71</v>
      </c>
      <c r="D30" s="261">
        <f t="shared" si="0"/>
        <v>113</v>
      </c>
      <c r="F30" s="266">
        <f t="shared" si="1"/>
        <v>27</v>
      </c>
      <c r="G30" s="267">
        <v>70</v>
      </c>
      <c r="H30" s="262">
        <f t="shared" si="2"/>
        <v>112</v>
      </c>
      <c r="J30" s="261">
        <f t="shared" si="3"/>
        <v>20592</v>
      </c>
      <c r="L30">
        <f>V42*V41</f>
        <v>5.3359999999999994</v>
      </c>
      <c r="M30">
        <f t="shared" si="4"/>
        <v>11.525759999999998</v>
      </c>
      <c r="N30">
        <f>'КУ для 240 кГц '!E36</f>
        <v>11.506005194418453</v>
      </c>
    </row>
    <row r="31" spans="2:14">
      <c r="B31" s="266">
        <f t="shared" si="5"/>
        <v>28</v>
      </c>
      <c r="C31" s="266" t="s">
        <v>268</v>
      </c>
      <c r="D31" s="261">
        <f t="shared" si="0"/>
        <v>110</v>
      </c>
      <c r="F31" s="266">
        <f t="shared" si="1"/>
        <v>28</v>
      </c>
      <c r="G31" s="267" t="s">
        <v>268</v>
      </c>
      <c r="H31" s="262">
        <f t="shared" si="2"/>
        <v>110</v>
      </c>
      <c r="J31" s="261">
        <f t="shared" si="3"/>
        <v>21316</v>
      </c>
      <c r="L31">
        <f>V39*V39</f>
        <v>5.6643999999999997</v>
      </c>
      <c r="M31">
        <f t="shared" si="4"/>
        <v>12.235103999999998</v>
      </c>
      <c r="N31">
        <f>'КУ для 240 кГц '!E37</f>
        <v>11.995740138122505</v>
      </c>
    </row>
    <row r="32" spans="2:14">
      <c r="B32" s="266">
        <f t="shared" si="5"/>
        <v>29</v>
      </c>
      <c r="C32" s="266" t="s">
        <v>297</v>
      </c>
      <c r="D32" s="261">
        <f t="shared" si="0"/>
        <v>108</v>
      </c>
      <c r="F32" s="266">
        <f t="shared" si="1"/>
        <v>29</v>
      </c>
      <c r="G32" s="267" t="s">
        <v>292</v>
      </c>
      <c r="H32" s="262">
        <f t="shared" si="2"/>
        <v>107</v>
      </c>
      <c r="J32" s="261">
        <f t="shared" si="3"/>
        <v>22052</v>
      </c>
      <c r="L32">
        <f>T91*T90</f>
        <v>5.9047999999999998</v>
      </c>
      <c r="M32">
        <f t="shared" si="4"/>
        <v>12.754368000000001</v>
      </c>
      <c r="N32">
        <f>'КУ для 240 кГц '!E38</f>
        <v>12.490137587897255</v>
      </c>
    </row>
    <row r="33" spans="2:26">
      <c r="B33" s="266">
        <f t="shared" si="5"/>
        <v>30</v>
      </c>
      <c r="C33" s="266" t="s">
        <v>269</v>
      </c>
      <c r="D33" s="261">
        <f t="shared" si="0"/>
        <v>106</v>
      </c>
      <c r="F33" s="266">
        <f t="shared" si="1"/>
        <v>30</v>
      </c>
      <c r="G33" s="267">
        <v>69</v>
      </c>
      <c r="H33" s="262">
        <f t="shared" si="2"/>
        <v>105</v>
      </c>
      <c r="J33" s="261">
        <f t="shared" si="3"/>
        <v>22650</v>
      </c>
      <c r="L33">
        <f>T89*T88</f>
        <v>6.1750000000000007</v>
      </c>
      <c r="M33">
        <f t="shared" si="4"/>
        <v>13.338000000000003</v>
      </c>
      <c r="N33">
        <f>'КУ для 240 кГц '!E39</f>
        <v>12.989232194305199</v>
      </c>
    </row>
    <row r="34" spans="2:26">
      <c r="B34" s="266">
        <f t="shared" si="5"/>
        <v>31</v>
      </c>
      <c r="C34" s="266">
        <v>68</v>
      </c>
      <c r="D34" s="261">
        <f t="shared" si="0"/>
        <v>104</v>
      </c>
      <c r="F34" s="266">
        <f t="shared" si="1"/>
        <v>31</v>
      </c>
      <c r="G34" s="267">
        <v>66</v>
      </c>
      <c r="H34" s="262">
        <f t="shared" si="2"/>
        <v>102</v>
      </c>
      <c r="J34" s="261">
        <f t="shared" si="3"/>
        <v>23408</v>
      </c>
      <c r="L34">
        <f>T87*T85</f>
        <v>6.5779999999999994</v>
      </c>
      <c r="M34">
        <f t="shared" si="4"/>
        <v>14.208479999999998</v>
      </c>
      <c r="N34">
        <f>'КУ для 240 кГц '!E40</f>
        <v>13.493058839220788</v>
      </c>
    </row>
    <row r="35" spans="2:26">
      <c r="B35" s="266">
        <f t="shared" si="5"/>
        <v>32</v>
      </c>
      <c r="C35" s="266">
        <v>66</v>
      </c>
      <c r="D35" s="261">
        <f t="shared" si="0"/>
        <v>102</v>
      </c>
      <c r="F35" s="266">
        <f t="shared" si="1"/>
        <v>32</v>
      </c>
      <c r="G35" s="267">
        <v>64</v>
      </c>
      <c r="H35" s="262">
        <f t="shared" si="2"/>
        <v>100</v>
      </c>
      <c r="J35" s="261">
        <f t="shared" si="3"/>
        <v>24024</v>
      </c>
      <c r="L35">
        <f>T85*T83</f>
        <v>6.9680000000000009</v>
      </c>
      <c r="M35">
        <f t="shared" si="4"/>
        <v>15.050880000000003</v>
      </c>
      <c r="N35">
        <f>'КУ для 240 кГц '!E41</f>
        <v>14.00165263728425</v>
      </c>
    </row>
    <row r="36" spans="2:26">
      <c r="B36" s="266">
        <f t="shared" si="5"/>
        <v>33</v>
      </c>
      <c r="C36" s="266">
        <v>64</v>
      </c>
      <c r="D36" s="261">
        <f t="shared" si="0"/>
        <v>100</v>
      </c>
      <c r="F36" s="266">
        <f t="shared" si="1"/>
        <v>33</v>
      </c>
      <c r="G36" s="267">
        <v>63</v>
      </c>
      <c r="H36" s="262">
        <f t="shared" si="2"/>
        <v>99</v>
      </c>
      <c r="J36" s="261">
        <f t="shared" si="3"/>
        <v>24492</v>
      </c>
      <c r="L36">
        <f>T83*T82</f>
        <v>7.2092000000000001</v>
      </c>
      <c r="M36">
        <f t="shared" si="4"/>
        <v>15.571872000000001</v>
      </c>
      <c r="N36">
        <f>'КУ для 240 кГц '!E42</f>
        <v>14.515048937364231</v>
      </c>
    </row>
    <row r="37" spans="2:26">
      <c r="B37" s="266">
        <f t="shared" si="5"/>
        <v>34</v>
      </c>
      <c r="C37" s="266">
        <v>62</v>
      </c>
      <c r="D37" s="261">
        <f t="shared" si="0"/>
        <v>98</v>
      </c>
      <c r="F37" s="266">
        <f t="shared" si="1"/>
        <v>34</v>
      </c>
      <c r="G37" s="267">
        <v>61</v>
      </c>
      <c r="H37" s="262">
        <f t="shared" si="2"/>
        <v>97</v>
      </c>
      <c r="J37" s="261">
        <f t="shared" si="3"/>
        <v>25122</v>
      </c>
      <c r="L37">
        <f>T81*T80</f>
        <v>7.3170000000000002</v>
      </c>
      <c r="M37">
        <f t="shared" si="4"/>
        <v>15.80472</v>
      </c>
      <c r="N37">
        <f>'КУ для 240 кГц '!E43</f>
        <v>15.033283324029192</v>
      </c>
    </row>
    <row r="38" spans="2:26">
      <c r="B38" s="266">
        <f t="shared" si="5"/>
        <v>35</v>
      </c>
      <c r="C38" s="266">
        <v>60</v>
      </c>
      <c r="D38" s="261">
        <f t="shared" si="0"/>
        <v>96</v>
      </c>
      <c r="F38" s="266">
        <f t="shared" si="1"/>
        <v>35</v>
      </c>
      <c r="G38" s="267" t="s">
        <v>295</v>
      </c>
      <c r="H38" s="262">
        <f t="shared" si="2"/>
        <v>95</v>
      </c>
      <c r="J38" s="261">
        <f t="shared" si="3"/>
        <v>25760</v>
      </c>
      <c r="L38">
        <f>T79*T78</f>
        <v>7.4528000000000008</v>
      </c>
      <c r="M38">
        <f t="shared" si="4"/>
        <v>16.098048000000002</v>
      </c>
      <c r="N38">
        <f>'КУ для 240 кГц '!E44</f>
        <v>15.55639161902784</v>
      </c>
      <c r="Q38" s="270">
        <v>1</v>
      </c>
      <c r="R38">
        <v>205</v>
      </c>
      <c r="S38" s="270">
        <v>55</v>
      </c>
      <c r="T38">
        <v>4.9000000000000004</v>
      </c>
      <c r="U38" s="270">
        <v>109</v>
      </c>
      <c r="V38">
        <v>2.4</v>
      </c>
      <c r="W38" s="270">
        <v>163</v>
      </c>
      <c r="X38">
        <v>1.58</v>
      </c>
      <c r="Y38" s="270">
        <v>217</v>
      </c>
      <c r="Z38">
        <v>1.19</v>
      </c>
    </row>
    <row r="39" spans="2:26">
      <c r="B39" s="266">
        <f t="shared" si="5"/>
        <v>36</v>
      </c>
      <c r="C39" s="266" t="s">
        <v>293</v>
      </c>
      <c r="D39" s="261">
        <f t="shared" si="0"/>
        <v>94</v>
      </c>
      <c r="F39" s="266">
        <f t="shared" si="1"/>
        <v>36</v>
      </c>
      <c r="G39" s="267" t="s">
        <v>293</v>
      </c>
      <c r="H39" s="262">
        <f t="shared" si="2"/>
        <v>94</v>
      </c>
      <c r="J39" s="261">
        <f t="shared" si="3"/>
        <v>26244</v>
      </c>
      <c r="L39">
        <f>T77*T77</f>
        <v>7.6175999999999986</v>
      </c>
      <c r="M39">
        <f t="shared" si="4"/>
        <v>16.454015999999996</v>
      </c>
      <c r="N39">
        <f>'КУ для 240 кГц '!E45</f>
        <v>16.084409882778381</v>
      </c>
      <c r="Q39" s="270">
        <f>Q38+1</f>
        <v>2</v>
      </c>
      <c r="R39">
        <v>125</v>
      </c>
      <c r="S39" s="270">
        <f>S38+1</f>
        <v>56</v>
      </c>
      <c r="T39">
        <v>4.8</v>
      </c>
      <c r="U39" s="270">
        <f>U38+1</f>
        <v>110</v>
      </c>
      <c r="V39">
        <v>2.38</v>
      </c>
      <c r="W39" s="270">
        <f>W38+1</f>
        <v>164</v>
      </c>
      <c r="X39">
        <v>1.57</v>
      </c>
      <c r="Y39" s="270">
        <f>Y38+1</f>
        <v>218</v>
      </c>
      <c r="Z39">
        <v>1.19</v>
      </c>
    </row>
    <row r="40" spans="2:26">
      <c r="B40" s="266">
        <f t="shared" si="5"/>
        <v>37</v>
      </c>
      <c r="C40" s="266" t="s">
        <v>296</v>
      </c>
      <c r="D40" s="261">
        <f t="shared" si="0"/>
        <v>92</v>
      </c>
      <c r="F40" s="266">
        <f t="shared" si="1"/>
        <v>37</v>
      </c>
      <c r="G40" s="267" t="s">
        <v>270</v>
      </c>
      <c r="H40" s="262">
        <f t="shared" si="2"/>
        <v>93</v>
      </c>
      <c r="J40" s="261">
        <f t="shared" si="3"/>
        <v>26732</v>
      </c>
      <c r="L40">
        <f>T75*T76</f>
        <v>7.7561999999999998</v>
      </c>
      <c r="M40">
        <f t="shared" si="4"/>
        <v>16.753391999999998</v>
      </c>
      <c r="N40">
        <f>'КУ для 240 кГц '!E46</f>
        <v>16.617374415866792</v>
      </c>
      <c r="Q40" s="270">
        <f t="shared" ref="Q40:Q89" si="6">Q39+1</f>
        <v>3</v>
      </c>
      <c r="R40">
        <v>79</v>
      </c>
      <c r="S40" s="270">
        <f t="shared" ref="S40:S91" si="7">S39+1</f>
        <v>57</v>
      </c>
      <c r="T40">
        <v>4.7</v>
      </c>
      <c r="U40" s="270">
        <f t="shared" ref="U40:U91" si="8">U39+1</f>
        <v>111</v>
      </c>
      <c r="V40">
        <v>2.35</v>
      </c>
      <c r="W40" s="270">
        <f t="shared" ref="W40:W91" si="9">W39+1</f>
        <v>165</v>
      </c>
      <c r="X40">
        <v>1.56</v>
      </c>
      <c r="Y40" s="270">
        <f t="shared" ref="Y40:Y77" si="10">Y39+1</f>
        <v>219</v>
      </c>
      <c r="Z40">
        <v>1.18</v>
      </c>
    </row>
    <row r="41" spans="2:26">
      <c r="B41" s="266">
        <f t="shared" si="5"/>
        <v>38</v>
      </c>
      <c r="C41" s="266" t="s">
        <v>294</v>
      </c>
      <c r="D41" s="261">
        <f t="shared" si="0"/>
        <v>90</v>
      </c>
      <c r="F41" s="266">
        <f t="shared" si="1"/>
        <v>38</v>
      </c>
      <c r="G41" s="267" t="s">
        <v>296</v>
      </c>
      <c r="H41" s="262">
        <f t="shared" si="2"/>
        <v>92</v>
      </c>
      <c r="J41" s="261">
        <f t="shared" si="3"/>
        <v>27224</v>
      </c>
      <c r="L41">
        <f>T73*T75</f>
        <v>7.8677999999999999</v>
      </c>
      <c r="M41">
        <f t="shared" si="4"/>
        <v>16.994447999999998</v>
      </c>
      <c r="N41">
        <f>'КУ для 240 кГц '!E47</f>
        <v>17.155321760554234</v>
      </c>
      <c r="Q41" s="270">
        <f t="shared" si="6"/>
        <v>4</v>
      </c>
      <c r="R41">
        <v>69</v>
      </c>
      <c r="S41" s="270">
        <f t="shared" si="7"/>
        <v>58</v>
      </c>
      <c r="T41">
        <v>4.5999999999999996</v>
      </c>
      <c r="U41" s="270">
        <f t="shared" si="8"/>
        <v>112</v>
      </c>
      <c r="V41">
        <v>2.3199999999999998</v>
      </c>
      <c r="W41" s="270">
        <f t="shared" si="9"/>
        <v>166</v>
      </c>
      <c r="X41">
        <v>1.55</v>
      </c>
      <c r="Y41" s="270">
        <f t="shared" si="10"/>
        <v>220</v>
      </c>
      <c r="Z41">
        <v>1.17</v>
      </c>
    </row>
    <row r="42" spans="2:26">
      <c r="B42" s="266">
        <f t="shared" si="5"/>
        <v>39</v>
      </c>
      <c r="C42" s="266">
        <v>58</v>
      </c>
      <c r="D42" s="261">
        <f t="shared" si="0"/>
        <v>88</v>
      </c>
      <c r="F42" s="266">
        <f t="shared" si="1"/>
        <v>39</v>
      </c>
      <c r="G42" s="267" t="s">
        <v>294</v>
      </c>
      <c r="H42" s="262">
        <f t="shared" si="2"/>
        <v>90</v>
      </c>
      <c r="J42" s="261">
        <f t="shared" si="3"/>
        <v>27888</v>
      </c>
      <c r="L42">
        <f>T71*T73</f>
        <v>8.121599999999999</v>
      </c>
      <c r="M42">
        <f t="shared" si="4"/>
        <v>17.542655999999997</v>
      </c>
      <c r="N42">
        <f>'КУ для 240 кГц '!E48</f>
        <v>17.698288702293524</v>
      </c>
      <c r="Q42" s="270">
        <f t="shared" si="6"/>
        <v>5</v>
      </c>
      <c r="R42">
        <v>56</v>
      </c>
      <c r="S42" s="270">
        <f t="shared" si="7"/>
        <v>59</v>
      </c>
      <c r="T42">
        <v>4.5</v>
      </c>
      <c r="U42" s="270">
        <f t="shared" si="8"/>
        <v>113</v>
      </c>
      <c r="V42">
        <v>2.2999999999999998</v>
      </c>
      <c r="W42" s="270">
        <f t="shared" si="9"/>
        <v>167</v>
      </c>
      <c r="X42">
        <v>1.55</v>
      </c>
      <c r="Y42" s="270">
        <f t="shared" si="10"/>
        <v>221</v>
      </c>
      <c r="Z42">
        <v>1.17</v>
      </c>
    </row>
    <row r="43" spans="2:26">
      <c r="B43" s="266">
        <f t="shared" si="5"/>
        <v>40</v>
      </c>
      <c r="C43" s="266">
        <v>57</v>
      </c>
      <c r="D43" s="261">
        <f t="shared" si="0"/>
        <v>87</v>
      </c>
      <c r="F43" s="266">
        <f t="shared" si="1"/>
        <v>40</v>
      </c>
      <c r="G43" s="267">
        <v>59</v>
      </c>
      <c r="H43" s="262">
        <f t="shared" si="2"/>
        <v>89</v>
      </c>
      <c r="J43" s="261">
        <f t="shared" si="3"/>
        <v>28223</v>
      </c>
      <c r="L43">
        <f>T70*T72</f>
        <v>8.2650000000000006</v>
      </c>
      <c r="M43">
        <f t="shared" si="4"/>
        <v>17.852399999999999</v>
      </c>
      <c r="N43">
        <f>'КУ для 240 кГц '!E49</f>
        <v>18.246312271254666</v>
      </c>
      <c r="Q43" s="270">
        <f t="shared" si="6"/>
        <v>6</v>
      </c>
      <c r="R43">
        <v>47</v>
      </c>
      <c r="S43" s="270">
        <f t="shared" si="7"/>
        <v>60</v>
      </c>
      <c r="T43">
        <v>4.4000000000000004</v>
      </c>
      <c r="U43" s="270">
        <f t="shared" si="8"/>
        <v>114</v>
      </c>
      <c r="V43">
        <v>2.2799999999999998</v>
      </c>
      <c r="W43" s="270">
        <f t="shared" si="9"/>
        <v>168</v>
      </c>
      <c r="X43">
        <v>1.54</v>
      </c>
      <c r="Y43" s="270">
        <f t="shared" si="10"/>
        <v>222</v>
      </c>
      <c r="Z43">
        <v>1.1599999999999999</v>
      </c>
    </row>
    <row r="44" spans="2:26">
      <c r="B44" s="266">
        <f t="shared" si="5"/>
        <v>41</v>
      </c>
      <c r="C44" s="266">
        <v>56</v>
      </c>
      <c r="D44" s="261">
        <f t="shared" si="0"/>
        <v>86</v>
      </c>
      <c r="F44" s="266">
        <f t="shared" si="1"/>
        <v>41</v>
      </c>
      <c r="G44" s="267">
        <v>57</v>
      </c>
      <c r="H44" s="262">
        <f t="shared" si="2"/>
        <v>87</v>
      </c>
      <c r="J44" s="261">
        <f t="shared" si="3"/>
        <v>28730</v>
      </c>
      <c r="L44">
        <f>T69*T70</f>
        <v>8.5549999999999997</v>
      </c>
      <c r="M44">
        <f t="shared" si="4"/>
        <v>18.4788</v>
      </c>
      <c r="N44">
        <f>'КУ для 240 кГц '!E50</f>
        <v>18.799429743859786</v>
      </c>
      <c r="Q44" s="270">
        <f t="shared" si="6"/>
        <v>7</v>
      </c>
      <c r="R44">
        <v>38</v>
      </c>
      <c r="S44" s="270">
        <f t="shared" si="7"/>
        <v>61</v>
      </c>
      <c r="T44">
        <v>4.3</v>
      </c>
      <c r="U44" s="270">
        <f t="shared" si="8"/>
        <v>115</v>
      </c>
      <c r="V44">
        <v>2.2599999999999998</v>
      </c>
      <c r="W44" s="270">
        <f t="shared" si="9"/>
        <v>169</v>
      </c>
      <c r="X44">
        <v>1.53</v>
      </c>
      <c r="Y44" s="270">
        <f t="shared" si="10"/>
        <v>223</v>
      </c>
      <c r="Z44">
        <v>1.1599999999999999</v>
      </c>
    </row>
    <row r="45" spans="2:26">
      <c r="B45" s="266">
        <f t="shared" si="5"/>
        <v>42</v>
      </c>
      <c r="C45" s="266">
        <v>55</v>
      </c>
      <c r="D45" s="261">
        <f t="shared" si="0"/>
        <v>85</v>
      </c>
      <c r="F45" s="266">
        <f t="shared" si="1"/>
        <v>42</v>
      </c>
      <c r="G45" s="267">
        <v>56</v>
      </c>
      <c r="H45" s="262">
        <f t="shared" si="2"/>
        <v>86</v>
      </c>
      <c r="J45" s="261">
        <f t="shared" si="3"/>
        <v>29070</v>
      </c>
      <c r="L45">
        <f>T68*T69</f>
        <v>8.8500000000000014</v>
      </c>
      <c r="M45">
        <f t="shared" si="4"/>
        <v>19.116000000000003</v>
      </c>
      <c r="N45">
        <f>'КУ для 240 кГц '!E51</f>
        <v>19.357678644327116</v>
      </c>
      <c r="Q45" s="270">
        <f t="shared" si="6"/>
        <v>8</v>
      </c>
      <c r="R45">
        <v>32</v>
      </c>
      <c r="S45" s="270">
        <f t="shared" si="7"/>
        <v>62</v>
      </c>
      <c r="T45">
        <v>4.2</v>
      </c>
      <c r="U45" s="270">
        <f t="shared" si="8"/>
        <v>116</v>
      </c>
      <c r="V45">
        <v>2.2400000000000002</v>
      </c>
      <c r="W45" s="270">
        <f t="shared" si="9"/>
        <v>170</v>
      </c>
      <c r="X45">
        <v>1.52</v>
      </c>
      <c r="Y45" s="270">
        <f t="shared" si="10"/>
        <v>224</v>
      </c>
      <c r="Z45">
        <v>1.1499999999999999</v>
      </c>
    </row>
    <row r="46" spans="2:26">
      <c r="B46" s="266">
        <f t="shared" si="5"/>
        <v>43</v>
      </c>
      <c r="C46" s="266">
        <v>54</v>
      </c>
      <c r="D46" s="261">
        <f t="shared" si="0"/>
        <v>84</v>
      </c>
      <c r="F46" s="266">
        <f t="shared" si="1"/>
        <v>43</v>
      </c>
      <c r="G46" s="267">
        <v>55</v>
      </c>
      <c r="H46" s="262">
        <f t="shared" si="2"/>
        <v>85</v>
      </c>
      <c r="J46" s="261">
        <f t="shared" si="3"/>
        <v>29412</v>
      </c>
      <c r="L46">
        <f>T67*T68</f>
        <v>9.1499999999999986</v>
      </c>
      <c r="M46">
        <f t="shared" si="4"/>
        <v>19.763999999999999</v>
      </c>
      <c r="N46">
        <f>'КУ для 240 кГц '!E52</f>
        <v>19.921096746224546</v>
      </c>
      <c r="Q46" s="270">
        <f t="shared" si="6"/>
        <v>9</v>
      </c>
      <c r="R46">
        <v>28</v>
      </c>
      <c r="S46" s="270">
        <f t="shared" si="7"/>
        <v>63</v>
      </c>
      <c r="T46">
        <v>4.0999999999999996</v>
      </c>
      <c r="U46" s="270">
        <f t="shared" si="8"/>
        <v>117</v>
      </c>
      <c r="V46">
        <v>2.23</v>
      </c>
      <c r="W46" s="270">
        <f t="shared" si="9"/>
        <v>171</v>
      </c>
      <c r="X46">
        <v>1.51</v>
      </c>
      <c r="Y46" s="270">
        <f t="shared" si="10"/>
        <v>225</v>
      </c>
      <c r="Z46">
        <v>1.1499999999999999</v>
      </c>
    </row>
    <row r="47" spans="2:26">
      <c r="B47" s="266">
        <f t="shared" si="5"/>
        <v>44</v>
      </c>
      <c r="C47" s="266">
        <v>53</v>
      </c>
      <c r="D47" s="261">
        <f t="shared" si="0"/>
        <v>83</v>
      </c>
      <c r="F47" s="266">
        <f t="shared" si="1"/>
        <v>44</v>
      </c>
      <c r="G47" s="267">
        <v>54</v>
      </c>
      <c r="H47" s="262">
        <f t="shared" si="2"/>
        <v>84</v>
      </c>
      <c r="J47" s="261">
        <f t="shared" si="3"/>
        <v>29756</v>
      </c>
      <c r="L47">
        <f>T66*T67</f>
        <v>9.4550000000000001</v>
      </c>
      <c r="M47">
        <f t="shared" si="4"/>
        <v>20.422800000000002</v>
      </c>
      <c r="N47">
        <f>'КУ для 240 кГц '!E53</f>
        <v>20.489722074032304</v>
      </c>
      <c r="Q47" s="270">
        <f t="shared" si="6"/>
        <v>10</v>
      </c>
      <c r="R47">
        <v>26</v>
      </c>
      <c r="S47" s="270">
        <f t="shared" si="7"/>
        <v>64</v>
      </c>
      <c r="T47">
        <v>4</v>
      </c>
      <c r="U47" s="270">
        <f t="shared" si="8"/>
        <v>118</v>
      </c>
      <c r="V47">
        <v>2.2000000000000002</v>
      </c>
      <c r="W47" s="270">
        <f t="shared" si="9"/>
        <v>172</v>
      </c>
      <c r="X47">
        <v>1.5</v>
      </c>
      <c r="Y47" s="270">
        <f t="shared" si="10"/>
        <v>226</v>
      </c>
      <c r="Z47">
        <v>1.1399999999999999</v>
      </c>
    </row>
    <row r="48" spans="2:26">
      <c r="B48" s="266">
        <f t="shared" si="5"/>
        <v>45</v>
      </c>
      <c r="C48" s="266">
        <v>52</v>
      </c>
      <c r="D48" s="261">
        <f t="shared" si="0"/>
        <v>82</v>
      </c>
      <c r="F48" s="266">
        <f t="shared" si="1"/>
        <v>45</v>
      </c>
      <c r="G48" s="267">
        <v>53</v>
      </c>
      <c r="H48" s="262">
        <f t="shared" si="2"/>
        <v>83</v>
      </c>
      <c r="J48" s="261">
        <f t="shared" si="3"/>
        <v>30102</v>
      </c>
      <c r="L48">
        <f>T65*T66</f>
        <v>9.7650000000000006</v>
      </c>
      <c r="M48">
        <f t="shared" si="4"/>
        <v>21.092400000000001</v>
      </c>
      <c r="N48">
        <f>'КУ для 240 кГц '!E54</f>
        <v>21.063592904715289</v>
      </c>
      <c r="Q48" s="270">
        <f t="shared" si="6"/>
        <v>11</v>
      </c>
      <c r="R48">
        <v>25</v>
      </c>
      <c r="S48" s="270">
        <f t="shared" si="7"/>
        <v>65</v>
      </c>
      <c r="T48">
        <v>3.97</v>
      </c>
      <c r="U48" s="270">
        <f t="shared" si="8"/>
        <v>119</v>
      </c>
      <c r="V48">
        <v>2.1800000000000002</v>
      </c>
      <c r="W48" s="270">
        <f t="shared" si="9"/>
        <v>173</v>
      </c>
      <c r="X48">
        <v>1.49</v>
      </c>
      <c r="Y48" s="270">
        <f t="shared" si="10"/>
        <v>227</v>
      </c>
      <c r="Z48">
        <v>1.1399999999999999</v>
      </c>
    </row>
    <row r="49" spans="2:26">
      <c r="B49" s="266">
        <f t="shared" si="5"/>
        <v>46</v>
      </c>
      <c r="C49" s="266">
        <v>51</v>
      </c>
      <c r="D49" s="261">
        <f t="shared" si="0"/>
        <v>81</v>
      </c>
      <c r="F49" s="266">
        <f t="shared" si="1"/>
        <v>46</v>
      </c>
      <c r="G49" s="267">
        <v>52</v>
      </c>
      <c r="H49" s="262">
        <f t="shared" si="2"/>
        <v>82</v>
      </c>
      <c r="J49" s="261">
        <f t="shared" si="3"/>
        <v>30450</v>
      </c>
      <c r="L49">
        <f>T64*T65</f>
        <v>10.08</v>
      </c>
      <c r="M49">
        <f t="shared" si="4"/>
        <v>21.7728</v>
      </c>
      <c r="N49">
        <f>'КУ для 240 кГц '!E55</f>
        <v>21.642747769304677</v>
      </c>
      <c r="Q49" s="270">
        <f t="shared" si="6"/>
        <v>12</v>
      </c>
      <c r="R49">
        <v>24</v>
      </c>
      <c r="S49" s="270">
        <f t="shared" si="7"/>
        <v>66</v>
      </c>
      <c r="T49">
        <v>3.95</v>
      </c>
      <c r="U49" s="270">
        <f t="shared" si="8"/>
        <v>120</v>
      </c>
      <c r="V49">
        <v>2.16</v>
      </c>
      <c r="W49" s="270">
        <f t="shared" si="9"/>
        <v>174</v>
      </c>
      <c r="X49">
        <v>1.49</v>
      </c>
      <c r="Y49" s="270">
        <f t="shared" si="10"/>
        <v>228</v>
      </c>
      <c r="Z49">
        <v>1.1299999999999999</v>
      </c>
    </row>
    <row r="50" spans="2:26">
      <c r="B50" s="266">
        <f t="shared" si="5"/>
        <v>47</v>
      </c>
      <c r="C50" s="266">
        <v>50</v>
      </c>
      <c r="D50" s="261">
        <f t="shared" si="0"/>
        <v>80</v>
      </c>
      <c r="F50" s="266">
        <f t="shared" si="1"/>
        <v>47</v>
      </c>
      <c r="G50" s="267">
        <v>51</v>
      </c>
      <c r="H50" s="262">
        <f t="shared" si="2"/>
        <v>81</v>
      </c>
      <c r="J50" s="261">
        <f t="shared" si="3"/>
        <v>30800</v>
      </c>
      <c r="L50">
        <f>T63*T64</f>
        <v>10.4</v>
      </c>
      <c r="M50">
        <f t="shared" si="4"/>
        <v>22.464000000000002</v>
      </c>
      <c r="N50">
        <f>'КУ для 240 кГц '!E56</f>
        <v>22.2272254544893</v>
      </c>
      <c r="Q50" s="270">
        <f t="shared" si="6"/>
        <v>13</v>
      </c>
      <c r="R50">
        <v>22</v>
      </c>
      <c r="S50" s="270">
        <f t="shared" si="7"/>
        <v>67</v>
      </c>
      <c r="T50">
        <v>3.9</v>
      </c>
      <c r="U50" s="270">
        <f t="shared" si="8"/>
        <v>121</v>
      </c>
      <c r="V50">
        <v>2.15</v>
      </c>
      <c r="W50" s="270">
        <f t="shared" si="9"/>
        <v>175</v>
      </c>
      <c r="X50">
        <v>1.48</v>
      </c>
      <c r="Y50" s="270">
        <f t="shared" si="10"/>
        <v>229</v>
      </c>
      <c r="Z50">
        <v>1.1299999999999999</v>
      </c>
    </row>
    <row r="51" spans="2:26">
      <c r="B51" s="266">
        <f t="shared" si="5"/>
        <v>48</v>
      </c>
      <c r="C51" s="266">
        <v>50</v>
      </c>
      <c r="D51" s="261">
        <f t="shared" si="0"/>
        <v>80</v>
      </c>
      <c r="F51" s="266">
        <f t="shared" si="1"/>
        <v>48</v>
      </c>
      <c r="G51" s="267">
        <v>50</v>
      </c>
      <c r="H51" s="262">
        <f t="shared" si="2"/>
        <v>80</v>
      </c>
      <c r="J51" s="261">
        <f t="shared" si="3"/>
        <v>30976</v>
      </c>
      <c r="L51">
        <f>T63*T63</f>
        <v>10.5625</v>
      </c>
      <c r="M51">
        <f t="shared" si="4"/>
        <v>22.814999999999998</v>
      </c>
      <c r="N51">
        <f>'КУ для 240 кГц '!E57</f>
        <v>22.81706500421646</v>
      </c>
      <c r="Q51" s="270">
        <f t="shared" si="6"/>
        <v>14</v>
      </c>
      <c r="R51">
        <v>20</v>
      </c>
      <c r="S51" s="270">
        <f t="shared" si="7"/>
        <v>68</v>
      </c>
      <c r="T51">
        <v>3.85</v>
      </c>
      <c r="U51" s="270">
        <f t="shared" si="8"/>
        <v>122</v>
      </c>
      <c r="V51">
        <v>2.13</v>
      </c>
      <c r="W51" s="270">
        <f t="shared" si="9"/>
        <v>176</v>
      </c>
      <c r="X51">
        <v>1.48</v>
      </c>
      <c r="Y51" s="270">
        <f t="shared" si="10"/>
        <v>230</v>
      </c>
      <c r="Z51">
        <v>1.1200000000000001</v>
      </c>
    </row>
    <row r="52" spans="2:26">
      <c r="B52" s="266">
        <f t="shared" si="5"/>
        <v>49</v>
      </c>
      <c r="C52" s="266" t="s">
        <v>271</v>
      </c>
      <c r="D52" s="261">
        <f t="shared" si="0"/>
        <v>79</v>
      </c>
      <c r="F52" s="266">
        <f t="shared" si="1"/>
        <v>49</v>
      </c>
      <c r="G52" s="267" t="s">
        <v>271</v>
      </c>
      <c r="H52" s="262">
        <f t="shared" si="2"/>
        <v>79</v>
      </c>
      <c r="J52" s="261">
        <f t="shared" si="3"/>
        <v>31329</v>
      </c>
      <c r="L52">
        <f>T62*T62</f>
        <v>10.889999999999999</v>
      </c>
      <c r="M52">
        <f t="shared" si="4"/>
        <v>23.522399999999994</v>
      </c>
      <c r="N52">
        <f>'КУ для 240 кГц '!E58</f>
        <v>23.412305721302328</v>
      </c>
      <c r="Q52" s="270">
        <f t="shared" si="6"/>
        <v>15</v>
      </c>
      <c r="R52">
        <v>19</v>
      </c>
      <c r="S52" s="270">
        <f t="shared" si="7"/>
        <v>69</v>
      </c>
      <c r="T52">
        <v>3.8</v>
      </c>
      <c r="U52" s="270">
        <f t="shared" si="8"/>
        <v>123</v>
      </c>
      <c r="V52">
        <v>2.12</v>
      </c>
      <c r="W52" s="270">
        <f t="shared" si="9"/>
        <v>177</v>
      </c>
      <c r="X52">
        <v>1.48</v>
      </c>
      <c r="Y52" s="270">
        <f t="shared" si="10"/>
        <v>231</v>
      </c>
      <c r="Z52">
        <v>1.1200000000000001</v>
      </c>
    </row>
    <row r="53" spans="2:26">
      <c r="B53" s="266">
        <f t="shared" si="5"/>
        <v>50</v>
      </c>
      <c r="C53" s="266" t="s">
        <v>272</v>
      </c>
      <c r="D53" s="261">
        <f t="shared" si="0"/>
        <v>78</v>
      </c>
      <c r="F53" s="266">
        <f t="shared" si="1"/>
        <v>50</v>
      </c>
      <c r="G53" s="267" t="s">
        <v>272</v>
      </c>
      <c r="H53" s="262">
        <f t="shared" si="2"/>
        <v>78</v>
      </c>
      <c r="J53" s="261">
        <f t="shared" si="3"/>
        <v>31684</v>
      </c>
      <c r="L53">
        <f>T61*T61</f>
        <v>11.2225</v>
      </c>
      <c r="M53">
        <f t="shared" si="4"/>
        <v>24.240600000000001</v>
      </c>
      <c r="N53">
        <f>'КУ для 240 кГц '!E59</f>
        <v>24.012987169052387</v>
      </c>
      <c r="Q53" s="270">
        <f t="shared" si="6"/>
        <v>16</v>
      </c>
      <c r="R53">
        <v>16.5</v>
      </c>
      <c r="S53" s="270">
        <f t="shared" si="7"/>
        <v>70</v>
      </c>
      <c r="T53">
        <v>3.75</v>
      </c>
      <c r="U53" s="270">
        <f t="shared" si="8"/>
        <v>124</v>
      </c>
      <c r="V53">
        <v>2.1</v>
      </c>
      <c r="W53" s="270">
        <f t="shared" si="9"/>
        <v>178</v>
      </c>
      <c r="X53">
        <v>1.47</v>
      </c>
      <c r="Y53" s="270">
        <f t="shared" si="10"/>
        <v>232</v>
      </c>
      <c r="Z53">
        <v>1.1100000000000001</v>
      </c>
    </row>
    <row r="54" spans="2:26">
      <c r="B54" s="266">
        <f t="shared" si="5"/>
        <v>51</v>
      </c>
      <c r="C54" s="266" t="s">
        <v>273</v>
      </c>
      <c r="D54" s="261">
        <f t="shared" si="0"/>
        <v>77</v>
      </c>
      <c r="F54" s="266">
        <f t="shared" si="1"/>
        <v>51</v>
      </c>
      <c r="G54" s="267" t="s">
        <v>272</v>
      </c>
      <c r="H54" s="262">
        <f t="shared" si="2"/>
        <v>78</v>
      </c>
      <c r="J54" s="261">
        <f t="shared" si="3"/>
        <v>31862</v>
      </c>
      <c r="L54">
        <f>T60*T61</f>
        <v>11.39</v>
      </c>
      <c r="M54">
        <f t="shared" si="4"/>
        <v>24.602400000000003</v>
      </c>
      <c r="N54">
        <f>'КУ для 240 кГц '!E60</f>
        <v>24.619149172891305</v>
      </c>
      <c r="Q54" s="270">
        <f t="shared" si="6"/>
        <v>17</v>
      </c>
      <c r="R54">
        <v>15.6</v>
      </c>
      <c r="S54" s="270">
        <f t="shared" si="7"/>
        <v>71</v>
      </c>
      <c r="T54">
        <v>3.7</v>
      </c>
      <c r="U54" s="270">
        <f t="shared" si="8"/>
        <v>125</v>
      </c>
      <c r="V54">
        <v>2.08</v>
      </c>
      <c r="W54" s="270">
        <f t="shared" si="9"/>
        <v>179</v>
      </c>
      <c r="X54">
        <v>1.46</v>
      </c>
      <c r="Y54" s="270">
        <f t="shared" si="10"/>
        <v>233</v>
      </c>
      <c r="Z54">
        <v>1.1100000000000001</v>
      </c>
    </row>
    <row r="55" spans="2:26">
      <c r="B55" s="266">
        <f t="shared" si="5"/>
        <v>52</v>
      </c>
      <c r="C55" s="266" t="s">
        <v>274</v>
      </c>
      <c r="D55" s="261">
        <f t="shared" si="0"/>
        <v>76</v>
      </c>
      <c r="F55" s="266">
        <f t="shared" si="1"/>
        <v>52</v>
      </c>
      <c r="G55" s="267" t="s">
        <v>273</v>
      </c>
      <c r="H55" s="262">
        <f t="shared" si="2"/>
        <v>77</v>
      </c>
      <c r="J55" s="261">
        <f t="shared" si="3"/>
        <v>32220</v>
      </c>
      <c r="L55">
        <f>T59*T60</f>
        <v>11.73</v>
      </c>
      <c r="M55">
        <f t="shared" si="4"/>
        <v>25.3368</v>
      </c>
      <c r="N55">
        <f>'КУ для 240 кГц '!E61</f>
        <v>25.230831822002699</v>
      </c>
      <c r="Q55" s="270">
        <f t="shared" si="6"/>
        <v>18</v>
      </c>
      <c r="R55">
        <v>15</v>
      </c>
      <c r="S55" s="270">
        <f t="shared" si="7"/>
        <v>72</v>
      </c>
      <c r="T55">
        <v>3.65</v>
      </c>
      <c r="U55" s="270">
        <f t="shared" si="8"/>
        <v>126</v>
      </c>
      <c r="V55">
        <v>2.06</v>
      </c>
      <c r="W55" s="270">
        <f t="shared" si="9"/>
        <v>180</v>
      </c>
      <c r="X55">
        <v>1.45</v>
      </c>
      <c r="Y55" s="270">
        <f t="shared" si="10"/>
        <v>234</v>
      </c>
      <c r="Z55">
        <v>1.1000000000000001</v>
      </c>
    </row>
    <row r="56" spans="2:26">
      <c r="B56" s="266">
        <f t="shared" si="5"/>
        <v>53</v>
      </c>
      <c r="C56" s="266" t="s">
        <v>275</v>
      </c>
      <c r="D56" s="261">
        <f t="shared" si="0"/>
        <v>75</v>
      </c>
      <c r="F56" s="266">
        <f t="shared" si="1"/>
        <v>53</v>
      </c>
      <c r="G56" s="267" t="s">
        <v>274</v>
      </c>
      <c r="H56" s="262">
        <f t="shared" si="2"/>
        <v>76</v>
      </c>
      <c r="J56" s="261">
        <f t="shared" si="3"/>
        <v>32580</v>
      </c>
      <c r="L56">
        <f>T58*T59</f>
        <v>12.075000000000001</v>
      </c>
      <c r="M56">
        <f t="shared" si="4"/>
        <v>26.082000000000004</v>
      </c>
      <c r="N56">
        <f>'КУ для 240 кГц '!E62</f>
        <v>25.848075470979051</v>
      </c>
      <c r="Q56" s="270">
        <f t="shared" si="6"/>
        <v>19</v>
      </c>
      <c r="R56">
        <v>14</v>
      </c>
      <c r="S56" s="270">
        <f t="shared" si="7"/>
        <v>73</v>
      </c>
      <c r="T56">
        <v>3.6</v>
      </c>
      <c r="U56" s="270">
        <f t="shared" si="8"/>
        <v>127</v>
      </c>
      <c r="V56">
        <v>2.04</v>
      </c>
      <c r="W56" s="270">
        <f t="shared" si="9"/>
        <v>181</v>
      </c>
      <c r="X56">
        <v>1.44</v>
      </c>
      <c r="Y56" s="270">
        <f t="shared" si="10"/>
        <v>235</v>
      </c>
      <c r="Z56">
        <v>1.1000000000000001</v>
      </c>
    </row>
    <row r="57" spans="2:26">
      <c r="B57" s="266">
        <f t="shared" si="5"/>
        <v>54</v>
      </c>
      <c r="C57" s="266" t="s">
        <v>275</v>
      </c>
      <c r="D57" s="261">
        <f t="shared" si="0"/>
        <v>75</v>
      </c>
      <c r="F57" s="266">
        <f t="shared" si="1"/>
        <v>54</v>
      </c>
      <c r="G57" s="267" t="s">
        <v>275</v>
      </c>
      <c r="H57" s="262">
        <f t="shared" si="2"/>
        <v>75</v>
      </c>
      <c r="J57" s="261">
        <f t="shared" si="3"/>
        <v>32761</v>
      </c>
      <c r="L57">
        <f>T58*T58</f>
        <v>12.25</v>
      </c>
      <c r="M57">
        <f t="shared" si="4"/>
        <v>26.46</v>
      </c>
      <c r="N57">
        <f>'КУ для 240 кГц '!E63</f>
        <v>26.470920741481081</v>
      </c>
      <c r="Q57" s="270">
        <f t="shared" si="6"/>
        <v>20</v>
      </c>
      <c r="R57">
        <v>13.5</v>
      </c>
      <c r="S57" s="270">
        <f t="shared" si="7"/>
        <v>74</v>
      </c>
      <c r="T57">
        <v>3.55</v>
      </c>
      <c r="U57" s="270">
        <f t="shared" si="8"/>
        <v>128</v>
      </c>
      <c r="V57">
        <v>2.02</v>
      </c>
      <c r="W57" s="270">
        <f t="shared" si="9"/>
        <v>182</v>
      </c>
      <c r="X57">
        <v>1.43</v>
      </c>
      <c r="Y57" s="270">
        <f t="shared" si="10"/>
        <v>236</v>
      </c>
      <c r="Z57">
        <v>1.0900000000000001</v>
      </c>
    </row>
    <row r="58" spans="2:26">
      <c r="B58" s="266">
        <f t="shared" si="5"/>
        <v>55</v>
      </c>
      <c r="C58" s="266" t="s">
        <v>276</v>
      </c>
      <c r="D58" s="261">
        <f t="shared" si="0"/>
        <v>74</v>
      </c>
      <c r="F58" s="266">
        <f t="shared" si="1"/>
        <v>55</v>
      </c>
      <c r="G58" s="267" t="s">
        <v>276</v>
      </c>
      <c r="H58" s="262">
        <f t="shared" si="2"/>
        <v>74</v>
      </c>
      <c r="J58" s="261">
        <f t="shared" si="3"/>
        <v>33124</v>
      </c>
      <c r="L58">
        <f>T57*T57</f>
        <v>12.602499999999999</v>
      </c>
      <c r="M58">
        <f t="shared" si="4"/>
        <v>27.221399999999999</v>
      </c>
      <c r="N58">
        <f>'КУ для 240 кГц '!E64</f>
        <v>27.099408523907695</v>
      </c>
      <c r="Q58" s="270">
        <f t="shared" si="6"/>
        <v>21</v>
      </c>
      <c r="R58">
        <v>13</v>
      </c>
      <c r="S58" s="270">
        <f t="shared" si="7"/>
        <v>75</v>
      </c>
      <c r="T58">
        <v>3.5</v>
      </c>
      <c r="U58" s="270">
        <f t="shared" si="8"/>
        <v>129</v>
      </c>
      <c r="V58">
        <v>2.0099999999999998</v>
      </c>
      <c r="W58" s="270">
        <f t="shared" si="9"/>
        <v>183</v>
      </c>
      <c r="X58">
        <v>1.42</v>
      </c>
      <c r="Y58" s="270">
        <f t="shared" si="10"/>
        <v>237</v>
      </c>
      <c r="Z58">
        <v>1.0900000000000001</v>
      </c>
    </row>
    <row r="59" spans="2:26">
      <c r="B59" s="266">
        <f t="shared" si="5"/>
        <v>56</v>
      </c>
      <c r="C59" s="266">
        <v>49</v>
      </c>
      <c r="D59" s="261">
        <f t="shared" si="0"/>
        <v>73</v>
      </c>
      <c r="F59" s="266">
        <f t="shared" si="1"/>
        <v>56</v>
      </c>
      <c r="G59" s="267">
        <v>49</v>
      </c>
      <c r="H59" s="262">
        <f t="shared" si="2"/>
        <v>73</v>
      </c>
      <c r="J59" s="261">
        <f t="shared" si="3"/>
        <v>33489</v>
      </c>
      <c r="L59">
        <f>T56*T56</f>
        <v>12.96</v>
      </c>
      <c r="M59">
        <f t="shared" si="4"/>
        <v>27.993600000000004</v>
      </c>
      <c r="N59">
        <f>'КУ для 240 кГц '!E65</f>
        <v>27.733579979075426</v>
      </c>
      <c r="Q59" s="270">
        <f t="shared" si="6"/>
        <v>22</v>
      </c>
      <c r="R59">
        <v>12.3</v>
      </c>
      <c r="S59" s="270">
        <f t="shared" si="7"/>
        <v>76</v>
      </c>
      <c r="T59">
        <v>3.45</v>
      </c>
      <c r="U59" s="270">
        <f t="shared" si="8"/>
        <v>130</v>
      </c>
      <c r="V59">
        <v>2</v>
      </c>
      <c r="W59" s="270">
        <f t="shared" si="9"/>
        <v>184</v>
      </c>
      <c r="X59">
        <v>1.41</v>
      </c>
      <c r="Y59" s="270">
        <f t="shared" si="10"/>
        <v>238</v>
      </c>
      <c r="Z59">
        <v>1.08</v>
      </c>
    </row>
    <row r="60" spans="2:26">
      <c r="B60" s="266">
        <f t="shared" si="5"/>
        <v>57</v>
      </c>
      <c r="C60" s="266">
        <v>48</v>
      </c>
      <c r="D60" s="261">
        <f t="shared" si="0"/>
        <v>72</v>
      </c>
      <c r="F60" s="266">
        <f t="shared" si="1"/>
        <v>57</v>
      </c>
      <c r="G60" s="267">
        <v>49</v>
      </c>
      <c r="H60" s="262">
        <f t="shared" si="2"/>
        <v>73</v>
      </c>
      <c r="J60" s="261">
        <f t="shared" si="3"/>
        <v>33672</v>
      </c>
      <c r="L60">
        <f>T55*T56</f>
        <v>13.14</v>
      </c>
      <c r="M60">
        <f t="shared" si="4"/>
        <v>28.382400000000001</v>
      </c>
      <c r="N60">
        <f>'КУ для 240 кГц '!E66</f>
        <v>28.373476539908445</v>
      </c>
      <c r="Q60" s="270">
        <f t="shared" si="6"/>
        <v>23</v>
      </c>
      <c r="R60">
        <v>12</v>
      </c>
      <c r="S60" s="270">
        <f t="shared" si="7"/>
        <v>77</v>
      </c>
      <c r="T60">
        <v>3.4</v>
      </c>
      <c r="U60" s="270">
        <f t="shared" si="8"/>
        <v>131</v>
      </c>
      <c r="V60">
        <v>1.99</v>
      </c>
      <c r="W60" s="270">
        <f t="shared" si="9"/>
        <v>185</v>
      </c>
      <c r="X60">
        <v>1.4</v>
      </c>
      <c r="Y60" s="270">
        <f t="shared" si="10"/>
        <v>239</v>
      </c>
      <c r="Z60">
        <v>1.08</v>
      </c>
    </row>
    <row r="61" spans="2:26">
      <c r="B61" s="266">
        <f t="shared" si="5"/>
        <v>58</v>
      </c>
      <c r="C61" s="266">
        <v>47</v>
      </c>
      <c r="D61" s="261">
        <f t="shared" si="0"/>
        <v>71</v>
      </c>
      <c r="F61" s="266">
        <f t="shared" si="1"/>
        <v>58</v>
      </c>
      <c r="G61" s="267">
        <v>48</v>
      </c>
      <c r="H61" s="262">
        <f t="shared" si="2"/>
        <v>72</v>
      </c>
      <c r="J61" s="261">
        <f t="shared" si="3"/>
        <v>34040</v>
      </c>
      <c r="L61">
        <f>T54*T55</f>
        <v>13.505000000000001</v>
      </c>
      <c r="M61">
        <f t="shared" si="4"/>
        <v>29.1708</v>
      </c>
      <c r="N61">
        <f>'КУ для 240 кГц '!E67</f>
        <v>29.019139913138478</v>
      </c>
      <c r="Q61" s="270">
        <f t="shared" si="6"/>
        <v>24</v>
      </c>
      <c r="R61">
        <v>11.2</v>
      </c>
      <c r="S61" s="270">
        <f t="shared" si="7"/>
        <v>78</v>
      </c>
      <c r="T61">
        <v>3.35</v>
      </c>
      <c r="U61" s="270">
        <f t="shared" si="8"/>
        <v>132</v>
      </c>
      <c r="V61">
        <v>1.97</v>
      </c>
      <c r="W61" s="270">
        <f t="shared" si="9"/>
        <v>186</v>
      </c>
      <c r="X61">
        <v>1.4</v>
      </c>
      <c r="Y61" s="270">
        <f t="shared" si="10"/>
        <v>240</v>
      </c>
      <c r="Z61">
        <v>1.07</v>
      </c>
    </row>
    <row r="62" spans="2:26">
      <c r="B62" s="266">
        <f t="shared" si="5"/>
        <v>59</v>
      </c>
      <c r="C62" s="266">
        <v>46</v>
      </c>
      <c r="D62" s="261">
        <f t="shared" si="0"/>
        <v>70</v>
      </c>
      <c r="F62" s="266">
        <f t="shared" si="1"/>
        <v>59</v>
      </c>
      <c r="G62" s="267">
        <v>48</v>
      </c>
      <c r="H62" s="262">
        <f t="shared" si="2"/>
        <v>72</v>
      </c>
      <c r="J62" s="261">
        <f t="shared" si="3"/>
        <v>34224</v>
      </c>
      <c r="L62">
        <f>T53*T55</f>
        <v>13.6875</v>
      </c>
      <c r="M62">
        <f t="shared" si="4"/>
        <v>29.564999999999998</v>
      </c>
      <c r="N62">
        <f>'КУ для 240 кГц '!E68</f>
        <v>29.670612081015172</v>
      </c>
      <c r="Q62" s="270">
        <f t="shared" si="6"/>
        <v>25</v>
      </c>
      <c r="R62">
        <v>11</v>
      </c>
      <c r="S62" s="270">
        <f t="shared" si="7"/>
        <v>79</v>
      </c>
      <c r="T62">
        <v>3.3</v>
      </c>
      <c r="U62" s="270">
        <f t="shared" si="8"/>
        <v>133</v>
      </c>
      <c r="V62">
        <v>1.95</v>
      </c>
      <c r="W62" s="270">
        <f t="shared" si="9"/>
        <v>187</v>
      </c>
      <c r="X62">
        <v>1.39</v>
      </c>
      <c r="Y62" s="270">
        <f t="shared" si="10"/>
        <v>241</v>
      </c>
      <c r="Z62">
        <v>1.07</v>
      </c>
    </row>
    <row r="63" spans="2:26">
      <c r="B63" s="266">
        <f t="shared" si="5"/>
        <v>60</v>
      </c>
      <c r="C63" s="266">
        <v>46</v>
      </c>
      <c r="D63" s="261">
        <f t="shared" si="0"/>
        <v>70</v>
      </c>
      <c r="F63" s="266">
        <f t="shared" si="1"/>
        <v>60</v>
      </c>
      <c r="G63" s="267">
        <v>46</v>
      </c>
      <c r="H63" s="262">
        <f t="shared" si="2"/>
        <v>70</v>
      </c>
      <c r="J63" s="261">
        <f t="shared" si="3"/>
        <v>34596</v>
      </c>
      <c r="L63">
        <f>T53*T53</f>
        <v>14.0625</v>
      </c>
      <c r="M63">
        <f t="shared" si="4"/>
        <v>30.375</v>
      </c>
      <c r="N63">
        <f>'КУ для 240 кГц '!E69</f>
        <v>30.327935303026461</v>
      </c>
      <c r="Q63" s="270">
        <f t="shared" si="6"/>
        <v>26</v>
      </c>
      <c r="R63">
        <v>10.3</v>
      </c>
      <c r="S63" s="270">
        <f t="shared" si="7"/>
        <v>80</v>
      </c>
      <c r="T63">
        <v>3.25</v>
      </c>
      <c r="U63" s="270">
        <f t="shared" si="8"/>
        <v>134</v>
      </c>
      <c r="V63">
        <v>1.93</v>
      </c>
      <c r="W63" s="270">
        <f t="shared" si="9"/>
        <v>188</v>
      </c>
      <c r="X63">
        <v>1.38</v>
      </c>
      <c r="Y63" s="270">
        <f t="shared" si="10"/>
        <v>242</v>
      </c>
      <c r="Z63">
        <v>1.06</v>
      </c>
    </row>
    <row r="64" spans="2:26">
      <c r="B64" s="266">
        <f t="shared" si="5"/>
        <v>61</v>
      </c>
      <c r="C64" s="266">
        <v>45</v>
      </c>
      <c r="D64" s="261">
        <f t="shared" si="0"/>
        <v>69</v>
      </c>
      <c r="F64" s="266">
        <f t="shared" si="1"/>
        <v>61</v>
      </c>
      <c r="G64" s="267">
        <v>46</v>
      </c>
      <c r="H64" s="262">
        <f t="shared" si="2"/>
        <v>70</v>
      </c>
      <c r="J64" s="261">
        <f t="shared" si="3"/>
        <v>34782</v>
      </c>
      <c r="L64">
        <f>T52*T53</f>
        <v>14.25</v>
      </c>
      <c r="M64">
        <f t="shared" si="4"/>
        <v>30.78</v>
      </c>
      <c r="N64">
        <f>'КУ для 240 кГц '!E70</f>
        <v>30.991152117629593</v>
      </c>
      <c r="Q64" s="270">
        <f t="shared" si="6"/>
        <v>27</v>
      </c>
      <c r="R64">
        <v>10</v>
      </c>
      <c r="S64" s="270">
        <f t="shared" si="7"/>
        <v>81</v>
      </c>
      <c r="T64">
        <v>3.2</v>
      </c>
      <c r="U64" s="270">
        <f t="shared" si="8"/>
        <v>135</v>
      </c>
      <c r="V64">
        <v>1.92</v>
      </c>
      <c r="W64" s="270">
        <f t="shared" si="9"/>
        <v>189</v>
      </c>
      <c r="X64">
        <v>1.37</v>
      </c>
      <c r="Y64" s="270">
        <f t="shared" si="10"/>
        <v>243</v>
      </c>
      <c r="Z64">
        <v>1.06</v>
      </c>
    </row>
    <row r="65" spans="2:26">
      <c r="B65" s="266">
        <f t="shared" si="5"/>
        <v>62</v>
      </c>
      <c r="C65" s="266">
        <v>44</v>
      </c>
      <c r="D65" s="261">
        <f t="shared" si="0"/>
        <v>68</v>
      </c>
      <c r="F65" s="266">
        <f t="shared" si="1"/>
        <v>62</v>
      </c>
      <c r="G65" s="267">
        <v>45</v>
      </c>
      <c r="H65" s="262">
        <f t="shared" si="2"/>
        <v>69</v>
      </c>
      <c r="J65" s="261">
        <f t="shared" si="3"/>
        <v>35156</v>
      </c>
      <c r="L65">
        <f>T51*T52</f>
        <v>14.629999999999999</v>
      </c>
      <c r="M65">
        <f t="shared" si="4"/>
        <v>31.6008</v>
      </c>
      <c r="N65">
        <f>'КУ для 240 кГц '!E71</f>
        <v>31.660305343992484</v>
      </c>
      <c r="Q65" s="270">
        <f t="shared" si="6"/>
        <v>28</v>
      </c>
      <c r="R65">
        <v>9.5</v>
      </c>
      <c r="S65" s="270">
        <f t="shared" si="7"/>
        <v>82</v>
      </c>
      <c r="T65">
        <v>3.15</v>
      </c>
      <c r="U65" s="270">
        <f t="shared" si="8"/>
        <v>136</v>
      </c>
      <c r="V65">
        <v>1.9</v>
      </c>
      <c r="W65" s="270">
        <f t="shared" si="9"/>
        <v>190</v>
      </c>
      <c r="X65">
        <v>1.36</v>
      </c>
      <c r="Y65" s="270">
        <f t="shared" si="10"/>
        <v>244</v>
      </c>
      <c r="Z65">
        <v>1.06</v>
      </c>
    </row>
    <row r="66" spans="2:26">
      <c r="B66" s="266">
        <f t="shared" si="5"/>
        <v>63</v>
      </c>
      <c r="C66" s="266">
        <v>43</v>
      </c>
      <c r="D66" s="261">
        <f t="shared" si="0"/>
        <v>67</v>
      </c>
      <c r="F66" s="266">
        <f t="shared" si="1"/>
        <v>63</v>
      </c>
      <c r="G66" s="267">
        <v>44</v>
      </c>
      <c r="H66" s="262">
        <f t="shared" si="2"/>
        <v>68</v>
      </c>
      <c r="J66" s="261">
        <f t="shared" si="3"/>
        <v>35532</v>
      </c>
      <c r="L66">
        <f>T50*T51</f>
        <v>15.015000000000001</v>
      </c>
      <c r="M66">
        <f t="shared" si="4"/>
        <v>32.432400000000001</v>
      </c>
      <c r="N66">
        <f>'КУ для 240 кГц '!E72</f>
        <v>32.335438083745352</v>
      </c>
      <c r="Q66" s="270">
        <f t="shared" si="6"/>
        <v>29</v>
      </c>
      <c r="R66">
        <v>9.3000000000000007</v>
      </c>
      <c r="S66" s="270">
        <f t="shared" si="7"/>
        <v>83</v>
      </c>
      <c r="T66">
        <v>3.1</v>
      </c>
      <c r="U66" s="270">
        <f t="shared" si="8"/>
        <v>137</v>
      </c>
      <c r="V66">
        <v>1.89</v>
      </c>
      <c r="W66" s="270">
        <f t="shared" si="9"/>
        <v>191</v>
      </c>
      <c r="X66">
        <v>1.36</v>
      </c>
      <c r="Y66" s="270">
        <f t="shared" si="10"/>
        <v>245</v>
      </c>
      <c r="Z66">
        <v>1.05</v>
      </c>
    </row>
    <row r="67" spans="2:26">
      <c r="B67" s="266">
        <f t="shared" si="5"/>
        <v>64</v>
      </c>
      <c r="C67" s="266">
        <v>42</v>
      </c>
      <c r="D67" s="261">
        <f t="shared" si="0"/>
        <v>66</v>
      </c>
      <c r="F67" s="266">
        <f t="shared" si="1"/>
        <v>64</v>
      </c>
      <c r="G67" s="267">
        <v>43</v>
      </c>
      <c r="H67" s="262">
        <f t="shared" si="2"/>
        <v>67</v>
      </c>
      <c r="J67" s="261">
        <f t="shared" si="3"/>
        <v>35910</v>
      </c>
      <c r="L67">
        <f>T49*T50</f>
        <v>15.405000000000001</v>
      </c>
      <c r="M67">
        <f t="shared" si="4"/>
        <v>33.274799999999999</v>
      </c>
      <c r="N67">
        <f>'КУ для 240 кГц '!E73</f>
        <v>33.016593722743259</v>
      </c>
      <c r="Q67" s="270">
        <f t="shared" si="6"/>
        <v>30</v>
      </c>
      <c r="R67">
        <v>9</v>
      </c>
      <c r="S67" s="270">
        <f t="shared" si="7"/>
        <v>84</v>
      </c>
      <c r="T67">
        <v>3.05</v>
      </c>
      <c r="U67" s="270">
        <f t="shared" si="8"/>
        <v>138</v>
      </c>
      <c r="V67">
        <v>1.88</v>
      </c>
      <c r="W67" s="270">
        <f t="shared" si="9"/>
        <v>192</v>
      </c>
      <c r="X67">
        <v>1.35</v>
      </c>
      <c r="Y67" s="270">
        <f t="shared" si="10"/>
        <v>246</v>
      </c>
      <c r="Z67">
        <v>1.05</v>
      </c>
    </row>
    <row r="68" spans="2:26">
      <c r="B68" s="266">
        <f t="shared" si="5"/>
        <v>65</v>
      </c>
      <c r="C68" s="266">
        <v>42</v>
      </c>
      <c r="D68" s="261">
        <f t="shared" si="0"/>
        <v>66</v>
      </c>
      <c r="F68" s="266">
        <f t="shared" si="1"/>
        <v>65</v>
      </c>
      <c r="G68" s="267">
        <v>42</v>
      </c>
      <c r="H68" s="262">
        <f t="shared" si="2"/>
        <v>66</v>
      </c>
      <c r="J68" s="261">
        <f t="shared" si="3"/>
        <v>36100</v>
      </c>
      <c r="L68">
        <f>T49*T49</f>
        <v>15.602500000000001</v>
      </c>
      <c r="M68">
        <f t="shared" si="4"/>
        <v>33.7014</v>
      </c>
      <c r="N68">
        <f>'КУ для 240 кГц '!E74</f>
        <v>33.703815932838957</v>
      </c>
      <c r="Q68" s="270">
        <f t="shared" si="6"/>
        <v>31</v>
      </c>
      <c r="R68">
        <v>8.5</v>
      </c>
      <c r="S68" s="270">
        <f t="shared" si="7"/>
        <v>85</v>
      </c>
      <c r="T68">
        <v>3</v>
      </c>
      <c r="U68" s="270">
        <f t="shared" si="8"/>
        <v>139</v>
      </c>
      <c r="V68">
        <v>1.87</v>
      </c>
      <c r="W68" s="270">
        <f t="shared" si="9"/>
        <v>193</v>
      </c>
      <c r="X68">
        <v>1.34</v>
      </c>
      <c r="Y68" s="270">
        <f t="shared" si="10"/>
        <v>247</v>
      </c>
      <c r="Z68">
        <v>1.04</v>
      </c>
    </row>
    <row r="69" spans="2:26">
      <c r="B69" s="266">
        <f t="shared" si="5"/>
        <v>66</v>
      </c>
      <c r="C69" s="266">
        <v>41</v>
      </c>
      <c r="D69" s="261">
        <f t="shared" ref="D69:D88" si="11">HEX2DEC(C69)</f>
        <v>65</v>
      </c>
      <c r="F69" s="266">
        <f t="shared" ref="F69:F88" si="12">B69</f>
        <v>66</v>
      </c>
      <c r="G69" s="267">
        <v>41</v>
      </c>
      <c r="H69" s="262">
        <f t="shared" ref="H69:H88" si="13">HEX2DEC(G69)</f>
        <v>65</v>
      </c>
      <c r="J69" s="261">
        <f t="shared" ref="J69:J88" si="14">(256-D69)*(256-H69)</f>
        <v>36481</v>
      </c>
      <c r="L69">
        <f>T48*T48</f>
        <v>15.760900000000001</v>
      </c>
      <c r="M69">
        <f t="shared" ref="M69:M88" si="15">L69*3.6*0.5*1.2</f>
        <v>34.043543999999997</v>
      </c>
      <c r="N69">
        <f>'КУ для 240 кГц '!E75</f>
        <v>34.397148673666479</v>
      </c>
      <c r="Q69" s="270">
        <f t="shared" si="6"/>
        <v>32</v>
      </c>
      <c r="R69">
        <v>8.1</v>
      </c>
      <c r="S69" s="270">
        <f t="shared" si="7"/>
        <v>86</v>
      </c>
      <c r="T69">
        <v>2.95</v>
      </c>
      <c r="U69" s="270">
        <f t="shared" si="8"/>
        <v>140</v>
      </c>
      <c r="V69">
        <v>1.85</v>
      </c>
      <c r="W69" s="270">
        <f t="shared" si="9"/>
        <v>194</v>
      </c>
      <c r="X69">
        <v>1.34</v>
      </c>
      <c r="Y69" s="270">
        <f t="shared" si="10"/>
        <v>248</v>
      </c>
      <c r="Z69">
        <v>1.04</v>
      </c>
    </row>
    <row r="70" spans="2:26">
      <c r="B70" s="266">
        <f t="shared" ref="B70:B88" si="16">B69+1</f>
        <v>67</v>
      </c>
      <c r="C70" s="266">
        <v>41</v>
      </c>
      <c r="D70" s="261">
        <f t="shared" si="11"/>
        <v>65</v>
      </c>
      <c r="F70" s="266">
        <f t="shared" si="12"/>
        <v>67</v>
      </c>
      <c r="G70" s="267">
        <v>40</v>
      </c>
      <c r="H70" s="262">
        <f t="shared" si="13"/>
        <v>64</v>
      </c>
      <c r="J70" s="261">
        <f t="shared" si="14"/>
        <v>36672</v>
      </c>
      <c r="L70">
        <f>T48*T47</f>
        <v>15.88</v>
      </c>
      <c r="M70">
        <f t="shared" si="15"/>
        <v>34.300800000000002</v>
      </c>
      <c r="N70">
        <f>'КУ для 240 кГц '!E76</f>
        <v>35.096636194435533</v>
      </c>
      <c r="Q70" s="270">
        <f t="shared" si="6"/>
        <v>33</v>
      </c>
      <c r="R70">
        <v>7.8</v>
      </c>
      <c r="S70" s="270">
        <f t="shared" si="7"/>
        <v>87</v>
      </c>
      <c r="T70">
        <v>2.9</v>
      </c>
      <c r="U70" s="270">
        <f t="shared" si="8"/>
        <v>141</v>
      </c>
      <c r="V70">
        <v>1.83</v>
      </c>
      <c r="W70" s="270">
        <f t="shared" si="9"/>
        <v>195</v>
      </c>
      <c r="X70">
        <v>1.33</v>
      </c>
      <c r="Y70" s="270">
        <f t="shared" si="10"/>
        <v>249</v>
      </c>
      <c r="Z70">
        <v>1.03</v>
      </c>
    </row>
    <row r="71" spans="2:26">
      <c r="B71" s="266">
        <f t="shared" si="16"/>
        <v>68</v>
      </c>
      <c r="C71" s="266">
        <v>40</v>
      </c>
      <c r="D71" s="261">
        <f t="shared" si="11"/>
        <v>64</v>
      </c>
      <c r="F71" s="266">
        <f t="shared" si="12"/>
        <v>68</v>
      </c>
      <c r="G71" s="267" t="s">
        <v>277</v>
      </c>
      <c r="H71" s="262">
        <f t="shared" si="13"/>
        <v>63</v>
      </c>
      <c r="J71" s="261">
        <f t="shared" si="14"/>
        <v>37056</v>
      </c>
      <c r="L71">
        <f>T47*T46</f>
        <v>16.399999999999999</v>
      </c>
      <c r="M71">
        <f t="shared" si="15"/>
        <v>35.423999999999999</v>
      </c>
      <c r="N71">
        <f>'КУ для 240 кГц '!E77</f>
        <v>35.802323035736656</v>
      </c>
      <c r="Q71" s="270">
        <f t="shared" si="6"/>
        <v>34</v>
      </c>
      <c r="R71">
        <v>7.6</v>
      </c>
      <c r="S71" s="270">
        <f t="shared" si="7"/>
        <v>88</v>
      </c>
      <c r="T71">
        <v>2.88</v>
      </c>
      <c r="U71" s="270">
        <f t="shared" si="8"/>
        <v>142</v>
      </c>
      <c r="V71">
        <v>1.82</v>
      </c>
      <c r="W71" s="270">
        <f t="shared" si="9"/>
        <v>196</v>
      </c>
      <c r="X71">
        <v>1.32</v>
      </c>
      <c r="Y71" s="270">
        <f t="shared" si="10"/>
        <v>250</v>
      </c>
      <c r="Z71">
        <v>1.03</v>
      </c>
    </row>
    <row r="72" spans="2:26">
      <c r="B72" s="266">
        <f t="shared" si="16"/>
        <v>69</v>
      </c>
      <c r="C72" s="266" t="s">
        <v>277</v>
      </c>
      <c r="D72" s="261">
        <f t="shared" si="11"/>
        <v>63</v>
      </c>
      <c r="F72" s="266">
        <f t="shared" si="12"/>
        <v>69</v>
      </c>
      <c r="G72" s="267" t="s">
        <v>277</v>
      </c>
      <c r="H72" s="262">
        <f t="shared" si="13"/>
        <v>63</v>
      </c>
      <c r="J72" s="261">
        <f t="shared" si="14"/>
        <v>37249</v>
      </c>
      <c r="L72">
        <f>T46*T46</f>
        <v>16.809999999999999</v>
      </c>
      <c r="M72">
        <f t="shared" si="15"/>
        <v>36.309599999999996</v>
      </c>
      <c r="N72">
        <f>'КУ для 240 кГц '!E78</f>
        <v>36.514254031357119</v>
      </c>
      <c r="Q72" s="270">
        <f t="shared" si="6"/>
        <v>35</v>
      </c>
      <c r="R72">
        <v>7.5</v>
      </c>
      <c r="S72" s="270">
        <f t="shared" si="7"/>
        <v>89</v>
      </c>
      <c r="T72">
        <v>2.85</v>
      </c>
      <c r="U72" s="270">
        <f t="shared" si="8"/>
        <v>143</v>
      </c>
      <c r="V72">
        <v>1.81</v>
      </c>
      <c r="W72" s="270">
        <f t="shared" si="9"/>
        <v>197</v>
      </c>
      <c r="X72">
        <v>1.31</v>
      </c>
      <c r="Y72" s="270">
        <f t="shared" si="10"/>
        <v>251</v>
      </c>
      <c r="Z72">
        <v>1.02</v>
      </c>
    </row>
    <row r="73" spans="2:26">
      <c r="B73" s="266">
        <f t="shared" si="16"/>
        <v>70</v>
      </c>
      <c r="C73" s="266" t="s">
        <v>278</v>
      </c>
      <c r="D73" s="261">
        <f t="shared" si="11"/>
        <v>62</v>
      </c>
      <c r="F73" s="266">
        <f t="shared" si="12"/>
        <v>70</v>
      </c>
      <c r="G73" s="267" t="s">
        <v>278</v>
      </c>
      <c r="H73" s="262">
        <f t="shared" si="13"/>
        <v>62</v>
      </c>
      <c r="J73" s="261">
        <f t="shared" si="14"/>
        <v>37636</v>
      </c>
      <c r="L73">
        <f>T45*T45</f>
        <v>17.64</v>
      </c>
      <c r="M73">
        <f t="shared" si="15"/>
        <v>38.102400000000003</v>
      </c>
      <c r="N73">
        <f>'КУ для 240 кГц '!E79</f>
        <v>37.232474310107904</v>
      </c>
      <c r="Q73" s="270">
        <f t="shared" si="6"/>
        <v>36</v>
      </c>
      <c r="R73">
        <v>7.4</v>
      </c>
      <c r="S73" s="270">
        <f t="shared" si="7"/>
        <v>90</v>
      </c>
      <c r="T73">
        <v>2.82</v>
      </c>
      <c r="U73" s="270">
        <f t="shared" si="8"/>
        <v>144</v>
      </c>
      <c r="V73">
        <v>1.8</v>
      </c>
      <c r="W73" s="270">
        <f t="shared" si="9"/>
        <v>198</v>
      </c>
      <c r="X73">
        <v>1.31</v>
      </c>
      <c r="Y73" s="270">
        <f t="shared" si="10"/>
        <v>252</v>
      </c>
      <c r="Z73">
        <v>1.02</v>
      </c>
    </row>
    <row r="74" spans="2:26">
      <c r="B74" s="266">
        <f t="shared" si="16"/>
        <v>71</v>
      </c>
      <c r="C74" s="266" t="s">
        <v>278</v>
      </c>
      <c r="D74" s="261">
        <f t="shared" si="11"/>
        <v>62</v>
      </c>
      <c r="F74" s="266">
        <f t="shared" si="12"/>
        <v>71</v>
      </c>
      <c r="G74" s="267" t="s">
        <v>279</v>
      </c>
      <c r="H74" s="262">
        <f t="shared" si="13"/>
        <v>61</v>
      </c>
      <c r="J74" s="261">
        <f t="shared" si="14"/>
        <v>37830</v>
      </c>
      <c r="L74">
        <f>T45*T44</f>
        <v>18.059999999999999</v>
      </c>
      <c r="M74">
        <f t="shared" si="15"/>
        <v>39.009599999999992</v>
      </c>
      <c r="N74">
        <f>'КУ для 240 кГц '!E80</f>
        <v>37.957029297661585</v>
      </c>
      <c r="Q74" s="270">
        <f t="shared" si="6"/>
        <v>37</v>
      </c>
      <c r="R74">
        <v>7.2</v>
      </c>
      <c r="S74" s="270">
        <f t="shared" si="7"/>
        <v>91</v>
      </c>
      <c r="T74">
        <v>2.8</v>
      </c>
      <c r="U74" s="270">
        <f t="shared" si="8"/>
        <v>145</v>
      </c>
      <c r="V74">
        <v>1.79</v>
      </c>
      <c r="W74" s="270">
        <f t="shared" si="9"/>
        <v>199</v>
      </c>
      <c r="X74">
        <v>1.3</v>
      </c>
      <c r="Y74" s="270">
        <f t="shared" si="10"/>
        <v>253</v>
      </c>
      <c r="Z74">
        <v>1.02</v>
      </c>
    </row>
    <row r="75" spans="2:26">
      <c r="B75" s="266">
        <f t="shared" si="16"/>
        <v>72</v>
      </c>
      <c r="C75" s="266" t="s">
        <v>279</v>
      </c>
      <c r="D75" s="261">
        <f t="shared" si="11"/>
        <v>61</v>
      </c>
      <c r="F75" s="266">
        <f t="shared" si="12"/>
        <v>72</v>
      </c>
      <c r="G75" s="267" t="s">
        <v>279</v>
      </c>
      <c r="H75" s="262">
        <f t="shared" si="13"/>
        <v>61</v>
      </c>
      <c r="J75" s="261">
        <f t="shared" si="14"/>
        <v>38025</v>
      </c>
      <c r="L75">
        <f>T44*T44</f>
        <v>18.489999999999998</v>
      </c>
      <c r="M75">
        <f t="shared" si="15"/>
        <v>39.938399999999994</v>
      </c>
      <c r="N75">
        <f>'КУ для 240 кГц '!E81</f>
        <v>38.687964718401219</v>
      </c>
      <c r="Q75" s="270">
        <f t="shared" si="6"/>
        <v>38</v>
      </c>
      <c r="R75">
        <v>7</v>
      </c>
      <c r="S75" s="270">
        <f t="shared" si="7"/>
        <v>92</v>
      </c>
      <c r="T75">
        <v>2.79</v>
      </c>
      <c r="U75" s="270">
        <f t="shared" si="8"/>
        <v>146</v>
      </c>
      <c r="V75">
        <v>1.78</v>
      </c>
      <c r="W75" s="270">
        <f t="shared" si="9"/>
        <v>200</v>
      </c>
      <c r="X75">
        <v>1.29</v>
      </c>
      <c r="Y75" s="270">
        <f t="shared" si="10"/>
        <v>254</v>
      </c>
      <c r="Z75">
        <v>1.01</v>
      </c>
    </row>
    <row r="76" spans="2:26">
      <c r="B76" s="266">
        <f t="shared" si="16"/>
        <v>73</v>
      </c>
      <c r="C76" s="266" t="s">
        <v>279</v>
      </c>
      <c r="D76" s="261">
        <f t="shared" si="11"/>
        <v>61</v>
      </c>
      <c r="F76" s="266">
        <f t="shared" si="12"/>
        <v>73</v>
      </c>
      <c r="G76" s="267" t="s">
        <v>280</v>
      </c>
      <c r="H76" s="262">
        <f t="shared" si="13"/>
        <v>60</v>
      </c>
      <c r="J76" s="261">
        <f t="shared" si="14"/>
        <v>38220</v>
      </c>
      <c r="L76">
        <f>T44*T43</f>
        <v>18.920000000000002</v>
      </c>
      <c r="M76">
        <f t="shared" si="15"/>
        <v>40.867200000000004</v>
      </c>
      <c r="N76">
        <f>'КУ для 240 кГц '!E82</f>
        <v>39.425326597280453</v>
      </c>
      <c r="Q76" s="270">
        <f t="shared" si="6"/>
        <v>39</v>
      </c>
      <c r="R76">
        <v>6.9</v>
      </c>
      <c r="S76" s="270">
        <f t="shared" si="7"/>
        <v>93</v>
      </c>
      <c r="T76">
        <v>2.78</v>
      </c>
      <c r="U76" s="270">
        <f t="shared" si="8"/>
        <v>147</v>
      </c>
      <c r="V76">
        <v>1.77</v>
      </c>
      <c r="W76" s="270">
        <f t="shared" si="9"/>
        <v>201</v>
      </c>
      <c r="X76">
        <v>1.29</v>
      </c>
      <c r="Y76" s="270">
        <f t="shared" si="10"/>
        <v>255</v>
      </c>
      <c r="Z76">
        <v>1.01</v>
      </c>
    </row>
    <row r="77" spans="2:26">
      <c r="B77" s="266">
        <f t="shared" si="16"/>
        <v>74</v>
      </c>
      <c r="C77" s="266" t="s">
        <v>280</v>
      </c>
      <c r="D77" s="261">
        <f t="shared" si="11"/>
        <v>60</v>
      </c>
      <c r="F77" s="266">
        <f t="shared" si="12"/>
        <v>74</v>
      </c>
      <c r="G77" s="267" t="s">
        <v>280</v>
      </c>
      <c r="H77" s="262">
        <f t="shared" si="13"/>
        <v>60</v>
      </c>
      <c r="J77" s="261">
        <f t="shared" si="14"/>
        <v>38416</v>
      </c>
      <c r="L77">
        <f>T43*T43</f>
        <v>19.360000000000003</v>
      </c>
      <c r="M77">
        <f t="shared" si="15"/>
        <v>41.817600000000006</v>
      </c>
      <c r="N77">
        <f>'КУ для 240 кГц '!E83</f>
        <v>40.169161261694711</v>
      </c>
      <c r="Q77" s="270">
        <f t="shared" si="6"/>
        <v>40</v>
      </c>
      <c r="R77">
        <v>6.7</v>
      </c>
      <c r="S77" s="270">
        <f t="shared" si="7"/>
        <v>94</v>
      </c>
      <c r="T77">
        <v>2.76</v>
      </c>
      <c r="U77" s="270">
        <f t="shared" si="8"/>
        <v>148</v>
      </c>
      <c r="V77">
        <v>1.75</v>
      </c>
      <c r="W77" s="270">
        <f t="shared" si="9"/>
        <v>202</v>
      </c>
      <c r="X77">
        <v>1.28</v>
      </c>
      <c r="Y77" s="270">
        <f t="shared" si="10"/>
        <v>256</v>
      </c>
      <c r="Z77">
        <v>1</v>
      </c>
    </row>
    <row r="78" spans="2:26">
      <c r="B78" s="266">
        <f t="shared" si="16"/>
        <v>75</v>
      </c>
      <c r="C78" s="266" t="s">
        <v>280</v>
      </c>
      <c r="D78" s="261">
        <f t="shared" si="11"/>
        <v>60</v>
      </c>
      <c r="F78" s="266">
        <f t="shared" si="12"/>
        <v>75</v>
      </c>
      <c r="G78" s="267" t="s">
        <v>280</v>
      </c>
      <c r="H78" s="262">
        <f t="shared" si="13"/>
        <v>60</v>
      </c>
      <c r="J78" s="261">
        <f t="shared" si="14"/>
        <v>38416</v>
      </c>
      <c r="L78">
        <f>T43*T43</f>
        <v>19.360000000000003</v>
      </c>
      <c r="M78">
        <f t="shared" si="15"/>
        <v>41.817600000000006</v>
      </c>
      <c r="N78">
        <f>'КУ для 240 кГц '!E84</f>
        <v>40.919515343363607</v>
      </c>
      <c r="Q78" s="270">
        <f t="shared" si="6"/>
        <v>41</v>
      </c>
      <c r="R78">
        <v>6.5</v>
      </c>
      <c r="S78" s="270">
        <f t="shared" si="7"/>
        <v>95</v>
      </c>
      <c r="T78">
        <v>2.74</v>
      </c>
      <c r="U78" s="270">
        <f t="shared" si="8"/>
        <v>149</v>
      </c>
      <c r="V78">
        <v>1.74</v>
      </c>
      <c r="W78" s="270">
        <f t="shared" si="9"/>
        <v>203</v>
      </c>
      <c r="X78">
        <v>1.27</v>
      </c>
      <c r="Y78" s="270" t="s">
        <v>9</v>
      </c>
    </row>
    <row r="79" spans="2:26">
      <c r="B79" s="266">
        <f t="shared" si="16"/>
        <v>76</v>
      </c>
      <c r="C79" s="266" t="s">
        <v>281</v>
      </c>
      <c r="D79" s="261">
        <f t="shared" si="11"/>
        <v>59</v>
      </c>
      <c r="F79" s="266">
        <f t="shared" si="12"/>
        <v>76</v>
      </c>
      <c r="G79" s="267" t="s">
        <v>280</v>
      </c>
      <c r="H79" s="262">
        <f t="shared" si="13"/>
        <v>60</v>
      </c>
      <c r="J79" s="261">
        <f t="shared" si="14"/>
        <v>38612</v>
      </c>
      <c r="L79">
        <f>T42*T43</f>
        <v>19.8</v>
      </c>
      <c r="M79">
        <f t="shared" si="15"/>
        <v>42.768000000000001</v>
      </c>
      <c r="N79">
        <f>'КУ для 240 кГц '!E85</f>
        <v>41.676435780224899</v>
      </c>
      <c r="Q79" s="270">
        <f t="shared" si="6"/>
        <v>42</v>
      </c>
      <c r="R79">
        <v>6.4</v>
      </c>
      <c r="S79" s="270">
        <f t="shared" si="7"/>
        <v>96</v>
      </c>
      <c r="T79">
        <v>2.72</v>
      </c>
      <c r="U79" s="270">
        <f t="shared" si="8"/>
        <v>150</v>
      </c>
      <c r="V79">
        <v>1.73</v>
      </c>
      <c r="W79" s="270">
        <f t="shared" si="9"/>
        <v>204</v>
      </c>
      <c r="X79">
        <v>1.27</v>
      </c>
    </row>
    <row r="80" spans="2:26">
      <c r="B80" s="266">
        <f t="shared" si="16"/>
        <v>77</v>
      </c>
      <c r="C80" s="266" t="s">
        <v>281</v>
      </c>
      <c r="D80" s="261">
        <f t="shared" si="11"/>
        <v>59</v>
      </c>
      <c r="F80" s="266">
        <f t="shared" si="12"/>
        <v>77</v>
      </c>
      <c r="G80" s="267" t="s">
        <v>281</v>
      </c>
      <c r="H80" s="262">
        <f t="shared" si="13"/>
        <v>59</v>
      </c>
      <c r="J80" s="261">
        <f t="shared" si="14"/>
        <v>38809</v>
      </c>
      <c r="L80">
        <f>T42*T42</f>
        <v>20.25</v>
      </c>
      <c r="M80">
        <f t="shared" si="15"/>
        <v>43.74</v>
      </c>
      <c r="N80">
        <f>'КУ для 240 кГц '!E86</f>
        <v>42.439969818339364</v>
      </c>
      <c r="Q80" s="270">
        <f t="shared" si="6"/>
        <v>43</v>
      </c>
      <c r="R80">
        <v>6.3</v>
      </c>
      <c r="S80" s="270">
        <f t="shared" si="7"/>
        <v>97</v>
      </c>
      <c r="T80">
        <v>2.71</v>
      </c>
      <c r="U80" s="270">
        <f t="shared" si="8"/>
        <v>151</v>
      </c>
      <c r="V80">
        <v>1.71</v>
      </c>
      <c r="W80" s="270">
        <f t="shared" si="9"/>
        <v>205</v>
      </c>
      <c r="X80">
        <v>1.26</v>
      </c>
    </row>
    <row r="81" spans="2:24">
      <c r="B81" s="266">
        <f t="shared" si="16"/>
        <v>78</v>
      </c>
      <c r="C81" s="266" t="s">
        <v>281</v>
      </c>
      <c r="D81" s="261">
        <f t="shared" si="11"/>
        <v>59</v>
      </c>
      <c r="F81" s="266">
        <f t="shared" si="12"/>
        <v>78</v>
      </c>
      <c r="G81" s="267" t="s">
        <v>282</v>
      </c>
      <c r="H81" s="262">
        <f t="shared" si="13"/>
        <v>58</v>
      </c>
      <c r="J81" s="261">
        <f t="shared" si="14"/>
        <v>39006</v>
      </c>
      <c r="L81">
        <f>T42*T41</f>
        <v>20.7</v>
      </c>
      <c r="M81">
        <f t="shared" si="15"/>
        <v>44.711999999999996</v>
      </c>
      <c r="N81">
        <f>'КУ для 240 кГц '!E87</f>
        <v>43.210165013807696</v>
      </c>
      <c r="Q81" s="270">
        <f t="shared" si="6"/>
        <v>44</v>
      </c>
      <c r="R81">
        <v>6.1</v>
      </c>
      <c r="S81" s="270">
        <f t="shared" si="7"/>
        <v>98</v>
      </c>
      <c r="T81">
        <v>2.7</v>
      </c>
      <c r="U81" s="270">
        <f t="shared" si="8"/>
        <v>152</v>
      </c>
      <c r="V81">
        <v>1.7</v>
      </c>
      <c r="W81" s="270">
        <f t="shared" si="9"/>
        <v>206</v>
      </c>
      <c r="X81">
        <v>1.26</v>
      </c>
    </row>
    <row r="82" spans="2:24">
      <c r="B82" s="266">
        <f t="shared" si="16"/>
        <v>79</v>
      </c>
      <c r="C82" s="266" t="s">
        <v>282</v>
      </c>
      <c r="D82" s="261">
        <f t="shared" si="11"/>
        <v>58</v>
      </c>
      <c r="F82" s="266">
        <f t="shared" si="12"/>
        <v>79</v>
      </c>
      <c r="G82" s="267" t="s">
        <v>282</v>
      </c>
      <c r="H82" s="262">
        <f t="shared" si="13"/>
        <v>58</v>
      </c>
      <c r="J82" s="261">
        <f t="shared" si="14"/>
        <v>39204</v>
      </c>
      <c r="L82">
        <f>T41*T41</f>
        <v>21.159999999999997</v>
      </c>
      <c r="M82">
        <f t="shared" si="15"/>
        <v>45.70559999999999</v>
      </c>
      <c r="N82">
        <f>'КУ для 240 кГц '!E88</f>
        <v>43.987069234698232</v>
      </c>
      <c r="Q82" s="270">
        <f t="shared" si="6"/>
        <v>45</v>
      </c>
      <c r="R82">
        <v>6</v>
      </c>
      <c r="S82" s="270">
        <f t="shared" si="7"/>
        <v>99</v>
      </c>
      <c r="T82">
        <v>2.69</v>
      </c>
      <c r="U82" s="270">
        <f t="shared" si="8"/>
        <v>153</v>
      </c>
      <c r="V82">
        <v>1.69</v>
      </c>
      <c r="W82" s="270">
        <f t="shared" si="9"/>
        <v>207</v>
      </c>
      <c r="X82">
        <v>1.25</v>
      </c>
    </row>
    <row r="83" spans="2:24">
      <c r="B83" s="266">
        <f t="shared" si="16"/>
        <v>80</v>
      </c>
      <c r="C83" s="266" t="s">
        <v>282</v>
      </c>
      <c r="D83" s="261">
        <f t="shared" si="11"/>
        <v>58</v>
      </c>
      <c r="F83" s="266">
        <f t="shared" si="12"/>
        <v>80</v>
      </c>
      <c r="G83" s="267" t="s">
        <v>282</v>
      </c>
      <c r="H83" s="262">
        <f t="shared" si="13"/>
        <v>58</v>
      </c>
      <c r="J83" s="261">
        <f t="shared" si="14"/>
        <v>39204</v>
      </c>
      <c r="L83">
        <f>T41*T41</f>
        <v>21.159999999999997</v>
      </c>
      <c r="M83">
        <f t="shared" si="15"/>
        <v>45.70559999999999</v>
      </c>
      <c r="N83">
        <f>'КУ для 240 кГц '!E89</f>
        <v>44.770730662987077</v>
      </c>
      <c r="Q83" s="270">
        <f t="shared" si="6"/>
        <v>46</v>
      </c>
      <c r="R83">
        <v>5.8</v>
      </c>
      <c r="S83" s="270">
        <f t="shared" si="7"/>
        <v>100</v>
      </c>
      <c r="T83">
        <v>2.68</v>
      </c>
      <c r="U83" s="270">
        <f t="shared" si="8"/>
        <v>154</v>
      </c>
      <c r="V83">
        <v>1.68</v>
      </c>
      <c r="W83" s="270">
        <f t="shared" si="9"/>
        <v>208</v>
      </c>
      <c r="X83">
        <v>1.24</v>
      </c>
    </row>
    <row r="84" spans="2:24">
      <c r="B84" s="266">
        <f t="shared" si="16"/>
        <v>81</v>
      </c>
      <c r="C84" s="266">
        <v>39</v>
      </c>
      <c r="D84" s="261">
        <f t="shared" si="11"/>
        <v>57</v>
      </c>
      <c r="F84" s="266">
        <f t="shared" si="12"/>
        <v>81</v>
      </c>
      <c r="G84" s="267" t="s">
        <v>282</v>
      </c>
      <c r="H84" s="262">
        <f t="shared" si="13"/>
        <v>58</v>
      </c>
      <c r="J84" s="261">
        <f t="shared" si="14"/>
        <v>39402</v>
      </c>
      <c r="L84">
        <f>T40*T41</f>
        <v>21.619999999999997</v>
      </c>
      <c r="M84">
        <f t="shared" si="15"/>
        <v>46.699199999999998</v>
      </c>
      <c r="N84">
        <f>'КУ для 240 кГц '!E90</f>
        <v>45.561197796508871</v>
      </c>
      <c r="Q84" s="270">
        <f t="shared" si="6"/>
        <v>47</v>
      </c>
      <c r="R84">
        <v>5.7</v>
      </c>
      <c r="S84" s="270">
        <f t="shared" si="7"/>
        <v>101</v>
      </c>
      <c r="T84">
        <v>2.64</v>
      </c>
      <c r="U84" s="270">
        <f t="shared" si="8"/>
        <v>155</v>
      </c>
      <c r="V84">
        <v>1.67</v>
      </c>
      <c r="W84" s="270">
        <f t="shared" si="9"/>
        <v>209</v>
      </c>
      <c r="X84">
        <v>1.24</v>
      </c>
    </row>
    <row r="85" spans="2:24">
      <c r="B85" s="266">
        <f t="shared" si="16"/>
        <v>82</v>
      </c>
      <c r="C85" s="266">
        <v>39</v>
      </c>
      <c r="D85" s="261">
        <f t="shared" si="11"/>
        <v>57</v>
      </c>
      <c r="F85" s="266">
        <f t="shared" si="12"/>
        <v>82</v>
      </c>
      <c r="G85" s="267">
        <v>39</v>
      </c>
      <c r="H85" s="262">
        <f t="shared" si="13"/>
        <v>57</v>
      </c>
      <c r="J85" s="261">
        <f t="shared" si="14"/>
        <v>39601</v>
      </c>
      <c r="L85">
        <f>T40*T40</f>
        <v>22.090000000000003</v>
      </c>
      <c r="M85">
        <f t="shared" si="15"/>
        <v>47.714400000000005</v>
      </c>
      <c r="N85">
        <f>'КУ для 240 кГц '!E91</f>
        <v>46.35851945092044</v>
      </c>
      <c r="Q85" s="270">
        <f t="shared" si="6"/>
        <v>48</v>
      </c>
      <c r="R85">
        <v>5.6</v>
      </c>
      <c r="S85" s="270">
        <f t="shared" si="7"/>
        <v>102</v>
      </c>
      <c r="T85">
        <v>2.6</v>
      </c>
      <c r="U85" s="270">
        <f t="shared" si="8"/>
        <v>156</v>
      </c>
      <c r="V85">
        <v>1.66</v>
      </c>
      <c r="W85" s="270">
        <f t="shared" si="9"/>
        <v>210</v>
      </c>
      <c r="X85">
        <v>1.23</v>
      </c>
    </row>
    <row r="86" spans="2:24">
      <c r="B86" s="266">
        <f t="shared" si="16"/>
        <v>83</v>
      </c>
      <c r="C86" s="266">
        <v>39</v>
      </c>
      <c r="D86" s="261">
        <f t="shared" si="11"/>
        <v>57</v>
      </c>
      <c r="F86" s="266">
        <f t="shared" si="12"/>
        <v>83</v>
      </c>
      <c r="G86" s="267">
        <v>38</v>
      </c>
      <c r="H86" s="262">
        <f t="shared" si="13"/>
        <v>56</v>
      </c>
      <c r="J86" s="261">
        <f t="shared" si="14"/>
        <v>39800</v>
      </c>
      <c r="L86">
        <f>T40*T39</f>
        <v>22.56</v>
      </c>
      <c r="M86">
        <f t="shared" si="15"/>
        <v>48.729599999999998</v>
      </c>
      <c r="N86">
        <f>'КУ для 240 кГц '!E92</f>
        <v>47.162744761674972</v>
      </c>
      <c r="Q86" s="270">
        <f t="shared" si="6"/>
        <v>49</v>
      </c>
      <c r="R86">
        <v>5.5</v>
      </c>
      <c r="S86" s="270">
        <f t="shared" si="7"/>
        <v>103</v>
      </c>
      <c r="T86">
        <v>2.57</v>
      </c>
      <c r="U86" s="270">
        <f t="shared" si="8"/>
        <v>157</v>
      </c>
      <c r="V86">
        <v>1.65</v>
      </c>
      <c r="W86" s="270">
        <f t="shared" si="9"/>
        <v>211</v>
      </c>
      <c r="X86">
        <v>1.23</v>
      </c>
    </row>
    <row r="87" spans="2:24">
      <c r="B87" s="266">
        <f t="shared" si="16"/>
        <v>84</v>
      </c>
      <c r="C87" s="266">
        <v>38</v>
      </c>
      <c r="D87" s="261">
        <f t="shared" si="11"/>
        <v>56</v>
      </c>
      <c r="F87" s="266">
        <f t="shared" si="12"/>
        <v>84</v>
      </c>
      <c r="G87" s="267">
        <v>39</v>
      </c>
      <c r="H87" s="262">
        <f t="shared" si="13"/>
        <v>57</v>
      </c>
      <c r="J87" s="261">
        <f t="shared" si="14"/>
        <v>39800</v>
      </c>
      <c r="L87">
        <f>T39*T40</f>
        <v>22.56</v>
      </c>
      <c r="M87">
        <f t="shared" si="15"/>
        <v>48.729599999999998</v>
      </c>
      <c r="N87">
        <f>'КУ для 240 кГц '!E93</f>
        <v>47.973923186009173</v>
      </c>
      <c r="Q87" s="270">
        <f>Q86+1</f>
        <v>50</v>
      </c>
      <c r="R87">
        <v>5.4</v>
      </c>
      <c r="S87" s="270">
        <f t="shared" si="7"/>
        <v>104</v>
      </c>
      <c r="T87">
        <v>2.5299999999999998</v>
      </c>
      <c r="U87" s="270">
        <f t="shared" si="8"/>
        <v>158</v>
      </c>
      <c r="V87">
        <v>1.63</v>
      </c>
      <c r="W87" s="270">
        <f t="shared" si="9"/>
        <v>212</v>
      </c>
      <c r="X87">
        <v>1.22</v>
      </c>
    </row>
    <row r="88" spans="2:24">
      <c r="B88" s="266">
        <f t="shared" si="16"/>
        <v>85</v>
      </c>
      <c r="C88" s="266">
        <v>38</v>
      </c>
      <c r="D88" s="261">
        <f t="shared" si="11"/>
        <v>56</v>
      </c>
      <c r="F88" s="266">
        <f t="shared" si="12"/>
        <v>85</v>
      </c>
      <c r="G88" s="267">
        <v>38</v>
      </c>
      <c r="H88" s="262">
        <f t="shared" si="13"/>
        <v>56</v>
      </c>
      <c r="J88" s="261">
        <f t="shared" si="14"/>
        <v>40000</v>
      </c>
      <c r="L88">
        <f>T39*T39</f>
        <v>23.04</v>
      </c>
      <c r="M88">
        <f t="shared" si="15"/>
        <v>49.766399999999997</v>
      </c>
      <c r="N88">
        <f>'КУ для 240 кГц '!E94</f>
        <v>48.792104504941491</v>
      </c>
      <c r="Q88" s="270">
        <f t="shared" si="6"/>
        <v>51</v>
      </c>
      <c r="R88">
        <v>5.3</v>
      </c>
      <c r="S88" s="270">
        <f t="shared" si="7"/>
        <v>105</v>
      </c>
      <c r="T88">
        <v>2.5</v>
      </c>
      <c r="U88" s="270">
        <f t="shared" si="8"/>
        <v>159</v>
      </c>
      <c r="V88">
        <v>1.62</v>
      </c>
      <c r="W88" s="270">
        <f t="shared" si="9"/>
        <v>213</v>
      </c>
      <c r="X88">
        <v>1.21</v>
      </c>
    </row>
    <row r="89" spans="2:24">
      <c r="Q89" s="270">
        <f t="shared" si="6"/>
        <v>52</v>
      </c>
      <c r="R89">
        <v>5.2</v>
      </c>
      <c r="S89" s="270">
        <f t="shared" si="7"/>
        <v>106</v>
      </c>
      <c r="T89">
        <v>2.4700000000000002</v>
      </c>
      <c r="U89" s="270">
        <f t="shared" si="8"/>
        <v>160</v>
      </c>
      <c r="V89">
        <v>1.61</v>
      </c>
      <c r="W89" s="270">
        <f t="shared" si="9"/>
        <v>214</v>
      </c>
      <c r="X89">
        <v>1.21</v>
      </c>
    </row>
    <row r="90" spans="2:24">
      <c r="Q90" s="270">
        <f>Q89+1</f>
        <v>53</v>
      </c>
      <c r="R90">
        <v>5.0999999999999996</v>
      </c>
      <c r="S90" s="270">
        <f t="shared" si="7"/>
        <v>107</v>
      </c>
      <c r="T90">
        <v>2.44</v>
      </c>
      <c r="U90" s="270">
        <f t="shared" si="8"/>
        <v>161</v>
      </c>
      <c r="V90">
        <v>1.6</v>
      </c>
      <c r="W90" s="270">
        <f t="shared" si="9"/>
        <v>215</v>
      </c>
      <c r="X90">
        <v>1.2</v>
      </c>
    </row>
    <row r="91" spans="2:24">
      <c r="Q91" s="270">
        <f>Q90+1</f>
        <v>54</v>
      </c>
      <c r="R91">
        <v>5</v>
      </c>
      <c r="S91" s="270">
        <f t="shared" si="7"/>
        <v>108</v>
      </c>
      <c r="T91">
        <v>2.42</v>
      </c>
      <c r="U91" s="270">
        <f t="shared" si="8"/>
        <v>162</v>
      </c>
      <c r="V91">
        <v>1.59</v>
      </c>
      <c r="W91" s="270">
        <f t="shared" si="9"/>
        <v>216</v>
      </c>
      <c r="X91">
        <v>1.2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S146"/>
  <sheetViews>
    <sheetView zoomScale="50" zoomScaleNormal="50" workbookViewId="0">
      <selection activeCell="O4" sqref="O4"/>
    </sheetView>
  </sheetViews>
  <sheetFormatPr defaultRowHeight="14.4"/>
  <cols>
    <col min="1" max="1" width="13.21875" customWidth="1"/>
    <col min="2" max="2" width="5.109375" style="261" customWidth="1"/>
    <col min="3" max="3" width="6.6640625" style="261" customWidth="1"/>
    <col min="4" max="4" width="7.44140625" style="261" customWidth="1"/>
    <col min="5" max="5" width="4.44140625" customWidth="1"/>
    <col min="6" max="6" width="5.33203125" style="261" customWidth="1"/>
    <col min="7" max="7" width="7.21875" style="262" customWidth="1"/>
    <col min="8" max="8" width="6.88671875" style="262" customWidth="1"/>
    <col min="9" max="9" width="4.21875" customWidth="1"/>
    <col min="10" max="10" width="8.88671875" style="261"/>
  </cols>
  <sheetData>
    <row r="2" spans="2:71">
      <c r="B2" s="280">
        <v>1</v>
      </c>
      <c r="C2" s="280"/>
      <c r="D2" s="280"/>
      <c r="F2" s="280">
        <v>2</v>
      </c>
      <c r="G2" s="280"/>
      <c r="H2" s="280"/>
    </row>
    <row r="3" spans="2:71">
      <c r="B3" s="265" t="s">
        <v>283</v>
      </c>
      <c r="C3" s="265">
        <v>16</v>
      </c>
      <c r="D3" s="264">
        <v>10</v>
      </c>
      <c r="F3" s="265" t="str">
        <f>B3</f>
        <v>Шаг</v>
      </c>
      <c r="G3" s="268">
        <v>16</v>
      </c>
      <c r="H3" s="269">
        <v>10</v>
      </c>
      <c r="J3" s="261" t="s">
        <v>234</v>
      </c>
      <c r="Q3" s="265" t="s">
        <v>283</v>
      </c>
      <c r="R3" s="265">
        <v>10</v>
      </c>
      <c r="S3" s="264">
        <v>16</v>
      </c>
      <c r="T3" s="263"/>
      <c r="U3" s="265" t="str">
        <f>Q3</f>
        <v>Шаг</v>
      </c>
      <c r="V3" s="265">
        <v>10</v>
      </c>
      <c r="W3" s="264">
        <v>16</v>
      </c>
      <c r="Y3" t="s">
        <v>234</v>
      </c>
    </row>
    <row r="4" spans="2:71">
      <c r="B4" s="266">
        <v>1</v>
      </c>
      <c r="C4" s="266" t="s">
        <v>297</v>
      </c>
      <c r="D4" s="261">
        <f>HEX2DEC(C4)</f>
        <v>108</v>
      </c>
      <c r="F4" s="266">
        <f>B4</f>
        <v>1</v>
      </c>
      <c r="G4" s="267" t="s">
        <v>297</v>
      </c>
      <c r="H4" s="262">
        <f>HEX2DEC(G4)</f>
        <v>108</v>
      </c>
      <c r="J4" s="261">
        <f>(256-D4)*(256-H4)</f>
        <v>21904</v>
      </c>
      <c r="L4">
        <f>AH146*AH146</f>
        <v>5.8563999999999998</v>
      </c>
      <c r="M4">
        <f>L4*2.16</f>
        <v>12.649824000000001</v>
      </c>
      <c r="N4">
        <f>'КУ для 240 кГц '!L10</f>
        <v>12.755734629686087</v>
      </c>
      <c r="O4">
        <f>N4-M4</f>
        <v>0.10591062968608611</v>
      </c>
      <c r="Q4" s="263">
        <f>B4</f>
        <v>1</v>
      </c>
      <c r="R4" s="263">
        <f>'КУ для 240 кГц '!U10</f>
        <v>107</v>
      </c>
      <c r="S4" s="263" t="str">
        <f>DEC2HEX(R4)</f>
        <v>6B</v>
      </c>
      <c r="T4" s="263"/>
      <c r="U4" s="263">
        <f>F4</f>
        <v>1</v>
      </c>
      <c r="V4" s="263">
        <f>'КУ для 240 кГц '!W10</f>
        <v>108</v>
      </c>
      <c r="W4" s="263" t="str">
        <f>DEC2HEX(V4)</f>
        <v>6C</v>
      </c>
      <c r="Y4">
        <f>(256-R4)*(256-V4)</f>
        <v>22052</v>
      </c>
      <c r="BJ4" s="280">
        <v>1</v>
      </c>
      <c r="BK4" s="280"/>
      <c r="BL4" s="280"/>
      <c r="BN4" s="280">
        <v>2</v>
      </c>
      <c r="BO4" s="280"/>
      <c r="BP4" s="280"/>
      <c r="BR4" s="261"/>
    </row>
    <row r="5" spans="2:71">
      <c r="B5" s="266">
        <f>B4+1</f>
        <v>2</v>
      </c>
      <c r="C5" s="266" t="s">
        <v>296</v>
      </c>
      <c r="D5" s="261">
        <f t="shared" ref="D5:D68" si="0">HEX2DEC(C5)</f>
        <v>92</v>
      </c>
      <c r="F5" s="266">
        <f t="shared" ref="F5:F68" si="1">B5</f>
        <v>2</v>
      </c>
      <c r="G5" s="267" t="s">
        <v>270</v>
      </c>
      <c r="H5" s="262">
        <f t="shared" ref="H5:H68" si="2">HEX2DEC(G5)</f>
        <v>93</v>
      </c>
      <c r="J5" s="261">
        <f t="shared" ref="J5:J68" si="3">(256-D5)*(256-H5)</f>
        <v>26732</v>
      </c>
      <c r="L5">
        <f>AH130*AH131</f>
        <v>7.7561999999999998</v>
      </c>
      <c r="M5">
        <f>L5*2.16</f>
        <v>16.753392000000002</v>
      </c>
      <c r="N5">
        <f>'КУ для 240 кГц '!L11</f>
        <v>16.903657249098739</v>
      </c>
      <c r="O5">
        <f>N5-M5</f>
        <v>0.15026524909873729</v>
      </c>
      <c r="Q5" s="263">
        <f t="shared" ref="Q5:Q68" si="4">B5</f>
        <v>2</v>
      </c>
      <c r="R5" s="263">
        <f>'КУ для 240 кГц '!U11</f>
        <v>91</v>
      </c>
      <c r="S5" s="263" t="str">
        <f t="shared" ref="S5:S68" si="5">DEC2HEX(R5)</f>
        <v>5B</v>
      </c>
      <c r="T5" s="263"/>
      <c r="U5" s="263">
        <f t="shared" ref="U5:U68" si="6">F5</f>
        <v>2</v>
      </c>
      <c r="V5" s="263">
        <f>'КУ для 240 кГц '!W11</f>
        <v>92</v>
      </c>
      <c r="W5" s="263" t="str">
        <f t="shared" ref="W5:W68" si="7">DEC2HEX(V5)</f>
        <v>5C</v>
      </c>
      <c r="Y5">
        <f t="shared" ref="Y5:Y68" si="8">(256-R5)*(256-V5)</f>
        <v>27060</v>
      </c>
      <c r="BJ5" s="265" t="s">
        <v>283</v>
      </c>
      <c r="BK5" s="265">
        <v>10</v>
      </c>
      <c r="BL5" s="264">
        <v>16</v>
      </c>
      <c r="BN5" s="265" t="str">
        <f>BJ5</f>
        <v>Шаг</v>
      </c>
      <c r="BO5" s="268">
        <v>10</v>
      </c>
      <c r="BP5" s="269">
        <v>16</v>
      </c>
      <c r="BR5" s="261" t="s">
        <v>234</v>
      </c>
    </row>
    <row r="6" spans="2:71">
      <c r="B6" s="266">
        <f t="shared" ref="B6:B69" si="9">B5+1</f>
        <v>3</v>
      </c>
      <c r="C6" s="266">
        <v>52</v>
      </c>
      <c r="D6" s="261">
        <f t="shared" si="0"/>
        <v>82</v>
      </c>
      <c r="F6" s="266">
        <f t="shared" si="1"/>
        <v>3</v>
      </c>
      <c r="G6" s="267">
        <v>51</v>
      </c>
      <c r="H6" s="262">
        <f t="shared" si="2"/>
        <v>81</v>
      </c>
      <c r="J6" s="261">
        <f t="shared" si="3"/>
        <v>30450</v>
      </c>
      <c r="L6">
        <f>AH120*AH119</f>
        <v>10.08</v>
      </c>
      <c r="M6">
        <f t="shared" ref="M6:M69" si="10">L6*2.16</f>
        <v>21.7728</v>
      </c>
      <c r="N6">
        <f>'КУ для 240 кГц '!L12</f>
        <v>21.371815469455374</v>
      </c>
      <c r="O6">
        <f t="shared" ref="O6:O69" si="11">N6-M6</f>
        <v>-0.40098453054462624</v>
      </c>
      <c r="Q6" s="263">
        <f t="shared" si="4"/>
        <v>3</v>
      </c>
      <c r="R6" s="263">
        <f>'КУ для 240 кГц '!U12</f>
        <v>82</v>
      </c>
      <c r="S6" s="263" t="str">
        <f t="shared" si="5"/>
        <v>52</v>
      </c>
      <c r="T6" s="263"/>
      <c r="U6" s="263">
        <f t="shared" si="6"/>
        <v>3</v>
      </c>
      <c r="V6" s="263">
        <f>'КУ для 240 кГц '!W12</f>
        <v>82</v>
      </c>
      <c r="W6" s="263" t="str">
        <f t="shared" si="7"/>
        <v>52</v>
      </c>
      <c r="Y6">
        <f t="shared" si="8"/>
        <v>30276</v>
      </c>
      <c r="BJ6" s="266">
        <v>1</v>
      </c>
      <c r="BK6" s="266">
        <f>'КУ для 240 кГц '!U10</f>
        <v>107</v>
      </c>
      <c r="BL6" s="261" t="str">
        <f>DEC2HEX(BK6)</f>
        <v>6B</v>
      </c>
      <c r="BN6" s="266"/>
      <c r="BO6" s="267">
        <f>'КУ для 240 кГц '!W10</f>
        <v>108</v>
      </c>
      <c r="BP6" s="262" t="str">
        <f>DEC2HEX(BO6)</f>
        <v>6C</v>
      </c>
      <c r="BR6" s="261">
        <f>(256-BK6)*(256-BO6)</f>
        <v>22052</v>
      </c>
    </row>
    <row r="7" spans="2:71">
      <c r="B7" s="266">
        <f t="shared" si="9"/>
        <v>4</v>
      </c>
      <c r="C7" s="266" t="s">
        <v>275</v>
      </c>
      <c r="D7" s="261">
        <f t="shared" si="0"/>
        <v>75</v>
      </c>
      <c r="F7" s="266">
        <f t="shared" si="1"/>
        <v>4</v>
      </c>
      <c r="G7" s="267" t="s">
        <v>275</v>
      </c>
      <c r="H7" s="262">
        <f t="shared" si="2"/>
        <v>75</v>
      </c>
      <c r="J7" s="261">
        <f t="shared" si="3"/>
        <v>32761</v>
      </c>
      <c r="L7">
        <f>AH113*AH113</f>
        <v>12.25</v>
      </c>
      <c r="M7">
        <f t="shared" si="10"/>
        <v>26.46</v>
      </c>
      <c r="N7">
        <f>'КУ для 240 кГц '!L13</f>
        <v>26.179559930024034</v>
      </c>
      <c r="O7">
        <f t="shared" si="11"/>
        <v>-0.28044006997596682</v>
      </c>
      <c r="Q7" s="263">
        <f t="shared" si="4"/>
        <v>4</v>
      </c>
      <c r="R7" s="263">
        <f>'КУ для 240 кГц '!U13</f>
        <v>75</v>
      </c>
      <c r="S7" s="263" t="str">
        <f t="shared" si="5"/>
        <v>4B</v>
      </c>
      <c r="T7" s="263"/>
      <c r="U7" s="263">
        <f t="shared" si="6"/>
        <v>4</v>
      </c>
      <c r="V7" s="263">
        <f>'КУ для 240 кГц '!W13</f>
        <v>76</v>
      </c>
      <c r="W7" s="263" t="str">
        <f t="shared" si="7"/>
        <v>4C</v>
      </c>
      <c r="Y7">
        <f t="shared" si="8"/>
        <v>32580</v>
      </c>
      <c r="BJ7" s="266">
        <f>BJ6+1</f>
        <v>2</v>
      </c>
      <c r="BK7" s="266">
        <f>'КУ для 240 кГц '!U11</f>
        <v>91</v>
      </c>
      <c r="BL7" s="261" t="str">
        <f t="shared" ref="BL7:BL70" si="12">DEC2HEX(BK7)</f>
        <v>5B</v>
      </c>
      <c r="BN7" s="266"/>
      <c r="BO7" s="267">
        <f>'КУ для 240 кГц '!W11</f>
        <v>92</v>
      </c>
      <c r="BP7" s="262" t="str">
        <f t="shared" ref="BP7:BP70" si="13">DEC2HEX(BO7)</f>
        <v>5C</v>
      </c>
      <c r="BR7" s="261">
        <f t="shared" ref="BR7:BR70" si="14">(256-BK7)*(256-BO7)</f>
        <v>27060</v>
      </c>
      <c r="BS7">
        <f>BR7-BR6</f>
        <v>5008</v>
      </c>
    </row>
    <row r="8" spans="2:71">
      <c r="B8" s="266">
        <f t="shared" si="9"/>
        <v>5</v>
      </c>
      <c r="C8" s="266">
        <v>44</v>
      </c>
      <c r="D8" s="261">
        <f t="shared" si="0"/>
        <v>68</v>
      </c>
      <c r="F8" s="266">
        <f t="shared" si="1"/>
        <v>5</v>
      </c>
      <c r="G8" s="267">
        <v>45</v>
      </c>
      <c r="H8" s="262">
        <f t="shared" si="2"/>
        <v>69</v>
      </c>
      <c r="J8" s="261">
        <f t="shared" si="3"/>
        <v>35156</v>
      </c>
      <c r="L8">
        <f>AH106*AH107</f>
        <v>14.629999999999999</v>
      </c>
      <c r="M8">
        <f t="shared" si="10"/>
        <v>31.6008</v>
      </c>
      <c r="N8">
        <f>'КУ для 240 кГц '!L14</f>
        <v>31.347292350024809</v>
      </c>
      <c r="O8">
        <f t="shared" si="11"/>
        <v>-0.25350764997519093</v>
      </c>
      <c r="Q8" s="263">
        <f t="shared" si="4"/>
        <v>5</v>
      </c>
      <c r="R8" s="263">
        <f>'КУ для 240 кГц '!U14</f>
        <v>69</v>
      </c>
      <c r="S8" s="263" t="str">
        <f t="shared" si="5"/>
        <v>45</v>
      </c>
      <c r="T8" s="263"/>
      <c r="U8" s="263">
        <f t="shared" si="6"/>
        <v>5</v>
      </c>
      <c r="V8" s="263">
        <f>'КУ для 240 кГц '!W14</f>
        <v>69</v>
      </c>
      <c r="W8" s="263" t="str">
        <f t="shared" si="7"/>
        <v>45</v>
      </c>
      <c r="Y8">
        <f t="shared" si="8"/>
        <v>34969</v>
      </c>
      <c r="BJ8" s="266">
        <f t="shared" ref="BJ8:BJ71" si="15">BJ7+1</f>
        <v>3</v>
      </c>
      <c r="BK8" s="266">
        <f>'КУ для 240 кГц '!U12</f>
        <v>82</v>
      </c>
      <c r="BL8" s="261" t="str">
        <f t="shared" si="12"/>
        <v>52</v>
      </c>
      <c r="BN8" s="266"/>
      <c r="BO8" s="267">
        <f>'КУ для 240 кГц '!W12</f>
        <v>82</v>
      </c>
      <c r="BP8" s="262" t="str">
        <f t="shared" si="13"/>
        <v>52</v>
      </c>
      <c r="BR8" s="261">
        <f t="shared" si="14"/>
        <v>30276</v>
      </c>
      <c r="BS8">
        <f t="shared" ref="BS8:BS71" si="16">BR8-BR7</f>
        <v>3216</v>
      </c>
    </row>
    <row r="9" spans="2:71">
      <c r="B9" s="266">
        <f t="shared" si="9"/>
        <v>6</v>
      </c>
      <c r="C9" s="266" t="s">
        <v>278</v>
      </c>
      <c r="D9" s="261">
        <f t="shared" si="0"/>
        <v>62</v>
      </c>
      <c r="F9" s="266">
        <f t="shared" si="1"/>
        <v>6</v>
      </c>
      <c r="G9" s="267" t="s">
        <v>278</v>
      </c>
      <c r="H9" s="262">
        <f t="shared" si="2"/>
        <v>62</v>
      </c>
      <c r="J9" s="261">
        <f t="shared" si="3"/>
        <v>37636</v>
      </c>
      <c r="L9">
        <f>AH100*AH100</f>
        <v>17.64</v>
      </c>
      <c r="M9">
        <f t="shared" si="10"/>
        <v>38.102400000000003</v>
      </c>
      <c r="N9">
        <f>'КУ для 240 кГц '!L15</f>
        <v>36.896519297993819</v>
      </c>
      <c r="O9">
        <f t="shared" si="11"/>
        <v>-1.2058807020061835</v>
      </c>
      <c r="Q9" s="263">
        <f t="shared" si="4"/>
        <v>6</v>
      </c>
      <c r="R9" s="263">
        <f>'КУ для 240 кГц '!U15</f>
        <v>61</v>
      </c>
      <c r="S9" s="263" t="str">
        <f t="shared" si="5"/>
        <v>3D</v>
      </c>
      <c r="T9" s="263"/>
      <c r="U9" s="263">
        <f t="shared" si="6"/>
        <v>6</v>
      </c>
      <c r="V9" s="263">
        <f>'КУ для 240 кГц '!W15</f>
        <v>65</v>
      </c>
      <c r="W9" s="263" t="str">
        <f t="shared" si="7"/>
        <v>41</v>
      </c>
      <c r="Y9">
        <f t="shared" si="8"/>
        <v>37245</v>
      </c>
      <c r="BJ9" s="266">
        <f t="shared" si="15"/>
        <v>4</v>
      </c>
      <c r="BK9" s="266">
        <f>'КУ для 240 кГц '!U13</f>
        <v>75</v>
      </c>
      <c r="BL9" s="261" t="str">
        <f t="shared" si="12"/>
        <v>4B</v>
      </c>
      <c r="BN9" s="266"/>
      <c r="BO9" s="267">
        <f>'КУ для 240 кГц '!W13</f>
        <v>76</v>
      </c>
      <c r="BP9" s="262" t="str">
        <f t="shared" si="13"/>
        <v>4C</v>
      </c>
      <c r="BR9" s="261">
        <f t="shared" si="14"/>
        <v>32580</v>
      </c>
      <c r="BS9">
        <f t="shared" si="16"/>
        <v>2304</v>
      </c>
    </row>
    <row r="10" spans="2:71">
      <c r="B10" s="266">
        <f t="shared" si="9"/>
        <v>7</v>
      </c>
      <c r="C10" s="266" t="s">
        <v>281</v>
      </c>
      <c r="D10" s="261">
        <f t="shared" si="0"/>
        <v>59</v>
      </c>
      <c r="F10" s="266">
        <f t="shared" si="1"/>
        <v>7</v>
      </c>
      <c r="G10" s="267" t="s">
        <v>281</v>
      </c>
      <c r="H10" s="262">
        <f t="shared" si="2"/>
        <v>59</v>
      </c>
      <c r="J10" s="261">
        <f t="shared" si="3"/>
        <v>38809</v>
      </c>
      <c r="L10">
        <f>AH97*AH97</f>
        <v>20.25</v>
      </c>
      <c r="M10">
        <f t="shared" si="10"/>
        <v>43.74</v>
      </c>
      <c r="N10">
        <f>'КУ для 240 кГц '!L16</f>
        <v>42.84990860788254</v>
      </c>
      <c r="O10">
        <f t="shared" si="11"/>
        <v>-0.89009139211746202</v>
      </c>
      <c r="Q10" s="263">
        <f t="shared" si="4"/>
        <v>7</v>
      </c>
      <c r="R10" s="263">
        <f>'КУ для 240 кГц '!U16</f>
        <v>58</v>
      </c>
      <c r="S10" s="263" t="str">
        <f t="shared" si="5"/>
        <v>3A</v>
      </c>
      <c r="T10" s="263"/>
      <c r="U10" s="263">
        <f t="shared" si="6"/>
        <v>7</v>
      </c>
      <c r="V10" s="263">
        <f>'КУ для 240 кГц '!W16</f>
        <v>61</v>
      </c>
      <c r="W10" s="263" t="str">
        <f t="shared" si="7"/>
        <v>3D</v>
      </c>
      <c r="Y10">
        <f t="shared" si="8"/>
        <v>38610</v>
      </c>
      <c r="BJ10" s="266">
        <f t="shared" si="15"/>
        <v>5</v>
      </c>
      <c r="BK10" s="266">
        <f>'КУ для 240 кГц '!U14</f>
        <v>69</v>
      </c>
      <c r="BL10" s="261" t="str">
        <f t="shared" si="12"/>
        <v>45</v>
      </c>
      <c r="BN10" s="266"/>
      <c r="BO10" s="267">
        <f>'КУ для 240 кГц '!W14</f>
        <v>69</v>
      </c>
      <c r="BP10" s="262" t="str">
        <f t="shared" si="13"/>
        <v>45</v>
      </c>
      <c r="BR10" s="261">
        <f t="shared" si="14"/>
        <v>34969</v>
      </c>
      <c r="BS10">
        <f t="shared" si="16"/>
        <v>2389</v>
      </c>
    </row>
    <row r="11" spans="2:71">
      <c r="B11" s="266">
        <f t="shared" si="9"/>
        <v>8</v>
      </c>
      <c r="C11" s="266">
        <v>38</v>
      </c>
      <c r="D11" s="261">
        <f t="shared" si="0"/>
        <v>56</v>
      </c>
      <c r="F11" s="266">
        <f t="shared" si="1"/>
        <v>8</v>
      </c>
      <c r="G11" s="267">
        <v>37</v>
      </c>
      <c r="H11" s="262">
        <f t="shared" si="2"/>
        <v>55</v>
      </c>
      <c r="J11" s="261">
        <f t="shared" si="3"/>
        <v>40200</v>
      </c>
      <c r="L11">
        <f>AH94*AH93</f>
        <v>23.52</v>
      </c>
      <c r="M11">
        <f t="shared" si="10"/>
        <v>50.803200000000004</v>
      </c>
      <c r="N11">
        <f>'КУ для 240 кГц '!L17</f>
        <v>49.231348568726119</v>
      </c>
      <c r="O11">
        <f t="shared" si="11"/>
        <v>-1.5718514312738847</v>
      </c>
      <c r="Q11" s="263">
        <f t="shared" si="4"/>
        <v>8</v>
      </c>
      <c r="R11" s="263">
        <f>'КУ для 240 кГц '!U17</f>
        <v>52</v>
      </c>
      <c r="S11" s="263" t="str">
        <f t="shared" si="5"/>
        <v>34</v>
      </c>
      <c r="T11" s="263"/>
      <c r="U11" s="263">
        <f t="shared" si="6"/>
        <v>8</v>
      </c>
      <c r="V11" s="263">
        <f>'КУ для 240 кГц '!W17</f>
        <v>60</v>
      </c>
      <c r="W11" s="263" t="str">
        <f t="shared" si="7"/>
        <v>3C</v>
      </c>
      <c r="Y11">
        <f t="shared" si="8"/>
        <v>39984</v>
      </c>
      <c r="BJ11" s="266">
        <f t="shared" si="15"/>
        <v>6</v>
      </c>
      <c r="BK11" s="266">
        <f>'КУ для 240 кГц '!U15</f>
        <v>61</v>
      </c>
      <c r="BL11" s="261" t="str">
        <f t="shared" si="12"/>
        <v>3D</v>
      </c>
      <c r="BN11" s="266"/>
      <c r="BO11" s="267">
        <f>'КУ для 240 кГц '!W15</f>
        <v>65</v>
      </c>
      <c r="BP11" s="262" t="str">
        <f t="shared" si="13"/>
        <v>41</v>
      </c>
      <c r="BR11" s="261">
        <f t="shared" si="14"/>
        <v>37245</v>
      </c>
      <c r="BS11">
        <f t="shared" si="16"/>
        <v>2276</v>
      </c>
    </row>
    <row r="12" spans="2:71">
      <c r="B12" s="266">
        <f t="shared" si="9"/>
        <v>9</v>
      </c>
      <c r="C12" s="266">
        <v>34</v>
      </c>
      <c r="D12" s="261">
        <f t="shared" si="0"/>
        <v>52</v>
      </c>
      <c r="F12" s="266">
        <f t="shared" si="1"/>
        <v>9</v>
      </c>
      <c r="G12" s="267">
        <v>35</v>
      </c>
      <c r="H12" s="262">
        <f t="shared" si="2"/>
        <v>53</v>
      </c>
      <c r="J12" s="261">
        <f t="shared" si="3"/>
        <v>41412</v>
      </c>
      <c r="L12">
        <f>AF144*AF145</f>
        <v>26.52</v>
      </c>
      <c r="M12">
        <f t="shared" si="10"/>
        <v>57.283200000000001</v>
      </c>
      <c r="N12">
        <f>'КУ для 240 кГц '!L18</f>
        <v>56.066010020670959</v>
      </c>
      <c r="O12">
        <f t="shared" si="11"/>
        <v>-1.2171899793290422</v>
      </c>
      <c r="Q12" s="263">
        <f t="shared" si="4"/>
        <v>9</v>
      </c>
      <c r="R12" s="263">
        <f>'КУ для 240 кГц '!U18</f>
        <v>53</v>
      </c>
      <c r="S12" s="263" t="str">
        <f t="shared" si="5"/>
        <v>35</v>
      </c>
      <c r="T12" s="263"/>
      <c r="U12" s="263">
        <f t="shared" si="6"/>
        <v>9</v>
      </c>
      <c r="V12" s="263">
        <f>'КУ для 240 кГц '!W18</f>
        <v>53</v>
      </c>
      <c r="W12" s="263" t="str">
        <f t="shared" si="7"/>
        <v>35</v>
      </c>
      <c r="Y12">
        <f t="shared" si="8"/>
        <v>41209</v>
      </c>
      <c r="BJ12" s="266">
        <f t="shared" si="15"/>
        <v>7</v>
      </c>
      <c r="BK12" s="266">
        <f>'КУ для 240 кГц '!U16</f>
        <v>58</v>
      </c>
      <c r="BL12" s="261" t="str">
        <f t="shared" si="12"/>
        <v>3A</v>
      </c>
      <c r="BN12" s="266"/>
      <c r="BO12" s="267">
        <f>'КУ для 240 кГц '!W16</f>
        <v>61</v>
      </c>
      <c r="BP12" s="262" t="str">
        <f t="shared" si="13"/>
        <v>3D</v>
      </c>
      <c r="BR12" s="261">
        <f t="shared" si="14"/>
        <v>38610</v>
      </c>
      <c r="BS12">
        <f t="shared" si="16"/>
        <v>1365</v>
      </c>
    </row>
    <row r="13" spans="2:71">
      <c r="B13" s="266">
        <f t="shared" si="9"/>
        <v>10</v>
      </c>
      <c r="C13" s="266">
        <v>31</v>
      </c>
      <c r="D13" s="261">
        <f t="shared" si="0"/>
        <v>49</v>
      </c>
      <c r="F13" s="266">
        <f t="shared" si="1"/>
        <v>10</v>
      </c>
      <c r="G13" s="267">
        <v>32</v>
      </c>
      <c r="H13" s="262">
        <f t="shared" si="2"/>
        <v>50</v>
      </c>
      <c r="J13" s="261">
        <f t="shared" si="3"/>
        <v>42642</v>
      </c>
      <c r="L13">
        <f>AF141*AF142</f>
        <v>29.700000000000003</v>
      </c>
      <c r="M13">
        <f t="shared" si="10"/>
        <v>64.152000000000015</v>
      </c>
      <c r="N13">
        <f>'КУ для 240 кГц '!L19</f>
        <v>63.380411496388206</v>
      </c>
      <c r="O13">
        <f t="shared" si="11"/>
        <v>-0.77158850361180953</v>
      </c>
      <c r="Q13" s="263">
        <f t="shared" si="4"/>
        <v>10</v>
      </c>
      <c r="R13" s="263">
        <f>'КУ для 240 кГц '!U19</f>
        <v>50</v>
      </c>
      <c r="S13" s="263" t="str">
        <f t="shared" si="5"/>
        <v>32</v>
      </c>
      <c r="T13" s="263"/>
      <c r="U13" s="263">
        <f t="shared" si="6"/>
        <v>10</v>
      </c>
      <c r="V13" s="263">
        <f>'КУ для 240 кГц '!W19</f>
        <v>50</v>
      </c>
      <c r="W13" s="263" t="str">
        <f t="shared" si="7"/>
        <v>32</v>
      </c>
      <c r="Y13">
        <f t="shared" si="8"/>
        <v>42436</v>
      </c>
      <c r="BJ13" s="266">
        <f t="shared" si="15"/>
        <v>8</v>
      </c>
      <c r="BK13" s="266">
        <f>'КУ для 240 кГц '!U17</f>
        <v>52</v>
      </c>
      <c r="BL13" s="261" t="str">
        <f t="shared" si="12"/>
        <v>34</v>
      </c>
      <c r="BN13" s="266"/>
      <c r="BO13" s="267">
        <f>'КУ для 240 кГц '!W17</f>
        <v>60</v>
      </c>
      <c r="BP13" s="262" t="str">
        <f t="shared" si="13"/>
        <v>3C</v>
      </c>
      <c r="BR13" s="261">
        <f t="shared" si="14"/>
        <v>39984</v>
      </c>
      <c r="BS13">
        <f t="shared" si="16"/>
        <v>1374</v>
      </c>
    </row>
    <row r="14" spans="2:71">
      <c r="B14" s="266">
        <f t="shared" si="9"/>
        <v>11</v>
      </c>
      <c r="C14" s="266" t="s">
        <v>300</v>
      </c>
      <c r="D14" s="261">
        <f t="shared" si="0"/>
        <v>46</v>
      </c>
      <c r="F14" s="266">
        <f t="shared" si="1"/>
        <v>11</v>
      </c>
      <c r="G14" s="267" t="s">
        <v>300</v>
      </c>
      <c r="H14" s="262">
        <f t="shared" si="2"/>
        <v>46</v>
      </c>
      <c r="J14" s="261">
        <f t="shared" si="3"/>
        <v>44100</v>
      </c>
      <c r="L14">
        <f>AF138*AF138</f>
        <v>33.64</v>
      </c>
      <c r="M14">
        <f t="shared" si="10"/>
        <v>72.662400000000005</v>
      </c>
      <c r="N14">
        <f>'КУ для 240 кГц '!L20</f>
        <v>71.202487553421534</v>
      </c>
      <c r="O14">
        <f t="shared" si="11"/>
        <v>-1.4599124465784712</v>
      </c>
      <c r="Q14" s="263">
        <f t="shared" si="4"/>
        <v>11</v>
      </c>
      <c r="R14" s="263">
        <f>'КУ для 240 кГц '!U20</f>
        <v>47</v>
      </c>
      <c r="S14" s="263" t="str">
        <f t="shared" si="5"/>
        <v>2F</v>
      </c>
      <c r="T14" s="263"/>
      <c r="U14" s="263">
        <f t="shared" si="6"/>
        <v>11</v>
      </c>
      <c r="V14" s="263">
        <f>'КУ для 240 кГц '!W20</f>
        <v>46</v>
      </c>
      <c r="W14" s="263" t="str">
        <f t="shared" si="7"/>
        <v>2E</v>
      </c>
      <c r="Y14">
        <f t="shared" si="8"/>
        <v>43890</v>
      </c>
      <c r="BJ14" s="266">
        <f t="shared" si="15"/>
        <v>9</v>
      </c>
      <c r="BK14" s="266">
        <f>'КУ для 240 кГц '!U18</f>
        <v>53</v>
      </c>
      <c r="BL14" s="261" t="str">
        <f t="shared" si="12"/>
        <v>35</v>
      </c>
      <c r="BN14" s="266"/>
      <c r="BO14" s="267">
        <f>'КУ для 240 кГц '!W18</f>
        <v>53</v>
      </c>
      <c r="BP14" s="262" t="str">
        <f t="shared" si="13"/>
        <v>35</v>
      </c>
      <c r="BR14" s="261">
        <f t="shared" si="14"/>
        <v>41209</v>
      </c>
      <c r="BS14">
        <f t="shared" si="16"/>
        <v>1225</v>
      </c>
    </row>
    <row r="15" spans="2:71">
      <c r="B15" s="266">
        <f t="shared" si="9"/>
        <v>12</v>
      </c>
      <c r="C15" s="266" t="s">
        <v>301</v>
      </c>
      <c r="D15" s="261">
        <f t="shared" si="0"/>
        <v>44</v>
      </c>
      <c r="F15" s="266">
        <f t="shared" si="1"/>
        <v>12</v>
      </c>
      <c r="G15" s="267" t="s">
        <v>301</v>
      </c>
      <c r="H15" s="262">
        <f t="shared" si="2"/>
        <v>44</v>
      </c>
      <c r="J15" s="261">
        <f t="shared" si="3"/>
        <v>44944</v>
      </c>
      <c r="L15">
        <f>AF136*AF136</f>
        <v>37.209999999999994</v>
      </c>
      <c r="M15">
        <f t="shared" si="10"/>
        <v>80.373599999999996</v>
      </c>
      <c r="N15">
        <f>'КУ для 240 кГц '!L21</f>
        <v>79.561660449842364</v>
      </c>
      <c r="O15">
        <f t="shared" si="11"/>
        <v>-0.81193955015763208</v>
      </c>
      <c r="Q15" s="263">
        <f t="shared" si="4"/>
        <v>12</v>
      </c>
      <c r="R15" s="263">
        <f>'КУ для 240 кГц '!U21</f>
        <v>44</v>
      </c>
      <c r="S15" s="263" t="str">
        <f t="shared" si="5"/>
        <v>2C</v>
      </c>
      <c r="T15" s="263"/>
      <c r="U15" s="263">
        <f t="shared" si="6"/>
        <v>12</v>
      </c>
      <c r="V15" s="263">
        <f>'КУ для 240 кГц '!W21</f>
        <v>45</v>
      </c>
      <c r="W15" s="263" t="str">
        <f t="shared" si="7"/>
        <v>2D</v>
      </c>
      <c r="Y15">
        <f t="shared" si="8"/>
        <v>44732</v>
      </c>
      <c r="BJ15" s="266">
        <f t="shared" si="15"/>
        <v>10</v>
      </c>
      <c r="BK15" s="266">
        <f>'КУ для 240 кГц '!U19</f>
        <v>50</v>
      </c>
      <c r="BL15" s="261" t="str">
        <f t="shared" si="12"/>
        <v>32</v>
      </c>
      <c r="BN15" s="266"/>
      <c r="BO15" s="267">
        <f>'КУ для 240 кГц '!W19</f>
        <v>50</v>
      </c>
      <c r="BP15" s="262" t="str">
        <f t="shared" si="13"/>
        <v>32</v>
      </c>
      <c r="BR15" s="261">
        <f t="shared" si="14"/>
        <v>42436</v>
      </c>
      <c r="BS15">
        <f t="shared" si="16"/>
        <v>1227</v>
      </c>
    </row>
    <row r="16" spans="2:71">
      <c r="B16" s="266">
        <f t="shared" si="9"/>
        <v>13</v>
      </c>
      <c r="C16" s="266" t="s">
        <v>302</v>
      </c>
      <c r="D16" s="261">
        <f t="shared" si="0"/>
        <v>42</v>
      </c>
      <c r="F16" s="266">
        <f t="shared" si="1"/>
        <v>13</v>
      </c>
      <c r="G16" s="267">
        <v>29</v>
      </c>
      <c r="H16" s="262">
        <f t="shared" si="2"/>
        <v>41</v>
      </c>
      <c r="J16" s="261">
        <f t="shared" si="3"/>
        <v>46010</v>
      </c>
      <c r="L16">
        <f>AF134*AF133</f>
        <v>41.6</v>
      </c>
      <c r="M16">
        <f t="shared" si="10"/>
        <v>89.856000000000009</v>
      </c>
      <c r="N16">
        <f>'КУ для 240 кГц '!L22</f>
        <v>88.488915322726115</v>
      </c>
      <c r="O16">
        <f t="shared" si="11"/>
        <v>-1.367084677273894</v>
      </c>
      <c r="Q16" s="263">
        <f t="shared" si="4"/>
        <v>13</v>
      </c>
      <c r="R16" s="263">
        <f>'КУ для 240 кГц '!U22</f>
        <v>42</v>
      </c>
      <c r="S16" s="263" t="str">
        <f t="shared" si="5"/>
        <v>2A</v>
      </c>
      <c r="T16" s="263"/>
      <c r="U16" s="263">
        <f t="shared" si="6"/>
        <v>13</v>
      </c>
      <c r="V16" s="263">
        <f>'КУ для 240 кГц '!W22</f>
        <v>42</v>
      </c>
      <c r="W16" s="263" t="str">
        <f t="shared" si="7"/>
        <v>2A</v>
      </c>
      <c r="Y16">
        <f t="shared" si="8"/>
        <v>45796</v>
      </c>
      <c r="BJ16" s="266">
        <f t="shared" si="15"/>
        <v>11</v>
      </c>
      <c r="BK16" s="266">
        <f>'КУ для 240 кГц '!U20</f>
        <v>47</v>
      </c>
      <c r="BL16" s="261" t="str">
        <f t="shared" si="12"/>
        <v>2F</v>
      </c>
      <c r="BN16" s="266"/>
      <c r="BO16" s="267">
        <f>'КУ для 240 кГц '!W20</f>
        <v>46</v>
      </c>
      <c r="BP16" s="262" t="str">
        <f t="shared" si="13"/>
        <v>2E</v>
      </c>
      <c r="BR16" s="261">
        <f t="shared" si="14"/>
        <v>43890</v>
      </c>
      <c r="BS16">
        <f t="shared" si="16"/>
        <v>1454</v>
      </c>
    </row>
    <row r="17" spans="2:71">
      <c r="B17" s="266">
        <f t="shared" si="9"/>
        <v>14</v>
      </c>
      <c r="C17" s="266">
        <v>27</v>
      </c>
      <c r="D17" s="261">
        <f t="shared" si="0"/>
        <v>39</v>
      </c>
      <c r="F17" s="266">
        <f t="shared" si="1"/>
        <v>14</v>
      </c>
      <c r="G17" s="267">
        <v>27</v>
      </c>
      <c r="H17" s="262">
        <f t="shared" si="2"/>
        <v>39</v>
      </c>
      <c r="J17" s="261">
        <f t="shared" si="3"/>
        <v>47089</v>
      </c>
      <c r="L17">
        <f>AF131*AF131</f>
        <v>47.610000000000007</v>
      </c>
      <c r="M17">
        <f t="shared" si="10"/>
        <v>102.83760000000002</v>
      </c>
      <c r="N17">
        <f>'КУ для 240 кГц '!L23</f>
        <v>98.016879036430467</v>
      </c>
      <c r="O17">
        <f t="shared" si="11"/>
        <v>-4.8207209635695563</v>
      </c>
      <c r="Q17" s="263">
        <f t="shared" si="4"/>
        <v>14</v>
      </c>
      <c r="R17" s="263">
        <f>'КУ для 240 кГц '!U23</f>
        <v>38</v>
      </c>
      <c r="S17" s="263" t="str">
        <f t="shared" si="5"/>
        <v>26</v>
      </c>
      <c r="T17" s="263"/>
      <c r="U17" s="263">
        <f t="shared" si="6"/>
        <v>14</v>
      </c>
      <c r="V17" s="263">
        <f>'КУ для 240 кГц '!W23</f>
        <v>41</v>
      </c>
      <c r="W17" s="263" t="str">
        <f t="shared" si="7"/>
        <v>29</v>
      </c>
      <c r="Y17">
        <f t="shared" si="8"/>
        <v>46870</v>
      </c>
      <c r="BJ17" s="266">
        <f t="shared" si="15"/>
        <v>12</v>
      </c>
      <c r="BK17" s="266">
        <f>'КУ для 240 кГц '!U21</f>
        <v>44</v>
      </c>
      <c r="BL17" s="261" t="str">
        <f t="shared" si="12"/>
        <v>2C</v>
      </c>
      <c r="BN17" s="266"/>
      <c r="BO17" s="267">
        <f>'КУ для 240 кГц '!W21</f>
        <v>45</v>
      </c>
      <c r="BP17" s="262" t="str">
        <f t="shared" si="13"/>
        <v>2D</v>
      </c>
      <c r="BR17" s="261">
        <f t="shared" si="14"/>
        <v>44732</v>
      </c>
      <c r="BS17">
        <f t="shared" si="16"/>
        <v>842</v>
      </c>
    </row>
    <row r="18" spans="2:71">
      <c r="B18" s="266">
        <f t="shared" si="9"/>
        <v>15</v>
      </c>
      <c r="C18" s="266">
        <v>25</v>
      </c>
      <c r="D18" s="261">
        <f t="shared" si="0"/>
        <v>37</v>
      </c>
      <c r="F18" s="266">
        <f t="shared" si="1"/>
        <v>15</v>
      </c>
      <c r="G18" s="267">
        <v>25</v>
      </c>
      <c r="H18" s="262">
        <f t="shared" si="2"/>
        <v>37</v>
      </c>
      <c r="J18" s="261">
        <f t="shared" si="3"/>
        <v>47961</v>
      </c>
      <c r="L18">
        <f>AF129*AF129</f>
        <v>51.84</v>
      </c>
      <c r="M18">
        <f t="shared" si="10"/>
        <v>111.97440000000002</v>
      </c>
      <c r="N18">
        <f>'КУ для 240 кГц '!L24</f>
        <v>108.17990287547325</v>
      </c>
      <c r="O18">
        <f t="shared" si="11"/>
        <v>-3.7944971245267709</v>
      </c>
      <c r="Q18" s="263">
        <f t="shared" si="4"/>
        <v>15</v>
      </c>
      <c r="R18" s="263">
        <f>'КУ для 240 кГц '!U24</f>
        <v>37</v>
      </c>
      <c r="S18" s="263" t="str">
        <f t="shared" si="5"/>
        <v>25</v>
      </c>
      <c r="T18" s="263"/>
      <c r="U18" s="263">
        <f t="shared" si="6"/>
        <v>15</v>
      </c>
      <c r="V18" s="263">
        <f>'КУ для 240 кГц '!W24</f>
        <v>38</v>
      </c>
      <c r="W18" s="263" t="str">
        <f t="shared" si="7"/>
        <v>26</v>
      </c>
      <c r="Y18">
        <f t="shared" si="8"/>
        <v>47742</v>
      </c>
      <c r="BJ18" s="266">
        <f t="shared" si="15"/>
        <v>13</v>
      </c>
      <c r="BK18" s="266">
        <f>'КУ для 240 кГц '!U22</f>
        <v>42</v>
      </c>
      <c r="BL18" s="261" t="str">
        <f t="shared" si="12"/>
        <v>2A</v>
      </c>
      <c r="BN18" s="266"/>
      <c r="BO18" s="267">
        <f>'КУ для 240 кГц '!W22</f>
        <v>42</v>
      </c>
      <c r="BP18" s="262" t="str">
        <f t="shared" si="13"/>
        <v>2A</v>
      </c>
      <c r="BR18" s="261">
        <f t="shared" si="14"/>
        <v>45796</v>
      </c>
      <c r="BS18">
        <f t="shared" si="16"/>
        <v>1064</v>
      </c>
    </row>
    <row r="19" spans="2:71">
      <c r="B19" s="266">
        <f t="shared" si="9"/>
        <v>16</v>
      </c>
      <c r="C19" s="266">
        <v>23</v>
      </c>
      <c r="D19" s="261">
        <f t="shared" si="0"/>
        <v>35</v>
      </c>
      <c r="F19" s="266">
        <f t="shared" si="1"/>
        <v>16</v>
      </c>
      <c r="G19" s="267">
        <v>23</v>
      </c>
      <c r="H19" s="262">
        <f t="shared" si="2"/>
        <v>35</v>
      </c>
      <c r="J19" s="261">
        <f t="shared" si="3"/>
        <v>48841</v>
      </c>
      <c r="L19">
        <f>AF127*AF127</f>
        <v>56.25</v>
      </c>
      <c r="M19">
        <f t="shared" si="10"/>
        <v>121.50000000000001</v>
      </c>
      <c r="N19">
        <f>'КУ для 240 кГц '!L25</f>
        <v>119.01414926498039</v>
      </c>
      <c r="O19">
        <f t="shared" si="11"/>
        <v>-2.4858507350196248</v>
      </c>
      <c r="Q19" s="263">
        <f t="shared" si="4"/>
        <v>16</v>
      </c>
      <c r="R19" s="263">
        <f>'КУ для 240 кГц '!U25</f>
        <v>34</v>
      </c>
      <c r="S19" s="263" t="str">
        <f t="shared" si="5"/>
        <v>22</v>
      </c>
      <c r="T19" s="263"/>
      <c r="U19" s="263">
        <f t="shared" si="6"/>
        <v>16</v>
      </c>
      <c r="V19" s="263">
        <f>'КУ для 240 кГц '!W25</f>
        <v>37</v>
      </c>
      <c r="W19" s="263" t="str">
        <f t="shared" si="7"/>
        <v>25</v>
      </c>
      <c r="Y19">
        <f t="shared" si="8"/>
        <v>48618</v>
      </c>
      <c r="BJ19" s="266">
        <f t="shared" si="15"/>
        <v>14</v>
      </c>
      <c r="BK19" s="266">
        <f>'КУ для 240 кГц '!U23</f>
        <v>38</v>
      </c>
      <c r="BL19" s="261" t="str">
        <f t="shared" si="12"/>
        <v>26</v>
      </c>
      <c r="BN19" s="266"/>
      <c r="BO19" s="267">
        <f>'КУ для 240 кГц '!W23</f>
        <v>41</v>
      </c>
      <c r="BP19" s="262" t="str">
        <f t="shared" si="13"/>
        <v>29</v>
      </c>
      <c r="BR19" s="261">
        <f t="shared" si="14"/>
        <v>46870</v>
      </c>
      <c r="BS19">
        <f t="shared" si="16"/>
        <v>1074</v>
      </c>
    </row>
    <row r="20" spans="2:71">
      <c r="B20" s="266">
        <f t="shared" si="9"/>
        <v>17</v>
      </c>
      <c r="C20" s="266">
        <v>20</v>
      </c>
      <c r="D20" s="261">
        <f t="shared" si="0"/>
        <v>32</v>
      </c>
      <c r="F20" s="266">
        <f t="shared" si="1"/>
        <v>17</v>
      </c>
      <c r="G20" s="267">
        <v>21</v>
      </c>
      <c r="H20" s="262">
        <f t="shared" si="2"/>
        <v>33</v>
      </c>
      <c r="J20" s="261">
        <f t="shared" si="3"/>
        <v>49952</v>
      </c>
      <c r="L20">
        <f>AF124*AF125</f>
        <v>63.179999999999993</v>
      </c>
      <c r="M20">
        <f t="shared" si="10"/>
        <v>136.46879999999999</v>
      </c>
      <c r="N20">
        <f>'КУ для 240 кГц '!L26</f>
        <v>130.55768271022666</v>
      </c>
      <c r="O20">
        <f t="shared" si="11"/>
        <v>-5.9111172897733297</v>
      </c>
      <c r="Q20" s="263">
        <f t="shared" si="4"/>
        <v>17</v>
      </c>
      <c r="R20" s="263">
        <f>'КУ для 240 кГц '!U26</f>
        <v>32</v>
      </c>
      <c r="S20" s="263" t="str">
        <f t="shared" si="5"/>
        <v>20</v>
      </c>
      <c r="T20" s="263"/>
      <c r="U20" s="263">
        <f t="shared" si="6"/>
        <v>17</v>
      </c>
      <c r="V20" s="263">
        <f>'КУ для 240 кГц '!W26</f>
        <v>35</v>
      </c>
      <c r="W20" s="263" t="str">
        <f t="shared" si="7"/>
        <v>23</v>
      </c>
      <c r="Y20">
        <f t="shared" si="8"/>
        <v>49504</v>
      </c>
      <c r="BJ20" s="266">
        <f t="shared" si="15"/>
        <v>15</v>
      </c>
      <c r="BK20" s="266">
        <f>'КУ для 240 кГц '!U24</f>
        <v>37</v>
      </c>
      <c r="BL20" s="261" t="str">
        <f t="shared" si="12"/>
        <v>25</v>
      </c>
      <c r="BN20" s="266"/>
      <c r="BO20" s="267">
        <f>'КУ для 240 кГц '!W24</f>
        <v>38</v>
      </c>
      <c r="BP20" s="262" t="str">
        <f t="shared" si="13"/>
        <v>26</v>
      </c>
      <c r="BR20" s="261">
        <f t="shared" si="14"/>
        <v>47742</v>
      </c>
      <c r="BS20">
        <f t="shared" si="16"/>
        <v>872</v>
      </c>
    </row>
    <row r="21" spans="2:71">
      <c r="B21" s="266">
        <f t="shared" si="9"/>
        <v>18</v>
      </c>
      <c r="C21" s="266" t="s">
        <v>303</v>
      </c>
      <c r="D21" s="261">
        <f t="shared" si="0"/>
        <v>31</v>
      </c>
      <c r="F21" s="266">
        <f t="shared" si="1"/>
        <v>18</v>
      </c>
      <c r="G21" s="267" t="s">
        <v>303</v>
      </c>
      <c r="H21" s="262">
        <f t="shared" si="2"/>
        <v>31</v>
      </c>
      <c r="J21" s="261">
        <f t="shared" si="3"/>
        <v>50625</v>
      </c>
      <c r="L21">
        <f>AF123*AF123</f>
        <v>72.25</v>
      </c>
      <c r="M21">
        <f t="shared" si="10"/>
        <v>156.06</v>
      </c>
      <c r="N21">
        <f>'КУ для 240 кГц '!L27</f>
        <v>142.85056515573677</v>
      </c>
      <c r="O21">
        <f t="shared" si="11"/>
        <v>-13.209434844263228</v>
      </c>
      <c r="Q21" s="263">
        <f t="shared" si="4"/>
        <v>18</v>
      </c>
      <c r="R21" s="263">
        <f>'КУ для 240 кГц '!U27</f>
        <v>31</v>
      </c>
      <c r="S21" s="263" t="str">
        <f t="shared" si="5"/>
        <v>1F</v>
      </c>
      <c r="T21" s="263"/>
      <c r="U21" s="263">
        <f t="shared" si="6"/>
        <v>18</v>
      </c>
      <c r="V21" s="263">
        <f>'КУ для 240 кГц '!W27</f>
        <v>33</v>
      </c>
      <c r="W21" s="263" t="str">
        <f t="shared" si="7"/>
        <v>21</v>
      </c>
      <c r="Y21">
        <f t="shared" si="8"/>
        <v>50175</v>
      </c>
      <c r="BJ21" s="266">
        <f t="shared" si="15"/>
        <v>16</v>
      </c>
      <c r="BK21" s="266">
        <f>'КУ для 240 кГц '!U25</f>
        <v>34</v>
      </c>
      <c r="BL21" s="261" t="str">
        <f t="shared" si="12"/>
        <v>22</v>
      </c>
      <c r="BN21" s="266"/>
      <c r="BO21" s="267">
        <f>'КУ для 240 кГц '!W25</f>
        <v>37</v>
      </c>
      <c r="BP21" s="262" t="str">
        <f t="shared" si="13"/>
        <v>25</v>
      </c>
      <c r="BR21" s="261">
        <f t="shared" si="14"/>
        <v>48618</v>
      </c>
      <c r="BS21">
        <f t="shared" si="16"/>
        <v>876</v>
      </c>
    </row>
    <row r="22" spans="2:71">
      <c r="B22" s="266">
        <f t="shared" si="9"/>
        <v>19</v>
      </c>
      <c r="C22" s="266" t="s">
        <v>304</v>
      </c>
      <c r="D22" s="261">
        <f t="shared" si="0"/>
        <v>30</v>
      </c>
      <c r="F22" s="266">
        <f t="shared" si="1"/>
        <v>19</v>
      </c>
      <c r="G22" s="267" t="s">
        <v>304</v>
      </c>
      <c r="H22" s="262">
        <f t="shared" si="2"/>
        <v>30</v>
      </c>
      <c r="J22" s="261">
        <f t="shared" si="3"/>
        <v>51076</v>
      </c>
      <c r="L22">
        <f>AF122*AF122</f>
        <v>81</v>
      </c>
      <c r="M22">
        <f t="shared" si="10"/>
        <v>174.96</v>
      </c>
      <c r="N22">
        <f>'КУ для 240 кГц '!L28</f>
        <v>155.93495597377273</v>
      </c>
      <c r="O22">
        <f t="shared" si="11"/>
        <v>-19.025044026227278</v>
      </c>
      <c r="Q22" s="263">
        <f t="shared" si="4"/>
        <v>19</v>
      </c>
      <c r="R22" s="263">
        <f>'КУ для 240 кГц '!U28</f>
        <v>31</v>
      </c>
      <c r="S22" s="263" t="str">
        <f t="shared" si="5"/>
        <v>1F</v>
      </c>
      <c r="T22" s="263"/>
      <c r="U22" s="263">
        <f t="shared" si="6"/>
        <v>19</v>
      </c>
      <c r="V22" s="263">
        <f>'КУ для 240 кГц '!W28</f>
        <v>31</v>
      </c>
      <c r="W22" s="263" t="str">
        <f t="shared" si="7"/>
        <v>1F</v>
      </c>
      <c r="Y22">
        <f t="shared" si="8"/>
        <v>50625</v>
      </c>
      <c r="BJ22" s="266">
        <f t="shared" si="15"/>
        <v>17</v>
      </c>
      <c r="BK22" s="266">
        <f>'КУ для 240 кГц '!U26</f>
        <v>32</v>
      </c>
      <c r="BL22" s="261" t="str">
        <f t="shared" si="12"/>
        <v>20</v>
      </c>
      <c r="BN22" s="266"/>
      <c r="BO22" s="267">
        <f>'КУ для 240 кГц '!W26</f>
        <v>35</v>
      </c>
      <c r="BP22" s="262" t="str">
        <f t="shared" si="13"/>
        <v>23</v>
      </c>
      <c r="BR22" s="261">
        <f t="shared" si="14"/>
        <v>49504</v>
      </c>
      <c r="BS22">
        <f t="shared" si="16"/>
        <v>886</v>
      </c>
    </row>
    <row r="23" spans="2:71">
      <c r="B23" s="266">
        <f t="shared" si="9"/>
        <v>20</v>
      </c>
      <c r="C23" s="266" t="s">
        <v>305</v>
      </c>
      <c r="D23" s="261">
        <f t="shared" si="0"/>
        <v>29</v>
      </c>
      <c r="F23" s="266">
        <f t="shared" si="1"/>
        <v>20</v>
      </c>
      <c r="G23" s="267" t="s">
        <v>304</v>
      </c>
      <c r="H23" s="262">
        <f t="shared" si="2"/>
        <v>30</v>
      </c>
      <c r="J23" s="261">
        <f t="shared" si="3"/>
        <v>51302</v>
      </c>
      <c r="L23">
        <f>AF121*AF122</f>
        <v>83.7</v>
      </c>
      <c r="M23">
        <f t="shared" si="10"/>
        <v>180.79200000000003</v>
      </c>
      <c r="N23">
        <f>'КУ для 240 кГц '!L29</f>
        <v>169.85521680182444</v>
      </c>
      <c r="O23">
        <f t="shared" si="11"/>
        <v>-10.93678319817559</v>
      </c>
      <c r="Q23" s="263">
        <f t="shared" si="4"/>
        <v>20</v>
      </c>
      <c r="R23" s="263">
        <f>'КУ для 240 кГц '!U29</f>
        <v>29</v>
      </c>
      <c r="S23" s="263" t="str">
        <f t="shared" si="5"/>
        <v>1D</v>
      </c>
      <c r="T23" s="263"/>
      <c r="U23" s="263">
        <f t="shared" si="6"/>
        <v>20</v>
      </c>
      <c r="V23" s="263">
        <f>'КУ для 240 кГц '!W29</f>
        <v>31</v>
      </c>
      <c r="W23" s="263" t="str">
        <f t="shared" si="7"/>
        <v>1F</v>
      </c>
      <c r="Y23">
        <f t="shared" si="8"/>
        <v>51075</v>
      </c>
      <c r="BJ23" s="266">
        <f t="shared" si="15"/>
        <v>18</v>
      </c>
      <c r="BK23" s="266">
        <f>'КУ для 240 кГц '!U27</f>
        <v>31</v>
      </c>
      <c r="BL23" s="261" t="str">
        <f t="shared" si="12"/>
        <v>1F</v>
      </c>
      <c r="BN23" s="266"/>
      <c r="BO23" s="267">
        <f>'КУ для 240 кГц '!W27</f>
        <v>33</v>
      </c>
      <c r="BP23" s="262" t="str">
        <f t="shared" si="13"/>
        <v>21</v>
      </c>
      <c r="BR23" s="261">
        <f t="shared" si="14"/>
        <v>50175</v>
      </c>
      <c r="BS23">
        <f t="shared" si="16"/>
        <v>671</v>
      </c>
    </row>
    <row r="24" spans="2:71">
      <c r="B24" s="266">
        <f t="shared" si="9"/>
        <v>21</v>
      </c>
      <c r="C24" s="266" t="s">
        <v>306</v>
      </c>
      <c r="D24" s="261">
        <f t="shared" si="0"/>
        <v>28</v>
      </c>
      <c r="F24" s="266">
        <f t="shared" si="1"/>
        <v>21</v>
      </c>
      <c r="G24" s="267" t="s">
        <v>305</v>
      </c>
      <c r="H24" s="262">
        <f t="shared" si="2"/>
        <v>29</v>
      </c>
      <c r="J24" s="261">
        <f t="shared" si="3"/>
        <v>51756</v>
      </c>
      <c r="L24">
        <f>AF120*AF121</f>
        <v>88.350000000000009</v>
      </c>
      <c r="M24">
        <f t="shared" si="10"/>
        <v>190.83600000000004</v>
      </c>
      <c r="N24">
        <f>'КУ для 240 кГц '!L30</f>
        <v>184.65802145894915</v>
      </c>
      <c r="O24">
        <f t="shared" si="11"/>
        <v>-6.1779785410508907</v>
      </c>
      <c r="Q24" s="263">
        <f t="shared" si="4"/>
        <v>21</v>
      </c>
      <c r="R24" s="263">
        <f>'КУ для 240 кГц '!U30</f>
        <v>28</v>
      </c>
      <c r="S24" s="263" t="str">
        <f t="shared" si="5"/>
        <v>1C</v>
      </c>
      <c r="T24" s="263"/>
      <c r="U24" s="263">
        <f t="shared" si="6"/>
        <v>21</v>
      </c>
      <c r="V24" s="263">
        <f>'КУ для 240 кГц '!W30</f>
        <v>30</v>
      </c>
      <c r="W24" s="263" t="str">
        <f t="shared" si="7"/>
        <v>1E</v>
      </c>
      <c r="Y24">
        <f t="shared" si="8"/>
        <v>51528</v>
      </c>
      <c r="BJ24" s="266">
        <f t="shared" si="15"/>
        <v>19</v>
      </c>
      <c r="BK24" s="266">
        <f>'КУ для 240 кГц '!U28</f>
        <v>31</v>
      </c>
      <c r="BL24" s="261" t="str">
        <f t="shared" si="12"/>
        <v>1F</v>
      </c>
      <c r="BN24" s="266"/>
      <c r="BO24" s="267">
        <f>'КУ для 240 кГц '!W28</f>
        <v>31</v>
      </c>
      <c r="BP24" s="262" t="str">
        <f t="shared" si="13"/>
        <v>1F</v>
      </c>
      <c r="BR24" s="261">
        <f t="shared" si="14"/>
        <v>50625</v>
      </c>
      <c r="BS24">
        <f t="shared" si="16"/>
        <v>450</v>
      </c>
    </row>
    <row r="25" spans="2:71">
      <c r="B25" s="266">
        <f t="shared" si="9"/>
        <v>22</v>
      </c>
      <c r="C25" s="266" t="s">
        <v>307</v>
      </c>
      <c r="D25" s="261">
        <f t="shared" si="0"/>
        <v>27</v>
      </c>
      <c r="F25" s="266">
        <f t="shared" si="1"/>
        <v>22</v>
      </c>
      <c r="G25" s="267" t="s">
        <v>307</v>
      </c>
      <c r="H25" s="262">
        <f t="shared" si="2"/>
        <v>27</v>
      </c>
      <c r="J25" s="261">
        <f t="shared" si="3"/>
        <v>52441</v>
      </c>
      <c r="L25">
        <f>AF119*AF119</f>
        <v>100</v>
      </c>
      <c r="M25">
        <f t="shared" si="10"/>
        <v>216</v>
      </c>
      <c r="N25">
        <f>'КУ для 240 кГц '!L31</f>
        <v>200.3924711815331</v>
      </c>
      <c r="O25">
        <f t="shared" si="11"/>
        <v>-15.607528818466903</v>
      </c>
      <c r="Q25" s="263">
        <f t="shared" si="4"/>
        <v>22</v>
      </c>
      <c r="R25" s="263">
        <f>'КУ для 240 кГц '!U31</f>
        <v>27</v>
      </c>
      <c r="S25" s="263" t="str">
        <f t="shared" si="5"/>
        <v>1B</v>
      </c>
      <c r="T25" s="263"/>
      <c r="U25" s="263">
        <f t="shared" si="6"/>
        <v>22</v>
      </c>
      <c r="V25" s="263">
        <f>'КУ для 240 кГц '!W31</f>
        <v>29</v>
      </c>
      <c r="W25" s="263" t="str">
        <f t="shared" si="7"/>
        <v>1D</v>
      </c>
      <c r="Y25">
        <f t="shared" si="8"/>
        <v>51983</v>
      </c>
      <c r="BJ25" s="266">
        <f t="shared" si="15"/>
        <v>20</v>
      </c>
      <c r="BK25" s="266">
        <f>'КУ для 240 кГц '!U29</f>
        <v>29</v>
      </c>
      <c r="BL25" s="261" t="str">
        <f t="shared" si="12"/>
        <v>1D</v>
      </c>
      <c r="BN25" s="266"/>
      <c r="BO25" s="267">
        <f>'КУ для 240 кГц '!W29</f>
        <v>31</v>
      </c>
      <c r="BP25" s="262" t="str">
        <f t="shared" si="13"/>
        <v>1F</v>
      </c>
      <c r="BR25" s="261">
        <f t="shared" si="14"/>
        <v>51075</v>
      </c>
      <c r="BS25">
        <f t="shared" si="16"/>
        <v>450</v>
      </c>
    </row>
    <row r="26" spans="2:71">
      <c r="B26" s="266">
        <f t="shared" si="9"/>
        <v>23</v>
      </c>
      <c r="C26" s="266" t="s">
        <v>308</v>
      </c>
      <c r="D26" s="261">
        <f t="shared" si="0"/>
        <v>26</v>
      </c>
      <c r="F26" s="266">
        <f t="shared" si="1"/>
        <v>23</v>
      </c>
      <c r="G26" s="267" t="s">
        <v>308</v>
      </c>
      <c r="H26" s="262">
        <f t="shared" si="2"/>
        <v>26</v>
      </c>
      <c r="J26" s="261">
        <f t="shared" si="3"/>
        <v>52900</v>
      </c>
      <c r="L26">
        <f>AF118*AF118</f>
        <v>106.09000000000002</v>
      </c>
      <c r="M26">
        <f t="shared" si="10"/>
        <v>229.15440000000007</v>
      </c>
      <c r="N26">
        <f>'КУ для 240 кГц '!L32</f>
        <v>217.11021543023102</v>
      </c>
      <c r="O26">
        <f t="shared" si="11"/>
        <v>-12.044184569769044</v>
      </c>
      <c r="Q26" s="263">
        <f t="shared" si="4"/>
        <v>23</v>
      </c>
      <c r="R26" s="263">
        <f>'КУ для 240 кГц '!U32</f>
        <v>27</v>
      </c>
      <c r="S26" s="263" t="str">
        <f t="shared" si="5"/>
        <v>1B</v>
      </c>
      <c r="T26" s="263"/>
      <c r="U26" s="263">
        <f t="shared" si="6"/>
        <v>23</v>
      </c>
      <c r="V26" s="263">
        <f>'КУ для 240 кГц '!W32</f>
        <v>27</v>
      </c>
      <c r="W26" s="263" t="str">
        <f t="shared" si="7"/>
        <v>1B</v>
      </c>
      <c r="Y26">
        <f t="shared" si="8"/>
        <v>52441</v>
      </c>
      <c r="BJ26" s="266">
        <f t="shared" si="15"/>
        <v>21</v>
      </c>
      <c r="BK26" s="266">
        <f>'КУ для 240 кГц '!U30</f>
        <v>28</v>
      </c>
      <c r="BL26" s="261" t="str">
        <f t="shared" si="12"/>
        <v>1C</v>
      </c>
      <c r="BN26" s="266"/>
      <c r="BO26" s="267">
        <f>'КУ для 240 кГц '!W30</f>
        <v>30</v>
      </c>
      <c r="BP26" s="262" t="str">
        <f t="shared" si="13"/>
        <v>1E</v>
      </c>
      <c r="BR26" s="261">
        <f t="shared" si="14"/>
        <v>51528</v>
      </c>
      <c r="BS26">
        <f t="shared" si="16"/>
        <v>453</v>
      </c>
    </row>
    <row r="27" spans="2:71">
      <c r="B27" s="266">
        <f t="shared" si="9"/>
        <v>24</v>
      </c>
      <c r="C27" s="266">
        <v>19</v>
      </c>
      <c r="D27" s="261">
        <f t="shared" si="0"/>
        <v>25</v>
      </c>
      <c r="F27" s="266">
        <f t="shared" si="1"/>
        <v>24</v>
      </c>
      <c r="G27" s="267">
        <v>19</v>
      </c>
      <c r="H27" s="262">
        <f t="shared" si="2"/>
        <v>25</v>
      </c>
      <c r="J27" s="261">
        <f t="shared" si="3"/>
        <v>53361</v>
      </c>
      <c r="L27">
        <f>AF117*AF117</f>
        <v>121</v>
      </c>
      <c r="M27">
        <f t="shared" si="10"/>
        <v>261.36</v>
      </c>
      <c r="N27">
        <f>'КУ для 240 кГц '!L33</f>
        <v>234.86557853157117</v>
      </c>
      <c r="O27">
        <f t="shared" si="11"/>
        <v>-26.49442146842884</v>
      </c>
      <c r="Q27" s="263">
        <f t="shared" si="4"/>
        <v>24</v>
      </c>
      <c r="R27" s="263">
        <f>'КУ для 240 кГц '!U33</f>
        <v>23</v>
      </c>
      <c r="S27" s="263" t="str">
        <f t="shared" si="5"/>
        <v>17</v>
      </c>
      <c r="T27" s="263"/>
      <c r="U27" s="263">
        <f t="shared" si="6"/>
        <v>24</v>
      </c>
      <c r="V27" s="263">
        <f>'КУ для 240 кГц '!W33</f>
        <v>30</v>
      </c>
      <c r="W27" s="263" t="str">
        <f t="shared" si="7"/>
        <v>1E</v>
      </c>
      <c r="Y27">
        <f t="shared" si="8"/>
        <v>52658</v>
      </c>
      <c r="BJ27" s="266">
        <f t="shared" si="15"/>
        <v>22</v>
      </c>
      <c r="BK27" s="266">
        <f>'КУ для 240 кГц '!U31</f>
        <v>27</v>
      </c>
      <c r="BL27" s="261" t="str">
        <f t="shared" si="12"/>
        <v>1B</v>
      </c>
      <c r="BN27" s="266"/>
      <c r="BO27" s="267">
        <f>'КУ для 240 кГц '!W31</f>
        <v>29</v>
      </c>
      <c r="BP27" s="262" t="str">
        <f t="shared" si="13"/>
        <v>1D</v>
      </c>
      <c r="BR27" s="261">
        <f t="shared" si="14"/>
        <v>51983</v>
      </c>
      <c r="BS27">
        <f t="shared" si="16"/>
        <v>455</v>
      </c>
    </row>
    <row r="28" spans="2:71">
      <c r="B28" s="266">
        <f t="shared" si="9"/>
        <v>25</v>
      </c>
      <c r="C28" s="266">
        <v>18</v>
      </c>
      <c r="D28" s="261">
        <f t="shared" si="0"/>
        <v>24</v>
      </c>
      <c r="F28" s="266">
        <f t="shared" si="1"/>
        <v>25</v>
      </c>
      <c r="G28" s="267">
        <v>19</v>
      </c>
      <c r="H28" s="262">
        <f t="shared" si="2"/>
        <v>25</v>
      </c>
      <c r="J28" s="261">
        <f t="shared" si="3"/>
        <v>53592</v>
      </c>
      <c r="L28">
        <f>AF116*AF117</f>
        <v>123.19999999999999</v>
      </c>
      <c r="M28">
        <f t="shared" si="10"/>
        <v>266.11199999999997</v>
      </c>
      <c r="N28">
        <f>'КУ для 240 кГц '!L34</f>
        <v>253.71569242996173</v>
      </c>
      <c r="O28">
        <f t="shared" si="11"/>
        <v>-12.396307570038232</v>
      </c>
      <c r="Q28" s="263">
        <f t="shared" si="4"/>
        <v>25</v>
      </c>
      <c r="R28" s="263">
        <f>'КУ для 240 кГц '!U34</f>
        <v>22</v>
      </c>
      <c r="S28" s="263" t="str">
        <f t="shared" si="5"/>
        <v>16</v>
      </c>
      <c r="T28" s="263"/>
      <c r="U28" s="263">
        <f t="shared" si="6"/>
        <v>25</v>
      </c>
      <c r="V28" s="263">
        <f>'КУ для 240 кГц '!W34</f>
        <v>28</v>
      </c>
      <c r="W28" s="263" t="str">
        <f t="shared" si="7"/>
        <v>1C</v>
      </c>
      <c r="Y28">
        <f t="shared" si="8"/>
        <v>53352</v>
      </c>
      <c r="BJ28" s="266">
        <f t="shared" si="15"/>
        <v>23</v>
      </c>
      <c r="BK28" s="266">
        <f>'КУ для 240 кГц '!U32</f>
        <v>27</v>
      </c>
      <c r="BL28" s="261" t="str">
        <f t="shared" si="12"/>
        <v>1B</v>
      </c>
      <c r="BN28" s="266"/>
      <c r="BO28" s="267">
        <f>'КУ для 240 кГц '!W32</f>
        <v>27</v>
      </c>
      <c r="BP28" s="262" t="str">
        <f t="shared" si="13"/>
        <v>1B</v>
      </c>
      <c r="BR28" s="261">
        <f t="shared" si="14"/>
        <v>52441</v>
      </c>
      <c r="BS28">
        <f t="shared" si="16"/>
        <v>458</v>
      </c>
    </row>
    <row r="29" spans="2:71">
      <c r="B29" s="266">
        <f t="shared" si="9"/>
        <v>26</v>
      </c>
      <c r="C29" s="266">
        <v>17</v>
      </c>
      <c r="D29" s="261">
        <f t="shared" si="0"/>
        <v>23</v>
      </c>
      <c r="F29" s="266">
        <f t="shared" si="1"/>
        <v>26</v>
      </c>
      <c r="G29" s="267">
        <v>17</v>
      </c>
      <c r="H29" s="262">
        <f t="shared" si="2"/>
        <v>23</v>
      </c>
      <c r="J29" s="261">
        <f t="shared" si="3"/>
        <v>54289</v>
      </c>
      <c r="L29">
        <f>AF115*AF115</f>
        <v>144</v>
      </c>
      <c r="M29">
        <f t="shared" si="10"/>
        <v>311.04000000000002</v>
      </c>
      <c r="N29">
        <f>'КУ для 240 кГц '!L35</f>
        <v>273.72063583865167</v>
      </c>
      <c r="O29">
        <f t="shared" si="11"/>
        <v>-37.319364161348346</v>
      </c>
      <c r="Q29" s="263">
        <f t="shared" si="4"/>
        <v>26</v>
      </c>
      <c r="R29" s="263">
        <f>'КУ для 240 кГц '!U35</f>
        <v>22</v>
      </c>
      <c r="S29" s="263" t="str">
        <f t="shared" si="5"/>
        <v>16</v>
      </c>
      <c r="T29" s="263"/>
      <c r="U29" s="263">
        <f t="shared" si="6"/>
        <v>26</v>
      </c>
      <c r="V29" s="263">
        <f>'КУ для 240 кГц '!W35</f>
        <v>26</v>
      </c>
      <c r="W29" s="263" t="str">
        <f t="shared" si="7"/>
        <v>1A</v>
      </c>
      <c r="Y29">
        <f t="shared" si="8"/>
        <v>53820</v>
      </c>
      <c r="BJ29" s="266">
        <f t="shared" si="15"/>
        <v>24</v>
      </c>
      <c r="BK29" s="266">
        <f>'КУ для 240 кГц '!U33</f>
        <v>23</v>
      </c>
      <c r="BL29" s="261" t="str">
        <f t="shared" si="12"/>
        <v>17</v>
      </c>
      <c r="BN29" s="266"/>
      <c r="BO29" s="267">
        <f>'КУ для 240 кГц '!W33</f>
        <v>30</v>
      </c>
      <c r="BP29" s="262" t="str">
        <f t="shared" si="13"/>
        <v>1E</v>
      </c>
      <c r="BR29" s="261">
        <f t="shared" si="14"/>
        <v>52658</v>
      </c>
      <c r="BS29">
        <f t="shared" si="16"/>
        <v>217</v>
      </c>
    </row>
    <row r="30" spans="2:71">
      <c r="B30" s="266">
        <f t="shared" si="9"/>
        <v>27</v>
      </c>
      <c r="C30" s="266">
        <v>17</v>
      </c>
      <c r="D30" s="261">
        <f t="shared" si="0"/>
        <v>23</v>
      </c>
      <c r="F30" s="266">
        <f t="shared" si="1"/>
        <v>27</v>
      </c>
      <c r="G30" s="267">
        <v>16</v>
      </c>
      <c r="H30" s="262">
        <f t="shared" si="2"/>
        <v>22</v>
      </c>
      <c r="J30" s="261">
        <f t="shared" si="3"/>
        <v>54522</v>
      </c>
      <c r="L30">
        <f>AF115*AF114</f>
        <v>147.60000000000002</v>
      </c>
      <c r="M30">
        <f t="shared" si="10"/>
        <v>318.81600000000009</v>
      </c>
      <c r="N30">
        <f>'КУ для 240 кГц '!L36</f>
        <v>294.9435800916101</v>
      </c>
      <c r="O30">
        <f t="shared" si="11"/>
        <v>-23.872419908389986</v>
      </c>
      <c r="Q30" s="263">
        <f t="shared" si="4"/>
        <v>27</v>
      </c>
      <c r="R30" s="263">
        <f>'КУ для 240 кГц '!U36</f>
        <v>22</v>
      </c>
      <c r="S30" s="263" t="str">
        <f t="shared" si="5"/>
        <v>16</v>
      </c>
      <c r="T30" s="263"/>
      <c r="U30" s="263">
        <f t="shared" si="6"/>
        <v>27</v>
      </c>
      <c r="V30" s="263">
        <f>'КУ для 240 кГц '!W36</f>
        <v>25</v>
      </c>
      <c r="W30" s="263" t="str">
        <f t="shared" si="7"/>
        <v>19</v>
      </c>
      <c r="Y30">
        <f t="shared" si="8"/>
        <v>54054</v>
      </c>
      <c r="BJ30" s="266">
        <f t="shared" si="15"/>
        <v>25</v>
      </c>
      <c r="BK30" s="266">
        <f>'КУ для 240 кГц '!U34</f>
        <v>22</v>
      </c>
      <c r="BL30" s="261" t="str">
        <f t="shared" si="12"/>
        <v>16</v>
      </c>
      <c r="BN30" s="266"/>
      <c r="BO30" s="267">
        <f>'КУ для 240 кГц '!W34</f>
        <v>28</v>
      </c>
      <c r="BP30" s="262" t="str">
        <f t="shared" si="13"/>
        <v>1C</v>
      </c>
      <c r="BR30" s="261">
        <f t="shared" si="14"/>
        <v>53352</v>
      </c>
      <c r="BS30">
        <f t="shared" si="16"/>
        <v>694</v>
      </c>
    </row>
    <row r="31" spans="2:71">
      <c r="B31" s="266">
        <f t="shared" si="9"/>
        <v>28</v>
      </c>
      <c r="C31" s="266">
        <v>16</v>
      </c>
      <c r="D31" s="261">
        <f t="shared" si="0"/>
        <v>22</v>
      </c>
      <c r="F31" s="266">
        <f t="shared" si="1"/>
        <v>28</v>
      </c>
      <c r="G31" s="267">
        <v>16</v>
      </c>
      <c r="H31" s="262">
        <f t="shared" si="2"/>
        <v>22</v>
      </c>
      <c r="J31" s="261">
        <f t="shared" si="3"/>
        <v>54756</v>
      </c>
      <c r="L31">
        <f>AF114*AF114</f>
        <v>151.29000000000002</v>
      </c>
      <c r="M31">
        <f t="shared" si="10"/>
        <v>326.78640000000007</v>
      </c>
      <c r="N31">
        <f>'КУ для 240 кГц '!L37</f>
        <v>317.4509420123012</v>
      </c>
      <c r="O31">
        <f t="shared" si="11"/>
        <v>-9.3354579876988737</v>
      </c>
      <c r="Q31" s="263">
        <f t="shared" si="4"/>
        <v>28</v>
      </c>
      <c r="R31" s="263">
        <f>'КУ для 240 кГц '!U37</f>
        <v>22</v>
      </c>
      <c r="S31" s="263" t="str">
        <f t="shared" si="5"/>
        <v>16</v>
      </c>
      <c r="T31" s="263"/>
      <c r="U31" s="263">
        <f t="shared" si="6"/>
        <v>28</v>
      </c>
      <c r="V31" s="263">
        <f>'КУ для 240 кГц '!W37</f>
        <v>23</v>
      </c>
      <c r="W31" s="263" t="str">
        <f t="shared" si="7"/>
        <v>17</v>
      </c>
      <c r="Y31">
        <f t="shared" si="8"/>
        <v>54522</v>
      </c>
      <c r="BJ31" s="266">
        <f t="shared" si="15"/>
        <v>26</v>
      </c>
      <c r="BK31" s="266">
        <f>'КУ для 240 кГц '!U35</f>
        <v>22</v>
      </c>
      <c r="BL31" s="261" t="str">
        <f t="shared" si="12"/>
        <v>16</v>
      </c>
      <c r="BN31" s="266"/>
      <c r="BO31" s="267">
        <f>'КУ для 240 кГц '!W35</f>
        <v>26</v>
      </c>
      <c r="BP31" s="262" t="str">
        <f t="shared" si="13"/>
        <v>1A</v>
      </c>
      <c r="BR31" s="261">
        <f t="shared" si="14"/>
        <v>53820</v>
      </c>
      <c r="BS31">
        <f t="shared" si="16"/>
        <v>468</v>
      </c>
    </row>
    <row r="32" spans="2:71">
      <c r="B32" s="266">
        <f t="shared" si="9"/>
        <v>29</v>
      </c>
      <c r="C32" s="266">
        <v>15</v>
      </c>
      <c r="D32" s="261">
        <f t="shared" si="0"/>
        <v>21</v>
      </c>
      <c r="F32" s="266">
        <f t="shared" si="1"/>
        <v>29</v>
      </c>
      <c r="G32" s="267">
        <v>15</v>
      </c>
      <c r="H32" s="262">
        <f t="shared" si="2"/>
        <v>21</v>
      </c>
      <c r="J32" s="261">
        <f t="shared" si="3"/>
        <v>55225</v>
      </c>
      <c r="L32">
        <f>AF113*AF113</f>
        <v>169</v>
      </c>
      <c r="M32">
        <f t="shared" si="10"/>
        <v>365.04</v>
      </c>
      <c r="N32">
        <f>'КУ для 240 кГц '!L38</f>
        <v>341.31254413000727</v>
      </c>
      <c r="O32">
        <f t="shared" si="11"/>
        <v>-23.727455869992752</v>
      </c>
      <c r="Q32" s="263">
        <f t="shared" si="4"/>
        <v>29</v>
      </c>
      <c r="R32" s="263">
        <f>'КУ для 240 кГц '!U38</f>
        <v>19</v>
      </c>
      <c r="S32" s="263" t="str">
        <f t="shared" si="5"/>
        <v>13</v>
      </c>
      <c r="T32" s="263"/>
      <c r="U32" s="263">
        <f t="shared" si="6"/>
        <v>29</v>
      </c>
      <c r="V32" s="263">
        <f>'КУ для 240 кГц '!W38</f>
        <v>24</v>
      </c>
      <c r="W32" s="263" t="str">
        <f t="shared" si="7"/>
        <v>18</v>
      </c>
      <c r="Y32">
        <f t="shared" si="8"/>
        <v>54984</v>
      </c>
      <c r="BJ32" s="266">
        <f t="shared" si="15"/>
        <v>27</v>
      </c>
      <c r="BK32" s="266">
        <f>'КУ для 240 кГц '!U36</f>
        <v>22</v>
      </c>
      <c r="BL32" s="261" t="str">
        <f t="shared" si="12"/>
        <v>16</v>
      </c>
      <c r="BN32" s="266"/>
      <c r="BO32" s="267">
        <f>'КУ для 240 кГц '!W36</f>
        <v>25</v>
      </c>
      <c r="BP32" s="262" t="str">
        <f t="shared" si="13"/>
        <v>19</v>
      </c>
      <c r="BR32" s="261">
        <f t="shared" si="14"/>
        <v>54054</v>
      </c>
      <c r="BS32">
        <f t="shared" si="16"/>
        <v>234</v>
      </c>
    </row>
    <row r="33" spans="2:71">
      <c r="B33" s="266">
        <f t="shared" si="9"/>
        <v>30</v>
      </c>
      <c r="C33" s="266">
        <v>14</v>
      </c>
      <c r="D33" s="261">
        <f t="shared" si="0"/>
        <v>20</v>
      </c>
      <c r="F33" s="266">
        <f t="shared" si="1"/>
        <v>30</v>
      </c>
      <c r="G33" s="267">
        <v>14</v>
      </c>
      <c r="H33" s="262">
        <f t="shared" si="2"/>
        <v>20</v>
      </c>
      <c r="J33" s="261">
        <f t="shared" si="3"/>
        <v>55696</v>
      </c>
      <c r="L33">
        <f>AF112*AF112</f>
        <v>182.25</v>
      </c>
      <c r="M33">
        <f t="shared" si="10"/>
        <v>393.66</v>
      </c>
      <c r="N33">
        <f>'КУ для 240 кГц '!L39</f>
        <v>366.60178258966619</v>
      </c>
      <c r="O33">
        <f t="shared" si="11"/>
        <v>-27.058217410333839</v>
      </c>
      <c r="Q33" s="263">
        <f t="shared" si="4"/>
        <v>30</v>
      </c>
      <c r="R33" s="263">
        <f>'КУ для 240 кГц '!U39</f>
        <v>21</v>
      </c>
      <c r="S33" s="263" t="str">
        <f t="shared" si="5"/>
        <v>15</v>
      </c>
      <c r="T33" s="263"/>
      <c r="U33" s="263">
        <f t="shared" si="6"/>
        <v>30</v>
      </c>
      <c r="V33" s="263">
        <f>'КУ для 240 кГц '!W39</f>
        <v>21</v>
      </c>
      <c r="W33" s="263" t="str">
        <f t="shared" si="7"/>
        <v>15</v>
      </c>
      <c r="Y33">
        <f t="shared" si="8"/>
        <v>55225</v>
      </c>
      <c r="BJ33" s="266">
        <f t="shared" si="15"/>
        <v>28</v>
      </c>
      <c r="BK33" s="266">
        <f>'КУ для 240 кГц '!U37</f>
        <v>22</v>
      </c>
      <c r="BL33" s="261" t="str">
        <f t="shared" si="12"/>
        <v>16</v>
      </c>
      <c r="BN33" s="266"/>
      <c r="BO33" s="267">
        <f>'КУ для 240 кГц '!W37</f>
        <v>23</v>
      </c>
      <c r="BP33" s="262" t="str">
        <f t="shared" si="13"/>
        <v>17</v>
      </c>
      <c r="BR33" s="261">
        <f t="shared" si="14"/>
        <v>54522</v>
      </c>
      <c r="BS33">
        <f t="shared" si="16"/>
        <v>468</v>
      </c>
    </row>
    <row r="34" spans="2:71">
      <c r="B34" s="266">
        <f t="shared" si="9"/>
        <v>31</v>
      </c>
      <c r="C34" s="266">
        <v>13</v>
      </c>
      <c r="D34" s="261">
        <f t="shared" si="0"/>
        <v>19</v>
      </c>
      <c r="F34" s="266">
        <f t="shared" si="1"/>
        <v>31</v>
      </c>
      <c r="G34" s="267">
        <v>13</v>
      </c>
      <c r="H34" s="262">
        <f t="shared" si="2"/>
        <v>19</v>
      </c>
      <c r="J34" s="261">
        <f t="shared" si="3"/>
        <v>56169</v>
      </c>
      <c r="L34">
        <f>AF111*AF111</f>
        <v>196</v>
      </c>
      <c r="M34">
        <f t="shared" si="10"/>
        <v>423.36</v>
      </c>
      <c r="N34">
        <f>'КУ для 240 кГц '!L40</f>
        <v>393.39580311726604</v>
      </c>
      <c r="O34">
        <f t="shared" si="11"/>
        <v>-29.964196882733972</v>
      </c>
      <c r="Q34" s="263">
        <f t="shared" si="4"/>
        <v>31</v>
      </c>
      <c r="R34" s="263">
        <f>'КУ для 240 кГц '!U40</f>
        <v>20</v>
      </c>
      <c r="S34" s="263" t="str">
        <f t="shared" si="5"/>
        <v>14</v>
      </c>
      <c r="T34" s="263"/>
      <c r="U34" s="263">
        <f t="shared" si="6"/>
        <v>31</v>
      </c>
      <c r="V34" s="263">
        <f>'КУ для 240 кГц '!W40</f>
        <v>20</v>
      </c>
      <c r="W34" s="263" t="str">
        <f t="shared" si="7"/>
        <v>14</v>
      </c>
      <c r="Y34">
        <f t="shared" si="8"/>
        <v>55696</v>
      </c>
      <c r="BJ34" s="266">
        <f t="shared" si="15"/>
        <v>29</v>
      </c>
      <c r="BK34" s="266">
        <f>'КУ для 240 кГц '!U38</f>
        <v>19</v>
      </c>
      <c r="BL34" s="261" t="str">
        <f t="shared" si="12"/>
        <v>13</v>
      </c>
      <c r="BN34" s="266"/>
      <c r="BO34" s="267">
        <f>'КУ для 240 кГц '!W38</f>
        <v>24</v>
      </c>
      <c r="BP34" s="262" t="str">
        <f t="shared" si="13"/>
        <v>18</v>
      </c>
      <c r="BR34" s="261">
        <f t="shared" si="14"/>
        <v>54984</v>
      </c>
      <c r="BS34">
        <f t="shared" si="16"/>
        <v>462</v>
      </c>
    </row>
    <row r="35" spans="2:71">
      <c r="B35" s="266">
        <f t="shared" si="9"/>
        <v>32</v>
      </c>
      <c r="C35" s="266">
        <v>12</v>
      </c>
      <c r="D35" s="261">
        <f t="shared" si="0"/>
        <v>18</v>
      </c>
      <c r="F35" s="266">
        <f t="shared" si="1"/>
        <v>32</v>
      </c>
      <c r="G35" s="267">
        <v>13</v>
      </c>
      <c r="H35" s="262">
        <f t="shared" si="2"/>
        <v>19</v>
      </c>
      <c r="J35" s="261">
        <f t="shared" si="3"/>
        <v>56406</v>
      </c>
      <c r="L35">
        <f>AF110*AF111</f>
        <v>210</v>
      </c>
      <c r="M35">
        <f t="shared" si="10"/>
        <v>453.6</v>
      </c>
      <c r="N35">
        <f>'КУ для 240 кГц '!L41</f>
        <v>421.77568541955526</v>
      </c>
      <c r="O35">
        <f t="shared" si="11"/>
        <v>-31.824314580444764</v>
      </c>
      <c r="Q35" s="263">
        <f t="shared" si="4"/>
        <v>32</v>
      </c>
      <c r="R35" s="263">
        <f>'КУ для 240 кГц '!U41</f>
        <v>19</v>
      </c>
      <c r="S35" s="263" t="str">
        <f t="shared" si="5"/>
        <v>13</v>
      </c>
      <c r="T35" s="263"/>
      <c r="U35" s="263">
        <f t="shared" si="6"/>
        <v>32</v>
      </c>
      <c r="V35" s="263">
        <f>'КУ для 240 кГц '!W41</f>
        <v>19</v>
      </c>
      <c r="W35" s="263" t="str">
        <f t="shared" si="7"/>
        <v>13</v>
      </c>
      <c r="Y35">
        <f t="shared" si="8"/>
        <v>56169</v>
      </c>
      <c r="BJ35" s="266">
        <f t="shared" si="15"/>
        <v>30</v>
      </c>
      <c r="BK35" s="266">
        <f>'КУ для 240 кГц '!U39</f>
        <v>21</v>
      </c>
      <c r="BL35" s="261" t="str">
        <f t="shared" si="12"/>
        <v>15</v>
      </c>
      <c r="BN35" s="266"/>
      <c r="BO35" s="267">
        <f>'КУ для 240 кГц '!W39</f>
        <v>21</v>
      </c>
      <c r="BP35" s="262" t="str">
        <f t="shared" si="13"/>
        <v>15</v>
      </c>
      <c r="BR35" s="261">
        <f t="shared" si="14"/>
        <v>55225</v>
      </c>
      <c r="BS35">
        <f t="shared" si="16"/>
        <v>241</v>
      </c>
    </row>
    <row r="36" spans="2:71">
      <c r="B36" s="266">
        <f t="shared" si="9"/>
        <v>33</v>
      </c>
      <c r="C36" s="266">
        <v>12</v>
      </c>
      <c r="D36" s="261">
        <f t="shared" si="0"/>
        <v>18</v>
      </c>
      <c r="F36" s="266">
        <f t="shared" si="1"/>
        <v>33</v>
      </c>
      <c r="G36" s="267">
        <v>11</v>
      </c>
      <c r="H36" s="262">
        <f t="shared" si="2"/>
        <v>17</v>
      </c>
      <c r="J36" s="261">
        <f t="shared" si="3"/>
        <v>56882</v>
      </c>
      <c r="L36">
        <f>AF110*AF109</f>
        <v>234</v>
      </c>
      <c r="M36">
        <f t="shared" si="10"/>
        <v>505.44000000000005</v>
      </c>
      <c r="N36">
        <f>'КУ для 240 кГц '!L42</f>
        <v>451.82663641443332</v>
      </c>
      <c r="O36">
        <f t="shared" si="11"/>
        <v>-53.613363585566731</v>
      </c>
      <c r="Q36" s="263">
        <f t="shared" si="4"/>
        <v>33</v>
      </c>
      <c r="R36" s="263">
        <f>'КУ для 240 кГц '!U42</f>
        <v>18</v>
      </c>
      <c r="S36" s="263" t="str">
        <f t="shared" si="5"/>
        <v>12</v>
      </c>
      <c r="T36" s="263"/>
      <c r="U36" s="263">
        <f t="shared" si="6"/>
        <v>33</v>
      </c>
      <c r="V36" s="263">
        <f>'КУ для 240 кГц '!W42</f>
        <v>19</v>
      </c>
      <c r="W36" s="263" t="str">
        <f t="shared" si="7"/>
        <v>13</v>
      </c>
      <c r="Y36">
        <f t="shared" si="8"/>
        <v>56406</v>
      </c>
      <c r="BJ36" s="266">
        <f t="shared" si="15"/>
        <v>31</v>
      </c>
      <c r="BK36" s="266">
        <f>'КУ для 240 кГц '!U40</f>
        <v>20</v>
      </c>
      <c r="BL36" s="261" t="str">
        <f t="shared" si="12"/>
        <v>14</v>
      </c>
      <c r="BN36" s="266"/>
      <c r="BO36" s="267">
        <f>'КУ для 240 кГц '!W40</f>
        <v>20</v>
      </c>
      <c r="BP36" s="262" t="str">
        <f t="shared" si="13"/>
        <v>14</v>
      </c>
      <c r="BR36" s="261">
        <f t="shared" si="14"/>
        <v>55696</v>
      </c>
      <c r="BS36">
        <f t="shared" si="16"/>
        <v>471</v>
      </c>
    </row>
    <row r="37" spans="2:71">
      <c r="B37" s="266">
        <f t="shared" si="9"/>
        <v>34</v>
      </c>
      <c r="C37" s="266">
        <v>11</v>
      </c>
      <c r="D37" s="261">
        <f t="shared" si="0"/>
        <v>17</v>
      </c>
      <c r="F37" s="266">
        <f t="shared" si="1"/>
        <v>34</v>
      </c>
      <c r="G37" s="267">
        <v>11</v>
      </c>
      <c r="H37" s="262">
        <f t="shared" si="2"/>
        <v>17</v>
      </c>
      <c r="J37" s="261">
        <f t="shared" si="3"/>
        <v>57121</v>
      </c>
      <c r="L37">
        <f>AF109*AF109</f>
        <v>243.35999999999999</v>
      </c>
      <c r="M37">
        <f t="shared" si="10"/>
        <v>525.6576</v>
      </c>
      <c r="N37">
        <f>'КУ для 240 кГц '!L43</f>
        <v>483.63819270666556</v>
      </c>
      <c r="O37">
        <f t="shared" si="11"/>
        <v>-42.019407293334439</v>
      </c>
      <c r="Q37" s="263">
        <f t="shared" si="4"/>
        <v>34</v>
      </c>
      <c r="R37" s="263">
        <f>'КУ для 240 кГц '!U43</f>
        <v>19</v>
      </c>
      <c r="S37" s="263" t="str">
        <f t="shared" si="5"/>
        <v>13</v>
      </c>
      <c r="T37" s="263"/>
      <c r="U37" s="263">
        <f t="shared" si="6"/>
        <v>34</v>
      </c>
      <c r="V37" s="263">
        <f>'КУ для 240 кГц '!W43</f>
        <v>19</v>
      </c>
      <c r="W37" s="263" t="str">
        <f t="shared" si="7"/>
        <v>13</v>
      </c>
      <c r="Y37">
        <f t="shared" si="8"/>
        <v>56169</v>
      </c>
      <c r="BJ37" s="266">
        <f t="shared" si="15"/>
        <v>32</v>
      </c>
      <c r="BK37" s="266">
        <f>'КУ для 240 кГц '!U41</f>
        <v>19</v>
      </c>
      <c r="BL37" s="261" t="str">
        <f t="shared" si="12"/>
        <v>13</v>
      </c>
      <c r="BN37" s="266"/>
      <c r="BO37" s="267">
        <f>'КУ для 240 кГц '!W41</f>
        <v>19</v>
      </c>
      <c r="BP37" s="262" t="str">
        <f t="shared" si="13"/>
        <v>13</v>
      </c>
      <c r="BR37" s="261">
        <f t="shared" si="14"/>
        <v>56169</v>
      </c>
      <c r="BS37">
        <f t="shared" si="16"/>
        <v>473</v>
      </c>
    </row>
    <row r="38" spans="2:71">
      <c r="B38" s="266">
        <f t="shared" si="9"/>
        <v>35</v>
      </c>
      <c r="C38" s="266">
        <v>10</v>
      </c>
      <c r="D38" s="261">
        <f t="shared" si="0"/>
        <v>16</v>
      </c>
      <c r="F38" s="266">
        <f t="shared" si="1"/>
        <v>35</v>
      </c>
      <c r="G38" s="267">
        <v>11</v>
      </c>
      <c r="H38" s="262">
        <f t="shared" si="2"/>
        <v>17</v>
      </c>
      <c r="J38" s="261">
        <f t="shared" si="3"/>
        <v>57360</v>
      </c>
      <c r="L38">
        <f>AF108*AF109</f>
        <v>257.39999999999998</v>
      </c>
      <c r="M38">
        <f t="shared" si="10"/>
        <v>555.98400000000004</v>
      </c>
      <c r="N38">
        <f>'КУ для 240 кГц '!L44</f>
        <v>517.30443274279526</v>
      </c>
      <c r="O38">
        <f t="shared" si="11"/>
        <v>-38.679567257204781</v>
      </c>
      <c r="Q38" s="263">
        <f t="shared" si="4"/>
        <v>35</v>
      </c>
      <c r="R38" s="263">
        <f>'КУ для 240 кГц '!U44</f>
        <v>14</v>
      </c>
      <c r="S38" s="263" t="str">
        <f t="shared" si="5"/>
        <v>E</v>
      </c>
      <c r="T38" s="263"/>
      <c r="U38" s="263">
        <f t="shared" si="6"/>
        <v>35</v>
      </c>
      <c r="V38" s="263">
        <f>'КУ для 240 кГц '!W44</f>
        <v>23</v>
      </c>
      <c r="W38" s="263" t="str">
        <f t="shared" si="7"/>
        <v>17</v>
      </c>
      <c r="Y38">
        <f t="shared" si="8"/>
        <v>56386</v>
      </c>
      <c r="BJ38" s="266">
        <f t="shared" si="15"/>
        <v>33</v>
      </c>
      <c r="BK38" s="266">
        <f>'КУ для 240 кГц '!U42</f>
        <v>18</v>
      </c>
      <c r="BL38" s="261" t="str">
        <f t="shared" si="12"/>
        <v>12</v>
      </c>
      <c r="BN38" s="266"/>
      <c r="BO38" s="267">
        <f>'КУ для 240 кГц '!W42</f>
        <v>19</v>
      </c>
      <c r="BP38" s="262" t="str">
        <f t="shared" si="13"/>
        <v>13</v>
      </c>
      <c r="BR38" s="261">
        <f t="shared" si="14"/>
        <v>56406</v>
      </c>
      <c r="BS38">
        <f t="shared" si="16"/>
        <v>237</v>
      </c>
    </row>
    <row r="39" spans="2:71">
      <c r="B39" s="266">
        <f t="shared" si="9"/>
        <v>36</v>
      </c>
      <c r="C39" s="266">
        <v>10</v>
      </c>
      <c r="D39" s="261">
        <f t="shared" si="0"/>
        <v>16</v>
      </c>
      <c r="F39" s="266">
        <f t="shared" si="1"/>
        <v>36</v>
      </c>
      <c r="G39" s="267" t="s">
        <v>309</v>
      </c>
      <c r="H39" s="262">
        <f t="shared" si="2"/>
        <v>15</v>
      </c>
      <c r="J39" s="261">
        <f t="shared" si="3"/>
        <v>57840</v>
      </c>
      <c r="L39">
        <f>AF108*AF107</f>
        <v>313.5</v>
      </c>
      <c r="M39">
        <f t="shared" si="10"/>
        <v>677.16000000000008</v>
      </c>
      <c r="N39">
        <f>'КУ для 240 кГц '!L45</f>
        <v>552.92419909915941</v>
      </c>
      <c r="O39">
        <f t="shared" si="11"/>
        <v>-124.23580090084067</v>
      </c>
      <c r="Q39" s="263">
        <f t="shared" si="4"/>
        <v>36</v>
      </c>
      <c r="R39" s="263">
        <f>'КУ для 240 кГц '!U45</f>
        <v>15</v>
      </c>
      <c r="S39" s="263" t="str">
        <f t="shared" si="5"/>
        <v>F</v>
      </c>
      <c r="T39" s="263"/>
      <c r="U39" s="263">
        <f t="shared" si="6"/>
        <v>36</v>
      </c>
      <c r="V39" s="263">
        <f>'КУ для 240 кГц '!W45</f>
        <v>20</v>
      </c>
      <c r="W39" s="263" t="str">
        <f t="shared" si="7"/>
        <v>14</v>
      </c>
      <c r="Y39">
        <f t="shared" si="8"/>
        <v>56876</v>
      </c>
      <c r="BJ39" s="266">
        <f t="shared" si="15"/>
        <v>34</v>
      </c>
      <c r="BK39" s="266">
        <f>'КУ для 240 кГц '!U43</f>
        <v>19</v>
      </c>
      <c r="BL39" s="261" t="str">
        <f t="shared" si="12"/>
        <v>13</v>
      </c>
      <c r="BN39" s="266"/>
      <c r="BO39" s="267">
        <f>'КУ для 240 кГц '!W43</f>
        <v>19</v>
      </c>
      <c r="BP39" s="262" t="str">
        <f t="shared" si="13"/>
        <v>13</v>
      </c>
      <c r="BR39" s="261">
        <f t="shared" si="14"/>
        <v>56169</v>
      </c>
      <c r="BS39">
        <f t="shared" si="16"/>
        <v>-237</v>
      </c>
    </row>
    <row r="40" spans="2:71">
      <c r="B40" s="266">
        <f t="shared" si="9"/>
        <v>37</v>
      </c>
      <c r="C40" s="266" t="s">
        <v>309</v>
      </c>
      <c r="D40" s="261">
        <f t="shared" si="0"/>
        <v>15</v>
      </c>
      <c r="F40" s="266">
        <f t="shared" si="1"/>
        <v>37</v>
      </c>
      <c r="G40" s="267" t="s">
        <v>309</v>
      </c>
      <c r="H40" s="262">
        <f t="shared" si="2"/>
        <v>15</v>
      </c>
      <c r="J40" s="261">
        <f t="shared" si="3"/>
        <v>58081</v>
      </c>
      <c r="L40">
        <f>AF107*AF107</f>
        <v>361</v>
      </c>
      <c r="M40">
        <f t="shared" si="10"/>
        <v>779.7600000000001</v>
      </c>
      <c r="N40">
        <f>'КУ для 240 кГц '!L46</f>
        <v>590.60133137787977</v>
      </c>
      <c r="O40">
        <f t="shared" si="11"/>
        <v>-189.15866862212033</v>
      </c>
      <c r="Q40" s="263">
        <f t="shared" si="4"/>
        <v>37</v>
      </c>
      <c r="R40" s="263">
        <f>'КУ для 240 кГц '!U46</f>
        <v>16</v>
      </c>
      <c r="S40" s="263" t="str">
        <f t="shared" si="5"/>
        <v>10</v>
      </c>
      <c r="T40" s="263"/>
      <c r="U40" s="263">
        <f t="shared" si="6"/>
        <v>37</v>
      </c>
      <c r="V40" s="263">
        <f>'КУ для 240 кГц '!W46</f>
        <v>16</v>
      </c>
      <c r="W40" s="263" t="str">
        <f t="shared" si="7"/>
        <v>10</v>
      </c>
      <c r="Y40">
        <f t="shared" si="8"/>
        <v>57600</v>
      </c>
      <c r="BJ40" s="266">
        <f t="shared" si="15"/>
        <v>35</v>
      </c>
      <c r="BK40" s="266">
        <f>'КУ для 240 кГц '!U44</f>
        <v>14</v>
      </c>
      <c r="BL40" s="261" t="str">
        <f t="shared" si="12"/>
        <v>E</v>
      </c>
      <c r="BN40" s="266"/>
      <c r="BO40" s="267">
        <f>'КУ для 240 кГц '!W44</f>
        <v>23</v>
      </c>
      <c r="BP40" s="262" t="str">
        <f t="shared" si="13"/>
        <v>17</v>
      </c>
      <c r="BR40" s="261">
        <f t="shared" si="14"/>
        <v>56386</v>
      </c>
      <c r="BS40">
        <f t="shared" si="16"/>
        <v>217</v>
      </c>
    </row>
    <row r="41" spans="2:71">
      <c r="B41" s="266">
        <f t="shared" si="9"/>
        <v>38</v>
      </c>
      <c r="C41" s="266" t="s">
        <v>309</v>
      </c>
      <c r="D41" s="261">
        <f t="shared" si="0"/>
        <v>15</v>
      </c>
      <c r="F41" s="266">
        <f t="shared" si="1"/>
        <v>38</v>
      </c>
      <c r="G41" s="267" t="s">
        <v>309</v>
      </c>
      <c r="H41" s="262">
        <f t="shared" si="2"/>
        <v>15</v>
      </c>
      <c r="J41" s="261">
        <f t="shared" si="3"/>
        <v>58081</v>
      </c>
      <c r="L41">
        <f>AF107*AF107</f>
        <v>361</v>
      </c>
      <c r="M41">
        <f t="shared" si="10"/>
        <v>779.7600000000001</v>
      </c>
      <c r="N41">
        <f>'КУ для 240 кГц '!L47</f>
        <v>630.44491020767816</v>
      </c>
      <c r="O41">
        <f t="shared" si="11"/>
        <v>-149.31508979232194</v>
      </c>
      <c r="Q41" s="263">
        <f t="shared" si="4"/>
        <v>38</v>
      </c>
      <c r="R41" s="263">
        <f>'КУ для 240 кГц '!U47</f>
        <v>10</v>
      </c>
      <c r="S41" s="263" t="str">
        <f t="shared" si="5"/>
        <v>A</v>
      </c>
      <c r="T41" s="263"/>
      <c r="U41" s="263">
        <f t="shared" si="6"/>
        <v>38</v>
      </c>
      <c r="V41" s="263">
        <f>'КУ для 240 кГц '!W47</f>
        <v>24</v>
      </c>
      <c r="W41" s="263" t="str">
        <f t="shared" si="7"/>
        <v>18</v>
      </c>
      <c r="Y41">
        <f t="shared" si="8"/>
        <v>57072</v>
      </c>
      <c r="BJ41" s="266">
        <f t="shared" si="15"/>
        <v>36</v>
      </c>
      <c r="BK41" s="266">
        <f>'КУ для 240 кГц '!U45</f>
        <v>15</v>
      </c>
      <c r="BL41" s="261" t="str">
        <f t="shared" si="12"/>
        <v>F</v>
      </c>
      <c r="BN41" s="266"/>
      <c r="BO41" s="267">
        <f>'КУ для 240 кГц '!W45</f>
        <v>20</v>
      </c>
      <c r="BP41" s="262" t="str">
        <f t="shared" si="13"/>
        <v>14</v>
      </c>
      <c r="BR41" s="261">
        <f t="shared" si="14"/>
        <v>56876</v>
      </c>
      <c r="BS41">
        <f t="shared" si="16"/>
        <v>490</v>
      </c>
    </row>
    <row r="42" spans="2:71">
      <c r="B42" s="266">
        <f t="shared" si="9"/>
        <v>39</v>
      </c>
      <c r="C42" s="266" t="s">
        <v>309</v>
      </c>
      <c r="D42" s="261">
        <f t="shared" si="0"/>
        <v>15</v>
      </c>
      <c r="F42" s="266">
        <f t="shared" si="1"/>
        <v>39</v>
      </c>
      <c r="G42" s="267" t="s">
        <v>310</v>
      </c>
      <c r="H42" s="262">
        <f t="shared" si="2"/>
        <v>14</v>
      </c>
      <c r="J42" s="261">
        <f t="shared" si="3"/>
        <v>58322</v>
      </c>
      <c r="L42">
        <f>AF107*AF106</f>
        <v>380</v>
      </c>
      <c r="M42">
        <f t="shared" si="10"/>
        <v>820.80000000000007</v>
      </c>
      <c r="N42">
        <f>'КУ для 240 кГц '!L48</f>
        <v>672.5695128692256</v>
      </c>
      <c r="O42">
        <f t="shared" si="11"/>
        <v>-148.23048713077446</v>
      </c>
      <c r="Q42" s="263">
        <f t="shared" si="4"/>
        <v>39</v>
      </c>
      <c r="R42" s="263">
        <f>'КУ для 240 кГц '!U48</f>
        <v>10</v>
      </c>
      <c r="S42" s="263" t="str">
        <f t="shared" si="5"/>
        <v>A</v>
      </c>
      <c r="T42" s="263"/>
      <c r="U42" s="263">
        <f t="shared" si="6"/>
        <v>39</v>
      </c>
      <c r="V42" s="263">
        <f>'КУ для 240 кГц '!W48</f>
        <v>23</v>
      </c>
      <c r="W42" s="263" t="str">
        <f t="shared" si="7"/>
        <v>17</v>
      </c>
      <c r="Y42">
        <f t="shared" si="8"/>
        <v>57318</v>
      </c>
      <c r="BJ42" s="266">
        <f t="shared" si="15"/>
        <v>37</v>
      </c>
      <c r="BK42" s="266">
        <f>'КУ для 240 кГц '!U46</f>
        <v>16</v>
      </c>
      <c r="BL42" s="261" t="str">
        <f t="shared" si="12"/>
        <v>10</v>
      </c>
      <c r="BN42" s="266"/>
      <c r="BO42" s="267">
        <f>'КУ для 240 кГц '!W46</f>
        <v>16</v>
      </c>
      <c r="BP42" s="262" t="str">
        <f t="shared" si="13"/>
        <v>10</v>
      </c>
      <c r="BR42" s="261">
        <f t="shared" si="14"/>
        <v>57600</v>
      </c>
      <c r="BS42">
        <f t="shared" si="16"/>
        <v>724</v>
      </c>
    </row>
    <row r="43" spans="2:71">
      <c r="B43" s="266">
        <f t="shared" si="9"/>
        <v>40</v>
      </c>
      <c r="C43" s="266" t="s">
        <v>310</v>
      </c>
      <c r="D43" s="261">
        <f t="shared" si="0"/>
        <v>14</v>
      </c>
      <c r="F43" s="266">
        <f t="shared" si="1"/>
        <v>40</v>
      </c>
      <c r="G43" s="267" t="s">
        <v>309</v>
      </c>
      <c r="H43" s="262">
        <f t="shared" si="2"/>
        <v>15</v>
      </c>
      <c r="J43" s="261">
        <f t="shared" si="3"/>
        <v>58322</v>
      </c>
      <c r="L43">
        <f>AF106*AF107</f>
        <v>380</v>
      </c>
      <c r="M43">
        <f t="shared" si="10"/>
        <v>820.80000000000007</v>
      </c>
      <c r="N43">
        <f>'КУ для 240 кГц '!L49</f>
        <v>717.09548108879085</v>
      </c>
      <c r="O43">
        <f t="shared" si="11"/>
        <v>-103.70451891120922</v>
      </c>
      <c r="Q43" s="263">
        <f t="shared" si="4"/>
        <v>40</v>
      </c>
      <c r="R43" s="263">
        <f>'КУ для 240 кГц '!U49</f>
        <v>8</v>
      </c>
      <c r="S43" s="263" t="str">
        <f t="shared" si="5"/>
        <v>8</v>
      </c>
      <c r="T43" s="263"/>
      <c r="U43" s="263">
        <f t="shared" si="6"/>
        <v>40</v>
      </c>
      <c r="V43" s="263">
        <f>'КУ для 240 кГц '!W49</f>
        <v>26</v>
      </c>
      <c r="W43" s="263" t="str">
        <f t="shared" si="7"/>
        <v>1A</v>
      </c>
      <c r="Y43">
        <f t="shared" si="8"/>
        <v>57040</v>
      </c>
      <c r="BJ43" s="266">
        <f t="shared" si="15"/>
        <v>38</v>
      </c>
      <c r="BK43" s="266">
        <f>'КУ для 240 кГц '!U47</f>
        <v>10</v>
      </c>
      <c r="BL43" s="261" t="str">
        <f t="shared" si="12"/>
        <v>A</v>
      </c>
      <c r="BN43" s="266"/>
      <c r="BO43" s="267">
        <f>'КУ для 240 кГц '!W47</f>
        <v>24</v>
      </c>
      <c r="BP43" s="262" t="str">
        <f t="shared" si="13"/>
        <v>18</v>
      </c>
      <c r="BR43" s="261">
        <f t="shared" si="14"/>
        <v>57072</v>
      </c>
      <c r="BS43">
        <f t="shared" si="16"/>
        <v>-528</v>
      </c>
    </row>
    <row r="44" spans="2:71">
      <c r="B44" s="266">
        <f t="shared" si="9"/>
        <v>41</v>
      </c>
      <c r="C44" s="266" t="s">
        <v>310</v>
      </c>
      <c r="D44" s="261">
        <f t="shared" si="0"/>
        <v>14</v>
      </c>
      <c r="F44" s="266">
        <f t="shared" si="1"/>
        <v>41</v>
      </c>
      <c r="G44" s="267" t="s">
        <v>310</v>
      </c>
      <c r="H44" s="262">
        <f t="shared" si="2"/>
        <v>14</v>
      </c>
      <c r="J44" s="261">
        <f t="shared" si="3"/>
        <v>58564</v>
      </c>
      <c r="L44">
        <f>AF106*AF106</f>
        <v>400</v>
      </c>
      <c r="M44">
        <f t="shared" si="10"/>
        <v>864</v>
      </c>
      <c r="N44">
        <f>'КУ для 240 кГц '!L50</f>
        <v>764.14920156896437</v>
      </c>
      <c r="O44">
        <f t="shared" si="11"/>
        <v>-99.850798431035628</v>
      </c>
      <c r="Q44" s="263">
        <f t="shared" si="4"/>
        <v>41</v>
      </c>
      <c r="R44" s="263">
        <f>'КУ для 240 кГц '!U50</f>
        <v>8</v>
      </c>
      <c r="S44" s="263" t="str">
        <f t="shared" si="5"/>
        <v>8</v>
      </c>
      <c r="T44" s="263"/>
      <c r="U44" s="263">
        <f t="shared" si="6"/>
        <v>41</v>
      </c>
      <c r="V44" s="263">
        <f>'КУ для 240 кГц '!W50</f>
        <v>25</v>
      </c>
      <c r="W44" s="263" t="str">
        <f t="shared" si="7"/>
        <v>19</v>
      </c>
      <c r="Y44">
        <f t="shared" si="8"/>
        <v>57288</v>
      </c>
      <c r="BJ44" s="266">
        <f t="shared" si="15"/>
        <v>39</v>
      </c>
      <c r="BK44" s="266">
        <f>'КУ для 240 кГц '!U48</f>
        <v>10</v>
      </c>
      <c r="BL44" s="261" t="str">
        <f t="shared" si="12"/>
        <v>A</v>
      </c>
      <c r="BN44" s="266"/>
      <c r="BO44" s="267">
        <f>'КУ для 240 кГц '!W48</f>
        <v>23</v>
      </c>
      <c r="BP44" s="262" t="str">
        <f t="shared" si="13"/>
        <v>17</v>
      </c>
      <c r="BR44" s="261">
        <f t="shared" si="14"/>
        <v>57318</v>
      </c>
      <c r="BS44">
        <f t="shared" si="16"/>
        <v>246</v>
      </c>
    </row>
    <row r="45" spans="2:71">
      <c r="B45" s="266">
        <f t="shared" si="9"/>
        <v>42</v>
      </c>
      <c r="C45" s="266" t="s">
        <v>310</v>
      </c>
      <c r="D45" s="261">
        <f t="shared" si="0"/>
        <v>14</v>
      </c>
      <c r="F45" s="266">
        <f t="shared" si="1"/>
        <v>42</v>
      </c>
      <c r="G45" s="267" t="s">
        <v>311</v>
      </c>
      <c r="H45" s="262">
        <f t="shared" si="2"/>
        <v>13</v>
      </c>
      <c r="J45" s="261">
        <f t="shared" si="3"/>
        <v>58806</v>
      </c>
      <c r="L45">
        <f>AF106*AF105</f>
        <v>440</v>
      </c>
      <c r="M45">
        <f t="shared" si="10"/>
        <v>950.40000000000009</v>
      </c>
      <c r="N45">
        <f>'КУ для 240 кГц '!L51</f>
        <v>813.86339985149789</v>
      </c>
      <c r="O45">
        <f t="shared" si="11"/>
        <v>-136.5366001485022</v>
      </c>
      <c r="Q45" s="263">
        <f t="shared" si="4"/>
        <v>42</v>
      </c>
      <c r="R45" s="263">
        <f>'КУ для 240 кГц '!U51</f>
        <v>11</v>
      </c>
      <c r="S45" s="263" t="str">
        <f t="shared" si="5"/>
        <v>B</v>
      </c>
      <c r="T45" s="263"/>
      <c r="U45" s="263">
        <f t="shared" si="6"/>
        <v>42</v>
      </c>
      <c r="V45" s="263">
        <f>'КУ для 240 кГц '!W51</f>
        <v>18</v>
      </c>
      <c r="W45" s="263" t="str">
        <f t="shared" si="7"/>
        <v>12</v>
      </c>
      <c r="Y45">
        <f t="shared" si="8"/>
        <v>58310</v>
      </c>
      <c r="BJ45" s="266">
        <f t="shared" si="15"/>
        <v>40</v>
      </c>
      <c r="BK45" s="266">
        <f>'КУ для 240 кГц '!U49</f>
        <v>8</v>
      </c>
      <c r="BL45" s="261" t="str">
        <f t="shared" si="12"/>
        <v>8</v>
      </c>
      <c r="BN45" s="266"/>
      <c r="BO45" s="267">
        <f>'КУ для 240 кГц '!W49</f>
        <v>26</v>
      </c>
      <c r="BP45" s="262" t="str">
        <f t="shared" si="13"/>
        <v>1A</v>
      </c>
      <c r="BR45" s="261">
        <f t="shared" si="14"/>
        <v>57040</v>
      </c>
      <c r="BS45">
        <f t="shared" si="16"/>
        <v>-278</v>
      </c>
    </row>
    <row r="46" spans="2:71">
      <c r="B46" s="266">
        <f t="shared" si="9"/>
        <v>43</v>
      </c>
      <c r="C46" s="266" t="s">
        <v>311</v>
      </c>
      <c r="D46" s="261">
        <f t="shared" si="0"/>
        <v>13</v>
      </c>
      <c r="F46" s="266">
        <f t="shared" si="1"/>
        <v>43</v>
      </c>
      <c r="G46" s="267" t="s">
        <v>311</v>
      </c>
      <c r="H46" s="262">
        <f t="shared" si="2"/>
        <v>13</v>
      </c>
      <c r="J46" s="261">
        <f t="shared" si="3"/>
        <v>59049</v>
      </c>
      <c r="L46">
        <f>AF105*AF105</f>
        <v>484</v>
      </c>
      <c r="M46">
        <f t="shared" si="10"/>
        <v>1045.44</v>
      </c>
      <c r="N46">
        <f>'КУ для 240 кГц '!L52</f>
        <v>866.37744813466622</v>
      </c>
      <c r="O46">
        <f t="shared" si="11"/>
        <v>-179.06255186533383</v>
      </c>
      <c r="Q46" s="263">
        <f t="shared" si="4"/>
        <v>43</v>
      </c>
      <c r="R46" s="263">
        <f>'КУ для 240 кГц '!U52</f>
        <v>14</v>
      </c>
      <c r="S46" s="263" t="str">
        <f t="shared" si="5"/>
        <v>E</v>
      </c>
      <c r="T46" s="263"/>
      <c r="U46" s="263">
        <f t="shared" si="6"/>
        <v>43</v>
      </c>
      <c r="V46" s="263">
        <f>'КУ для 240 кГц '!W52</f>
        <v>14</v>
      </c>
      <c r="W46" s="263" t="str">
        <f t="shared" si="7"/>
        <v>E</v>
      </c>
      <c r="Y46">
        <f t="shared" si="8"/>
        <v>58564</v>
      </c>
      <c r="BJ46" s="266">
        <f t="shared" si="15"/>
        <v>41</v>
      </c>
      <c r="BK46" s="266">
        <f>'КУ для 240 кГц '!U50</f>
        <v>8</v>
      </c>
      <c r="BL46" s="261" t="str">
        <f t="shared" si="12"/>
        <v>8</v>
      </c>
      <c r="BN46" s="266"/>
      <c r="BO46" s="267">
        <f>'КУ для 240 кГц '!W50</f>
        <v>25</v>
      </c>
      <c r="BP46" s="262" t="str">
        <f t="shared" si="13"/>
        <v>19</v>
      </c>
      <c r="BR46" s="261">
        <f t="shared" si="14"/>
        <v>57288</v>
      </c>
      <c r="BS46">
        <f t="shared" si="16"/>
        <v>248</v>
      </c>
    </row>
    <row r="47" spans="2:71">
      <c r="B47" s="266">
        <f t="shared" si="9"/>
        <v>44</v>
      </c>
      <c r="C47" s="266" t="s">
        <v>311</v>
      </c>
      <c r="D47" s="261">
        <f t="shared" si="0"/>
        <v>13</v>
      </c>
      <c r="F47" s="266">
        <f t="shared" si="1"/>
        <v>44</v>
      </c>
      <c r="G47" s="267" t="s">
        <v>311</v>
      </c>
      <c r="H47" s="262">
        <f t="shared" si="2"/>
        <v>13</v>
      </c>
      <c r="J47" s="261">
        <f t="shared" si="3"/>
        <v>59049</v>
      </c>
      <c r="L47">
        <f>AF105*AF105</f>
        <v>484</v>
      </c>
      <c r="M47">
        <f t="shared" si="10"/>
        <v>1045.44</v>
      </c>
      <c r="N47">
        <f>'КУ для 240 кГц '!L53</f>
        <v>921.83768769627</v>
      </c>
      <c r="O47">
        <f t="shared" si="11"/>
        <v>-123.60231230373006</v>
      </c>
      <c r="Q47" s="263">
        <f t="shared" si="4"/>
        <v>44</v>
      </c>
      <c r="R47" s="263">
        <f>'КУ для 240 кГц '!U53</f>
        <v>10</v>
      </c>
      <c r="S47" s="263" t="str">
        <f t="shared" si="5"/>
        <v>A</v>
      </c>
      <c r="T47" s="263"/>
      <c r="U47" s="263">
        <f t="shared" si="6"/>
        <v>44</v>
      </c>
      <c r="V47" s="263">
        <f>'КУ для 240 кГц '!W53</f>
        <v>16</v>
      </c>
      <c r="W47" s="263" t="str">
        <f t="shared" si="7"/>
        <v>10</v>
      </c>
      <c r="Y47">
        <f t="shared" si="8"/>
        <v>59040</v>
      </c>
      <c r="BJ47" s="266">
        <f t="shared" si="15"/>
        <v>42</v>
      </c>
      <c r="BK47" s="266">
        <f>'КУ для 240 кГц '!U51</f>
        <v>11</v>
      </c>
      <c r="BL47" s="261" t="str">
        <f t="shared" si="12"/>
        <v>B</v>
      </c>
      <c r="BN47" s="266"/>
      <c r="BO47" s="267">
        <f>'КУ для 240 кГц '!W51</f>
        <v>18</v>
      </c>
      <c r="BP47" s="262" t="str">
        <f t="shared" si="13"/>
        <v>12</v>
      </c>
      <c r="BR47" s="261">
        <f t="shared" si="14"/>
        <v>58310</v>
      </c>
      <c r="BS47">
        <f t="shared" si="16"/>
        <v>1022</v>
      </c>
    </row>
    <row r="48" spans="2:71">
      <c r="B48" s="266">
        <f t="shared" si="9"/>
        <v>45</v>
      </c>
      <c r="C48" s="266" t="s">
        <v>312</v>
      </c>
      <c r="D48" s="261">
        <f t="shared" si="0"/>
        <v>12</v>
      </c>
      <c r="F48" s="266">
        <f t="shared" si="1"/>
        <v>45</v>
      </c>
      <c r="G48" s="267" t="s">
        <v>311</v>
      </c>
      <c r="H48" s="262">
        <f t="shared" si="2"/>
        <v>13</v>
      </c>
      <c r="J48" s="261">
        <f t="shared" si="3"/>
        <v>59292</v>
      </c>
      <c r="L48">
        <f>AF104*AF105</f>
        <v>528</v>
      </c>
      <c r="M48">
        <f t="shared" si="10"/>
        <v>1140.48</v>
      </c>
      <c r="N48">
        <f>'КУ для 240 кГц '!L54</f>
        <v>980.39776660329335</v>
      </c>
      <c r="O48">
        <f t="shared" si="11"/>
        <v>-160.08223339670667</v>
      </c>
      <c r="Q48" s="263">
        <f t="shared" si="4"/>
        <v>45</v>
      </c>
      <c r="R48" s="263">
        <f>'КУ для 240 кГц '!U54</f>
        <v>12</v>
      </c>
      <c r="S48" s="263" t="str">
        <f t="shared" si="5"/>
        <v>C</v>
      </c>
      <c r="T48" s="263"/>
      <c r="U48" s="263">
        <f t="shared" si="6"/>
        <v>45</v>
      </c>
      <c r="V48" s="263">
        <f>'КУ для 240 кГц '!W54</f>
        <v>15</v>
      </c>
      <c r="W48" s="263" t="str">
        <f t="shared" si="7"/>
        <v>F</v>
      </c>
      <c r="Y48">
        <f t="shared" si="8"/>
        <v>58804</v>
      </c>
      <c r="BJ48" s="266">
        <f t="shared" si="15"/>
        <v>43</v>
      </c>
      <c r="BK48" s="266">
        <f>'КУ для 240 кГц '!U52</f>
        <v>14</v>
      </c>
      <c r="BL48" s="261" t="str">
        <f t="shared" si="12"/>
        <v>E</v>
      </c>
      <c r="BN48" s="266"/>
      <c r="BO48" s="267">
        <f>'КУ для 240 кГц '!W52</f>
        <v>14</v>
      </c>
      <c r="BP48" s="262" t="str">
        <f t="shared" si="13"/>
        <v>E</v>
      </c>
      <c r="BR48" s="261">
        <f t="shared" si="14"/>
        <v>58564</v>
      </c>
      <c r="BS48">
        <f t="shared" si="16"/>
        <v>254</v>
      </c>
    </row>
    <row r="49" spans="2:71">
      <c r="B49" s="266">
        <f t="shared" si="9"/>
        <v>46</v>
      </c>
      <c r="C49" s="266" t="s">
        <v>312</v>
      </c>
      <c r="D49" s="261">
        <f t="shared" si="0"/>
        <v>12</v>
      </c>
      <c r="F49" s="266">
        <f t="shared" si="1"/>
        <v>46</v>
      </c>
      <c r="G49" s="267" t="s">
        <v>312</v>
      </c>
      <c r="H49" s="262">
        <f t="shared" si="2"/>
        <v>12</v>
      </c>
      <c r="J49" s="261">
        <f t="shared" si="3"/>
        <v>59536</v>
      </c>
      <c r="L49">
        <f>AF104*AF104</f>
        <v>576</v>
      </c>
      <c r="M49">
        <f t="shared" si="10"/>
        <v>1244.1600000000001</v>
      </c>
      <c r="N49">
        <f>'КУ для 240 кГц '!L55</f>
        <v>1042.2189934206547</v>
      </c>
      <c r="O49">
        <f t="shared" si="11"/>
        <v>-201.94100657934541</v>
      </c>
      <c r="Q49" s="263">
        <f t="shared" si="4"/>
        <v>46</v>
      </c>
      <c r="R49" s="263">
        <f>'КУ для 240 кГц '!U55</f>
        <v>12</v>
      </c>
      <c r="S49" s="263" t="str">
        <f t="shared" si="5"/>
        <v>C</v>
      </c>
      <c r="T49" s="263"/>
      <c r="U49" s="263">
        <f t="shared" si="6"/>
        <v>46</v>
      </c>
      <c r="V49" s="263">
        <f>'КУ для 240 кГц '!W55</f>
        <v>14</v>
      </c>
      <c r="W49" s="263" t="str">
        <f t="shared" si="7"/>
        <v>E</v>
      </c>
      <c r="Y49">
        <f t="shared" si="8"/>
        <v>59048</v>
      </c>
      <c r="BJ49" s="266">
        <f t="shared" si="15"/>
        <v>44</v>
      </c>
      <c r="BK49" s="266">
        <f>'КУ для 240 кГц '!U53</f>
        <v>10</v>
      </c>
      <c r="BL49" s="261" t="str">
        <f t="shared" si="12"/>
        <v>A</v>
      </c>
      <c r="BN49" s="266"/>
      <c r="BO49" s="267">
        <f>'КУ для 240 кГц '!W53</f>
        <v>16</v>
      </c>
      <c r="BP49" s="262" t="str">
        <f t="shared" si="13"/>
        <v>10</v>
      </c>
      <c r="BR49" s="261">
        <f t="shared" si="14"/>
        <v>59040</v>
      </c>
      <c r="BS49">
        <f t="shared" si="16"/>
        <v>476</v>
      </c>
    </row>
    <row r="50" spans="2:71">
      <c r="B50" s="266">
        <f t="shared" si="9"/>
        <v>47</v>
      </c>
      <c r="C50" s="266" t="s">
        <v>312</v>
      </c>
      <c r="D50" s="261">
        <f t="shared" si="0"/>
        <v>12</v>
      </c>
      <c r="F50" s="266">
        <f t="shared" si="1"/>
        <v>47</v>
      </c>
      <c r="G50" s="267" t="s">
        <v>312</v>
      </c>
      <c r="H50" s="262">
        <f t="shared" si="2"/>
        <v>12</v>
      </c>
      <c r="J50" s="261">
        <f t="shared" si="3"/>
        <v>59536</v>
      </c>
      <c r="L50">
        <f>AF104*AF104</f>
        <v>576</v>
      </c>
      <c r="M50">
        <f t="shared" si="10"/>
        <v>1244.1600000000001</v>
      </c>
      <c r="N50">
        <f>'КУ для 240 кГц '!L56</f>
        <v>1107.4707076641273</v>
      </c>
      <c r="O50">
        <f t="shared" si="11"/>
        <v>-136.68929233587278</v>
      </c>
      <c r="Q50" s="263">
        <f t="shared" si="4"/>
        <v>47</v>
      </c>
      <c r="R50" s="263">
        <f>'КУ для 240 кГц '!U56</f>
        <v>10</v>
      </c>
      <c r="S50" s="263" t="str">
        <f t="shared" si="5"/>
        <v>A</v>
      </c>
      <c r="T50" s="263"/>
      <c r="U50" s="263">
        <f t="shared" si="6"/>
        <v>47</v>
      </c>
      <c r="V50" s="263">
        <f>'КУ для 240 кГц '!W56</f>
        <v>14</v>
      </c>
      <c r="W50" s="263" t="str">
        <f t="shared" si="7"/>
        <v>E</v>
      </c>
      <c r="Y50">
        <f t="shared" si="8"/>
        <v>59532</v>
      </c>
      <c r="BJ50" s="266">
        <f t="shared" si="15"/>
        <v>45</v>
      </c>
      <c r="BK50" s="266">
        <f>'КУ для 240 кГц '!U54</f>
        <v>12</v>
      </c>
      <c r="BL50" s="261" t="str">
        <f t="shared" si="12"/>
        <v>C</v>
      </c>
      <c r="BN50" s="266"/>
      <c r="BO50" s="267">
        <f>'КУ для 240 кГц '!W54</f>
        <v>15</v>
      </c>
      <c r="BP50" s="262" t="str">
        <f t="shared" si="13"/>
        <v>F</v>
      </c>
      <c r="BR50" s="261">
        <f t="shared" si="14"/>
        <v>58804</v>
      </c>
      <c r="BS50">
        <f t="shared" si="16"/>
        <v>-236</v>
      </c>
    </row>
    <row r="51" spans="2:71">
      <c r="B51" s="266">
        <f t="shared" si="9"/>
        <v>48</v>
      </c>
      <c r="C51" s="266" t="s">
        <v>313</v>
      </c>
      <c r="D51" s="261">
        <f t="shared" si="0"/>
        <v>11</v>
      </c>
      <c r="F51" s="266">
        <f t="shared" si="1"/>
        <v>48</v>
      </c>
      <c r="G51" s="267" t="s">
        <v>312</v>
      </c>
      <c r="H51" s="262">
        <f t="shared" si="2"/>
        <v>12</v>
      </c>
      <c r="J51" s="261">
        <f t="shared" si="3"/>
        <v>59780</v>
      </c>
      <c r="L51">
        <f>AF103*AF104</f>
        <v>600</v>
      </c>
      <c r="M51">
        <f t="shared" si="10"/>
        <v>1296</v>
      </c>
      <c r="N51">
        <f>'КУ для 240 кГц '!L57</f>
        <v>1176.3306677768617</v>
      </c>
      <c r="O51">
        <f t="shared" si="11"/>
        <v>-119.66933222313833</v>
      </c>
      <c r="Q51" s="263">
        <f t="shared" si="4"/>
        <v>48</v>
      </c>
      <c r="R51" s="263">
        <f>'КУ для 240 кГц '!U57</f>
        <v>9</v>
      </c>
      <c r="S51" s="263" t="str">
        <f t="shared" si="5"/>
        <v>9</v>
      </c>
      <c r="T51" s="263"/>
      <c r="U51" s="263">
        <f t="shared" si="6"/>
        <v>48</v>
      </c>
      <c r="V51" s="263">
        <f>'КУ для 240 кГц '!W57</f>
        <v>14</v>
      </c>
      <c r="W51" s="263" t="str">
        <f t="shared" si="7"/>
        <v>E</v>
      </c>
      <c r="Y51">
        <f t="shared" si="8"/>
        <v>59774</v>
      </c>
      <c r="BJ51" s="266">
        <f t="shared" si="15"/>
        <v>46</v>
      </c>
      <c r="BK51" s="266">
        <f>'КУ для 240 кГц '!U55</f>
        <v>12</v>
      </c>
      <c r="BL51" s="261" t="str">
        <f t="shared" si="12"/>
        <v>C</v>
      </c>
      <c r="BN51" s="266"/>
      <c r="BO51" s="267">
        <f>'КУ для 240 кГц '!W55</f>
        <v>14</v>
      </c>
      <c r="BP51" s="262" t="str">
        <f t="shared" si="13"/>
        <v>E</v>
      </c>
      <c r="BR51" s="261">
        <f t="shared" si="14"/>
        <v>59048</v>
      </c>
      <c r="BS51">
        <f t="shared" si="16"/>
        <v>244</v>
      </c>
    </row>
    <row r="52" spans="2:71">
      <c r="B52" s="266">
        <f t="shared" si="9"/>
        <v>49</v>
      </c>
      <c r="C52" s="266" t="s">
        <v>313</v>
      </c>
      <c r="D52" s="261">
        <f t="shared" si="0"/>
        <v>11</v>
      </c>
      <c r="F52" s="266">
        <f t="shared" si="1"/>
        <v>49</v>
      </c>
      <c r="G52" s="267" t="s">
        <v>313</v>
      </c>
      <c r="H52" s="262">
        <f t="shared" si="2"/>
        <v>11</v>
      </c>
      <c r="J52" s="261">
        <f t="shared" si="3"/>
        <v>60025</v>
      </c>
      <c r="L52">
        <f>AF103*AF103</f>
        <v>625</v>
      </c>
      <c r="M52">
        <f t="shared" si="10"/>
        <v>1350</v>
      </c>
      <c r="N52">
        <f>'КУ для 240 кГц '!L58</f>
        <v>1248.9854574446588</v>
      </c>
      <c r="O52">
        <f t="shared" si="11"/>
        <v>-101.01454255534122</v>
      </c>
      <c r="Q52" s="263">
        <f t="shared" si="4"/>
        <v>49</v>
      </c>
      <c r="R52" s="263">
        <f>'КУ для 240 кГц '!U58</f>
        <v>12</v>
      </c>
      <c r="S52" s="263" t="str">
        <f t="shared" si="5"/>
        <v>C</v>
      </c>
      <c r="T52" s="263"/>
      <c r="U52" s="263">
        <f t="shared" si="6"/>
        <v>49</v>
      </c>
      <c r="V52" s="263">
        <f>'КУ для 240 кГц '!W58</f>
        <v>12</v>
      </c>
      <c r="W52" s="263" t="str">
        <f t="shared" si="7"/>
        <v>C</v>
      </c>
      <c r="Y52">
        <f t="shared" si="8"/>
        <v>59536</v>
      </c>
      <c r="BJ52" s="266">
        <f t="shared" si="15"/>
        <v>47</v>
      </c>
      <c r="BK52" s="266">
        <f>'КУ для 240 кГц '!U56</f>
        <v>10</v>
      </c>
      <c r="BL52" s="261" t="str">
        <f t="shared" si="12"/>
        <v>A</v>
      </c>
      <c r="BN52" s="266"/>
      <c r="BO52" s="267">
        <f>'КУ для 240 кГц '!W56</f>
        <v>14</v>
      </c>
      <c r="BP52" s="262" t="str">
        <f t="shared" si="13"/>
        <v>E</v>
      </c>
      <c r="BR52" s="261">
        <f t="shared" si="14"/>
        <v>59532</v>
      </c>
      <c r="BS52">
        <f t="shared" si="16"/>
        <v>484</v>
      </c>
    </row>
    <row r="53" spans="2:71">
      <c r="B53" s="266">
        <f t="shared" si="9"/>
        <v>50</v>
      </c>
      <c r="C53" s="266" t="s">
        <v>164</v>
      </c>
      <c r="D53" s="261">
        <f t="shared" si="0"/>
        <v>10</v>
      </c>
      <c r="F53" s="266">
        <f t="shared" si="1"/>
        <v>50</v>
      </c>
      <c r="G53" s="267" t="s">
        <v>313</v>
      </c>
      <c r="H53" s="262">
        <f t="shared" si="2"/>
        <v>11</v>
      </c>
      <c r="J53" s="261">
        <f t="shared" si="3"/>
        <v>60270</v>
      </c>
      <c r="L53">
        <f>AF102*AF103</f>
        <v>650</v>
      </c>
      <c r="M53">
        <f t="shared" si="10"/>
        <v>1404</v>
      </c>
      <c r="N53">
        <f>'КУ для 240 кГц '!L59</f>
        <v>1325.6309111026385</v>
      </c>
      <c r="O53">
        <f t="shared" si="11"/>
        <v>-78.369088897361507</v>
      </c>
      <c r="Q53" s="263">
        <f t="shared" si="4"/>
        <v>50</v>
      </c>
      <c r="R53" s="263">
        <f>'КУ для 240 кГц '!U59</f>
        <v>10</v>
      </c>
      <c r="S53" s="263" t="str">
        <f t="shared" si="5"/>
        <v>A</v>
      </c>
      <c r="T53" s="263"/>
      <c r="U53" s="263">
        <f t="shared" si="6"/>
        <v>50</v>
      </c>
      <c r="V53" s="263">
        <f>'КУ для 240 кГц '!W59</f>
        <v>12</v>
      </c>
      <c r="W53" s="263" t="str">
        <f t="shared" si="7"/>
        <v>C</v>
      </c>
      <c r="Y53">
        <f t="shared" si="8"/>
        <v>60024</v>
      </c>
      <c r="BJ53" s="266">
        <f t="shared" si="15"/>
        <v>48</v>
      </c>
      <c r="BK53" s="266">
        <f>'КУ для 240 кГц '!U57</f>
        <v>9</v>
      </c>
      <c r="BL53" s="261" t="str">
        <f t="shared" si="12"/>
        <v>9</v>
      </c>
      <c r="BN53" s="266"/>
      <c r="BO53" s="267">
        <f>'КУ для 240 кГц '!W57</f>
        <v>14</v>
      </c>
      <c r="BP53" s="262" t="str">
        <f t="shared" si="13"/>
        <v>E</v>
      </c>
      <c r="BR53" s="261">
        <f t="shared" si="14"/>
        <v>59774</v>
      </c>
      <c r="BS53">
        <f t="shared" si="16"/>
        <v>242</v>
      </c>
    </row>
    <row r="54" spans="2:71">
      <c r="B54" s="266">
        <f t="shared" si="9"/>
        <v>51</v>
      </c>
      <c r="C54" s="266" t="s">
        <v>164</v>
      </c>
      <c r="D54" s="261">
        <f t="shared" si="0"/>
        <v>10</v>
      </c>
      <c r="F54" s="266">
        <f t="shared" si="1"/>
        <v>51</v>
      </c>
      <c r="G54" s="267">
        <v>9</v>
      </c>
      <c r="H54" s="262">
        <f t="shared" si="2"/>
        <v>9</v>
      </c>
      <c r="J54" s="261">
        <f t="shared" si="3"/>
        <v>60762</v>
      </c>
      <c r="L54">
        <f>AF102*AF101</f>
        <v>728</v>
      </c>
      <c r="M54">
        <f t="shared" si="10"/>
        <v>1572.48</v>
      </c>
      <c r="N54">
        <f>'КУ для 240 кГц '!L60</f>
        <v>1406.4725595249934</v>
      </c>
      <c r="O54">
        <f t="shared" si="11"/>
        <v>-166.00744047500666</v>
      </c>
      <c r="Q54" s="263">
        <f t="shared" si="4"/>
        <v>51</v>
      </c>
      <c r="R54" s="263">
        <f>'КУ для 240 кГц '!U60</f>
        <v>11</v>
      </c>
      <c r="S54" s="263" t="str">
        <f t="shared" si="5"/>
        <v>B</v>
      </c>
      <c r="T54" s="263"/>
      <c r="U54" s="263">
        <f t="shared" si="6"/>
        <v>51</v>
      </c>
      <c r="V54" s="263">
        <f>'КУ для 240 кГц '!W60</f>
        <v>10</v>
      </c>
      <c r="W54" s="263" t="str">
        <f t="shared" si="7"/>
        <v>A</v>
      </c>
      <c r="Y54">
        <f t="shared" si="8"/>
        <v>60270</v>
      </c>
      <c r="BJ54" s="266">
        <f t="shared" si="15"/>
        <v>49</v>
      </c>
      <c r="BK54" s="266">
        <f>'КУ для 240 кГц '!U58</f>
        <v>12</v>
      </c>
      <c r="BL54" s="261" t="str">
        <f t="shared" si="12"/>
        <v>C</v>
      </c>
      <c r="BN54" s="266"/>
      <c r="BO54" s="267">
        <f>'КУ для 240 кГц '!W58</f>
        <v>12</v>
      </c>
      <c r="BP54" s="262" t="str">
        <f t="shared" si="13"/>
        <v>C</v>
      </c>
      <c r="BR54" s="261">
        <f t="shared" si="14"/>
        <v>59536</v>
      </c>
      <c r="BS54">
        <f t="shared" si="16"/>
        <v>-238</v>
      </c>
    </row>
    <row r="55" spans="2:71">
      <c r="B55" s="266">
        <f t="shared" si="9"/>
        <v>52</v>
      </c>
      <c r="C55" s="266">
        <v>9</v>
      </c>
      <c r="D55" s="261">
        <f t="shared" si="0"/>
        <v>9</v>
      </c>
      <c r="F55" s="266">
        <f t="shared" si="1"/>
        <v>52</v>
      </c>
      <c r="G55" s="267">
        <v>9</v>
      </c>
      <c r="H55" s="262">
        <f t="shared" si="2"/>
        <v>9</v>
      </c>
      <c r="J55" s="261">
        <f t="shared" si="3"/>
        <v>61009</v>
      </c>
      <c r="L55">
        <f>AF101*AF101</f>
        <v>784</v>
      </c>
      <c r="M55">
        <f t="shared" si="10"/>
        <v>1693.44</v>
      </c>
      <c r="N55">
        <f>'КУ для 240 кГц '!L61</f>
        <v>1491.7260964305472</v>
      </c>
      <c r="O55">
        <f t="shared" si="11"/>
        <v>-201.7139035694529</v>
      </c>
      <c r="Q55" s="263">
        <f t="shared" si="4"/>
        <v>52</v>
      </c>
      <c r="R55" s="263">
        <f>'КУ для 240 кГц '!U61</f>
        <v>9</v>
      </c>
      <c r="S55" s="263" t="str">
        <f t="shared" si="5"/>
        <v>9</v>
      </c>
      <c r="T55" s="263"/>
      <c r="U55" s="263">
        <f t="shared" si="6"/>
        <v>52</v>
      </c>
      <c r="V55" s="263">
        <f>'КУ для 240 кГц '!W61</f>
        <v>11</v>
      </c>
      <c r="W55" s="263" t="str">
        <f t="shared" si="7"/>
        <v>B</v>
      </c>
      <c r="Y55">
        <f t="shared" si="8"/>
        <v>60515</v>
      </c>
      <c r="BJ55" s="266">
        <f t="shared" si="15"/>
        <v>50</v>
      </c>
      <c r="BK55" s="266">
        <f>'КУ для 240 кГц '!U59</f>
        <v>10</v>
      </c>
      <c r="BL55" s="261" t="str">
        <f t="shared" si="12"/>
        <v>A</v>
      </c>
      <c r="BN55" s="266"/>
      <c r="BO55" s="267">
        <f>'КУ для 240 кГц '!W59</f>
        <v>12</v>
      </c>
      <c r="BP55" s="262" t="str">
        <f t="shared" si="13"/>
        <v>C</v>
      </c>
      <c r="BR55" s="261">
        <f t="shared" si="14"/>
        <v>60024</v>
      </c>
      <c r="BS55">
        <f t="shared" si="16"/>
        <v>488</v>
      </c>
    </row>
    <row r="56" spans="2:71">
      <c r="B56" s="266">
        <f t="shared" si="9"/>
        <v>53</v>
      </c>
      <c r="C56" s="266">
        <v>9</v>
      </c>
      <c r="D56" s="261">
        <f t="shared" si="0"/>
        <v>9</v>
      </c>
      <c r="F56" s="266">
        <f t="shared" si="1"/>
        <v>53</v>
      </c>
      <c r="G56" s="267">
        <v>8</v>
      </c>
      <c r="H56" s="262">
        <f t="shared" si="2"/>
        <v>8</v>
      </c>
      <c r="J56" s="261">
        <f t="shared" si="3"/>
        <v>61256</v>
      </c>
      <c r="L56">
        <f>AF101*AF100</f>
        <v>896</v>
      </c>
      <c r="M56">
        <f t="shared" si="10"/>
        <v>1935.3600000000001</v>
      </c>
      <c r="N56">
        <f>'КУ для 240 кГц '!L62</f>
        <v>1581.6178670794441</v>
      </c>
      <c r="O56">
        <f t="shared" si="11"/>
        <v>-353.74213292055606</v>
      </c>
      <c r="Q56" s="263">
        <f t="shared" si="4"/>
        <v>53</v>
      </c>
      <c r="R56" s="263">
        <f>'КУ для 240 кГц '!U62</f>
        <v>9</v>
      </c>
      <c r="S56" s="263" t="str">
        <f t="shared" si="5"/>
        <v>9</v>
      </c>
      <c r="T56" s="263"/>
      <c r="U56" s="263">
        <f t="shared" si="6"/>
        <v>53</v>
      </c>
      <c r="V56" s="263">
        <f>'КУ для 240 кГц '!W62</f>
        <v>10</v>
      </c>
      <c r="W56" s="263" t="str">
        <f t="shared" si="7"/>
        <v>A</v>
      </c>
      <c r="Y56">
        <f t="shared" si="8"/>
        <v>60762</v>
      </c>
      <c r="BJ56" s="266">
        <f t="shared" si="15"/>
        <v>51</v>
      </c>
      <c r="BK56" s="266">
        <f>'КУ для 240 кГц '!U60</f>
        <v>11</v>
      </c>
      <c r="BL56" s="261" t="str">
        <f t="shared" si="12"/>
        <v>B</v>
      </c>
      <c r="BN56" s="266"/>
      <c r="BO56" s="267">
        <f>'КУ для 240 кГц '!W60</f>
        <v>10</v>
      </c>
      <c r="BP56" s="262" t="str">
        <f t="shared" si="13"/>
        <v>A</v>
      </c>
      <c r="BR56" s="261">
        <f t="shared" si="14"/>
        <v>60270</v>
      </c>
      <c r="BS56">
        <f t="shared" si="16"/>
        <v>246</v>
      </c>
    </row>
    <row r="57" spans="2:71">
      <c r="B57" s="266">
        <f t="shared" si="9"/>
        <v>54</v>
      </c>
      <c r="C57" s="266">
        <v>8</v>
      </c>
      <c r="D57" s="261">
        <f t="shared" si="0"/>
        <v>8</v>
      </c>
      <c r="F57" s="266">
        <f t="shared" si="1"/>
        <v>54</v>
      </c>
      <c r="G57" s="267">
        <v>8</v>
      </c>
      <c r="H57" s="262">
        <f t="shared" si="2"/>
        <v>8</v>
      </c>
      <c r="J57" s="261">
        <f t="shared" si="3"/>
        <v>61504</v>
      </c>
      <c r="L57">
        <f>AF100*AF100</f>
        <v>1024</v>
      </c>
      <c r="M57">
        <f t="shared" si="10"/>
        <v>2211.84</v>
      </c>
      <c r="N57">
        <f>'КУ для 240 кГц '!L63</f>
        <v>1676.3853798811529</v>
      </c>
      <c r="O57">
        <f t="shared" si="11"/>
        <v>-535.45462011884729</v>
      </c>
      <c r="Q57" s="263">
        <f t="shared" si="4"/>
        <v>54</v>
      </c>
      <c r="R57" s="263">
        <f>'КУ для 240 кГц '!U63</f>
        <v>9</v>
      </c>
      <c r="S57" s="263" t="str">
        <f t="shared" si="5"/>
        <v>9</v>
      </c>
      <c r="T57" s="263"/>
      <c r="U57" s="263">
        <f t="shared" si="6"/>
        <v>54</v>
      </c>
      <c r="V57" s="263">
        <f>'КУ для 240 кГц '!W63</f>
        <v>9</v>
      </c>
      <c r="W57" s="263" t="str">
        <f t="shared" si="7"/>
        <v>9</v>
      </c>
      <c r="Y57">
        <f t="shared" si="8"/>
        <v>61009</v>
      </c>
      <c r="BJ57" s="266">
        <f t="shared" si="15"/>
        <v>52</v>
      </c>
      <c r="BK57" s="266">
        <f>'КУ для 240 кГц '!U61</f>
        <v>9</v>
      </c>
      <c r="BL57" s="261" t="str">
        <f t="shared" si="12"/>
        <v>9</v>
      </c>
      <c r="BN57" s="266"/>
      <c r="BO57" s="267">
        <f>'КУ для 240 кГц '!W61</f>
        <v>11</v>
      </c>
      <c r="BP57" s="262" t="str">
        <f t="shared" si="13"/>
        <v>B</v>
      </c>
      <c r="BR57" s="261">
        <f t="shared" si="14"/>
        <v>60515</v>
      </c>
      <c r="BS57">
        <f t="shared" si="16"/>
        <v>245</v>
      </c>
    </row>
    <row r="58" spans="2:71">
      <c r="B58" s="266">
        <f t="shared" si="9"/>
        <v>55</v>
      </c>
      <c r="C58" s="266">
        <v>8</v>
      </c>
      <c r="D58" s="261">
        <f t="shared" si="0"/>
        <v>8</v>
      </c>
      <c r="F58" s="266">
        <f t="shared" si="1"/>
        <v>55</v>
      </c>
      <c r="G58" s="267">
        <v>8</v>
      </c>
      <c r="H58" s="262">
        <f t="shared" si="2"/>
        <v>8</v>
      </c>
      <c r="J58" s="261">
        <f t="shared" si="3"/>
        <v>61504</v>
      </c>
      <c r="L58">
        <f>AF100*AF100</f>
        <v>1024</v>
      </c>
      <c r="M58">
        <f t="shared" si="10"/>
        <v>2211.84</v>
      </c>
      <c r="N58">
        <f>'КУ для 240 кГц '!L64</f>
        <v>1776.2778420805862</v>
      </c>
      <c r="O58">
        <f t="shared" si="11"/>
        <v>-435.56215791941395</v>
      </c>
      <c r="Q58" s="263">
        <f t="shared" si="4"/>
        <v>55</v>
      </c>
      <c r="R58" s="263">
        <f>'КУ для 240 кГц '!U64</f>
        <v>8</v>
      </c>
      <c r="S58" s="263" t="str">
        <f t="shared" si="5"/>
        <v>8</v>
      </c>
      <c r="T58" s="263"/>
      <c r="U58" s="263">
        <f t="shared" si="6"/>
        <v>55</v>
      </c>
      <c r="V58" s="263">
        <f>'КУ для 240 кГц '!W64</f>
        <v>10</v>
      </c>
      <c r="W58" s="263" t="str">
        <f t="shared" si="7"/>
        <v>A</v>
      </c>
      <c r="Y58">
        <f t="shared" si="8"/>
        <v>61008</v>
      </c>
      <c r="BJ58" s="266">
        <f t="shared" si="15"/>
        <v>53</v>
      </c>
      <c r="BK58" s="266">
        <f>'КУ для 240 кГц '!U62</f>
        <v>9</v>
      </c>
      <c r="BL58" s="261" t="str">
        <f t="shared" si="12"/>
        <v>9</v>
      </c>
      <c r="BN58" s="266"/>
      <c r="BO58" s="267">
        <f>'КУ для 240 кГц '!W62</f>
        <v>10</v>
      </c>
      <c r="BP58" s="262" t="str">
        <f t="shared" si="13"/>
        <v>A</v>
      </c>
      <c r="BR58" s="261">
        <f t="shared" si="14"/>
        <v>60762</v>
      </c>
      <c r="BS58">
        <f t="shared" si="16"/>
        <v>247</v>
      </c>
    </row>
    <row r="59" spans="2:71">
      <c r="B59" s="266">
        <f t="shared" si="9"/>
        <v>56</v>
      </c>
      <c r="C59" s="266">
        <v>8</v>
      </c>
      <c r="D59" s="261">
        <f t="shared" si="0"/>
        <v>8</v>
      </c>
      <c r="F59" s="266">
        <f t="shared" si="1"/>
        <v>56</v>
      </c>
      <c r="G59" s="267">
        <v>7</v>
      </c>
      <c r="H59" s="262">
        <f t="shared" si="2"/>
        <v>7</v>
      </c>
      <c r="J59" s="261">
        <f t="shared" si="3"/>
        <v>61752</v>
      </c>
      <c r="L59">
        <f>AF100*AF99</f>
        <v>1216</v>
      </c>
      <c r="M59">
        <f t="shared" si="10"/>
        <v>2626.5600000000004</v>
      </c>
      <c r="N59">
        <f>'КУ для 240 кГц '!L65</f>
        <v>1881.5567206380656</v>
      </c>
      <c r="O59">
        <f t="shared" si="11"/>
        <v>-745.0032793619348</v>
      </c>
      <c r="Q59" s="263">
        <f t="shared" si="4"/>
        <v>56</v>
      </c>
      <c r="R59" s="263">
        <f>'КУ для 240 кГц '!U65</f>
        <v>7</v>
      </c>
      <c r="S59" s="263" t="str">
        <f t="shared" si="5"/>
        <v>7</v>
      </c>
      <c r="T59" s="263"/>
      <c r="U59" s="263">
        <f t="shared" si="6"/>
        <v>56</v>
      </c>
      <c r="V59" s="263">
        <f>'КУ для 240 кГц '!W65</f>
        <v>13</v>
      </c>
      <c r="W59" s="263" t="str">
        <f t="shared" si="7"/>
        <v>D</v>
      </c>
      <c r="Y59">
        <f t="shared" si="8"/>
        <v>60507</v>
      </c>
      <c r="BJ59" s="266">
        <f t="shared" si="15"/>
        <v>54</v>
      </c>
      <c r="BK59" s="266">
        <f>'КУ для 240 кГц '!U63</f>
        <v>9</v>
      </c>
      <c r="BL59" s="261" t="str">
        <f t="shared" si="12"/>
        <v>9</v>
      </c>
      <c r="BN59" s="266"/>
      <c r="BO59" s="267">
        <f>'КУ для 240 кГц '!W63</f>
        <v>9</v>
      </c>
      <c r="BP59" s="262" t="str">
        <f t="shared" si="13"/>
        <v>9</v>
      </c>
      <c r="BR59" s="261">
        <f t="shared" si="14"/>
        <v>61009</v>
      </c>
      <c r="BS59">
        <f t="shared" si="16"/>
        <v>247</v>
      </c>
    </row>
    <row r="60" spans="2:71">
      <c r="B60" s="266">
        <f t="shared" si="9"/>
        <v>57</v>
      </c>
      <c r="C60" s="266">
        <v>7</v>
      </c>
      <c r="D60" s="261">
        <f t="shared" si="0"/>
        <v>7</v>
      </c>
      <c r="F60" s="266">
        <f t="shared" si="1"/>
        <v>57</v>
      </c>
      <c r="G60" s="267">
        <v>8</v>
      </c>
      <c r="H60" s="262">
        <f t="shared" si="2"/>
        <v>8</v>
      </c>
      <c r="J60" s="261">
        <f t="shared" si="3"/>
        <v>61752</v>
      </c>
      <c r="L60">
        <f>AF99*AF100</f>
        <v>1216</v>
      </c>
      <c r="M60">
        <f t="shared" si="10"/>
        <v>2626.5600000000004</v>
      </c>
      <c r="N60">
        <f>'КУ для 240 кГц '!L66</f>
        <v>1992.4963294698334</v>
      </c>
      <c r="O60">
        <f t="shared" si="11"/>
        <v>-634.06367053016697</v>
      </c>
      <c r="Q60" s="263">
        <f t="shared" si="4"/>
        <v>57</v>
      </c>
      <c r="R60" s="263">
        <f>'КУ для 240 кГц '!U66</f>
        <v>7</v>
      </c>
      <c r="S60" s="263" t="str">
        <f t="shared" si="5"/>
        <v>7</v>
      </c>
      <c r="T60" s="263"/>
      <c r="U60" s="263">
        <f t="shared" si="6"/>
        <v>57</v>
      </c>
      <c r="V60" s="263">
        <f>'КУ для 240 кГц '!W66</f>
        <v>12</v>
      </c>
      <c r="W60" s="263" t="str">
        <f t="shared" si="7"/>
        <v>C</v>
      </c>
      <c r="Y60">
        <f t="shared" si="8"/>
        <v>60756</v>
      </c>
      <c r="BJ60" s="266">
        <f t="shared" si="15"/>
        <v>55</v>
      </c>
      <c r="BK60" s="266">
        <f>'КУ для 240 кГц '!U64</f>
        <v>8</v>
      </c>
      <c r="BL60" s="261" t="str">
        <f t="shared" si="12"/>
        <v>8</v>
      </c>
      <c r="BN60" s="266"/>
      <c r="BO60" s="267">
        <f>'КУ для 240 кГц '!W64</f>
        <v>10</v>
      </c>
      <c r="BP60" s="262" t="str">
        <f t="shared" si="13"/>
        <v>A</v>
      </c>
      <c r="BR60" s="261">
        <f t="shared" si="14"/>
        <v>61008</v>
      </c>
      <c r="BS60">
        <f t="shared" si="16"/>
        <v>-1</v>
      </c>
    </row>
    <row r="61" spans="2:71">
      <c r="B61" s="266">
        <f t="shared" si="9"/>
        <v>58</v>
      </c>
      <c r="C61" s="266">
        <v>7</v>
      </c>
      <c r="D61" s="261">
        <f t="shared" si="0"/>
        <v>7</v>
      </c>
      <c r="F61" s="266">
        <f t="shared" si="1"/>
        <v>58</v>
      </c>
      <c r="G61" s="267">
        <v>7</v>
      </c>
      <c r="H61" s="262">
        <f t="shared" si="2"/>
        <v>7</v>
      </c>
      <c r="J61" s="261">
        <f t="shared" si="3"/>
        <v>62001</v>
      </c>
      <c r="L61">
        <f>AF99*AF99</f>
        <v>1444</v>
      </c>
      <c r="M61">
        <f t="shared" si="10"/>
        <v>3119.0400000000004</v>
      </c>
      <c r="N61">
        <f>'КУ для 240 кГц '!L67</f>
        <v>2109.3844442693444</v>
      </c>
      <c r="O61">
        <f t="shared" si="11"/>
        <v>-1009.655555730656</v>
      </c>
      <c r="Q61" s="263">
        <f t="shared" si="4"/>
        <v>58</v>
      </c>
      <c r="R61" s="263">
        <f>'КУ для 240 кГц '!U67</f>
        <v>6</v>
      </c>
      <c r="S61" s="263" t="str">
        <f t="shared" si="5"/>
        <v>6</v>
      </c>
      <c r="T61" s="263"/>
      <c r="U61" s="263">
        <f t="shared" si="6"/>
        <v>58</v>
      </c>
      <c r="V61" s="263">
        <f>'КУ для 240 кГц '!W67</f>
        <v>14</v>
      </c>
      <c r="W61" s="263" t="str">
        <f t="shared" si="7"/>
        <v>E</v>
      </c>
      <c r="Y61">
        <f t="shared" si="8"/>
        <v>60500</v>
      </c>
      <c r="BJ61" s="266">
        <f t="shared" si="15"/>
        <v>56</v>
      </c>
      <c r="BK61" s="266">
        <f>'КУ для 240 кГц '!U65</f>
        <v>7</v>
      </c>
      <c r="BL61" s="261" t="str">
        <f t="shared" si="12"/>
        <v>7</v>
      </c>
      <c r="BN61" s="266"/>
      <c r="BO61" s="267">
        <f>'КУ для 240 кГц '!W65</f>
        <v>13</v>
      </c>
      <c r="BP61" s="262" t="str">
        <f t="shared" si="13"/>
        <v>D</v>
      </c>
      <c r="BR61" s="261">
        <f t="shared" si="14"/>
        <v>60507</v>
      </c>
      <c r="BS61">
        <f t="shared" si="16"/>
        <v>-501</v>
      </c>
    </row>
    <row r="62" spans="2:71">
      <c r="B62" s="266">
        <f t="shared" si="9"/>
        <v>59</v>
      </c>
      <c r="C62" s="266">
        <v>7</v>
      </c>
      <c r="D62" s="261">
        <f t="shared" si="0"/>
        <v>7</v>
      </c>
      <c r="F62" s="266">
        <f t="shared" si="1"/>
        <v>59</v>
      </c>
      <c r="G62" s="267">
        <v>7</v>
      </c>
      <c r="H62" s="262">
        <f t="shared" si="2"/>
        <v>7</v>
      </c>
      <c r="J62" s="261">
        <f t="shared" si="3"/>
        <v>62001</v>
      </c>
      <c r="L62">
        <f>AF99*AF99</f>
        <v>1444</v>
      </c>
      <c r="M62">
        <f t="shared" si="10"/>
        <v>3119.0400000000004</v>
      </c>
      <c r="N62">
        <f>'КУ для 240 кГц '!L68</f>
        <v>2232.5229461852018</v>
      </c>
      <c r="O62">
        <f t="shared" si="11"/>
        <v>-886.5170538147986</v>
      </c>
      <c r="Q62" s="263">
        <f t="shared" si="4"/>
        <v>59</v>
      </c>
      <c r="R62" s="263">
        <f>'КУ для 240 кГц '!U68</f>
        <v>8</v>
      </c>
      <c r="S62" s="263" t="str">
        <f t="shared" si="5"/>
        <v>8</v>
      </c>
      <c r="T62" s="263"/>
      <c r="U62" s="263">
        <f t="shared" si="6"/>
        <v>59</v>
      </c>
      <c r="V62" s="263">
        <f>'КУ для 240 кГц '!W68</f>
        <v>8</v>
      </c>
      <c r="W62" s="263" t="str">
        <f t="shared" si="7"/>
        <v>8</v>
      </c>
      <c r="Y62">
        <f t="shared" si="8"/>
        <v>61504</v>
      </c>
      <c r="BJ62" s="266">
        <f t="shared" si="15"/>
        <v>57</v>
      </c>
      <c r="BK62" s="266">
        <f>'КУ для 240 кГц '!U66</f>
        <v>7</v>
      </c>
      <c r="BL62" s="261" t="str">
        <f t="shared" si="12"/>
        <v>7</v>
      </c>
      <c r="BN62" s="266"/>
      <c r="BO62" s="267">
        <f>'КУ для 240 кГц '!W66</f>
        <v>12</v>
      </c>
      <c r="BP62" s="262" t="str">
        <f t="shared" si="13"/>
        <v>C</v>
      </c>
      <c r="BR62" s="261">
        <f t="shared" si="14"/>
        <v>60756</v>
      </c>
      <c r="BS62">
        <f t="shared" si="16"/>
        <v>249</v>
      </c>
    </row>
    <row r="63" spans="2:71">
      <c r="B63" s="266">
        <f t="shared" si="9"/>
        <v>60</v>
      </c>
      <c r="C63" s="266">
        <v>7</v>
      </c>
      <c r="D63" s="261">
        <f t="shared" si="0"/>
        <v>7</v>
      </c>
      <c r="F63" s="266">
        <f t="shared" si="1"/>
        <v>60</v>
      </c>
      <c r="G63" s="267">
        <v>7</v>
      </c>
      <c r="H63" s="262">
        <f t="shared" si="2"/>
        <v>7</v>
      </c>
      <c r="J63" s="261">
        <f t="shared" si="3"/>
        <v>62001</v>
      </c>
      <c r="L63">
        <f>AF99*AF99</f>
        <v>1444</v>
      </c>
      <c r="M63">
        <f t="shared" si="10"/>
        <v>3119.0400000000004</v>
      </c>
      <c r="N63">
        <f>'КУ для 240 кГц '!L69</f>
        <v>2362.2284956899975</v>
      </c>
      <c r="O63">
        <f t="shared" si="11"/>
        <v>-756.81150431000287</v>
      </c>
      <c r="Q63" s="263">
        <f t="shared" si="4"/>
        <v>60</v>
      </c>
      <c r="R63" s="263">
        <f>'КУ для 240 кГц '!U69</f>
        <v>6</v>
      </c>
      <c r="S63" s="263" t="str">
        <f t="shared" si="5"/>
        <v>6</v>
      </c>
      <c r="T63" s="263"/>
      <c r="U63" s="263">
        <f t="shared" si="6"/>
        <v>60</v>
      </c>
      <c r="V63" s="263">
        <f>'КУ для 240 кГц '!W69</f>
        <v>12</v>
      </c>
      <c r="W63" s="263" t="str">
        <f t="shared" si="7"/>
        <v>C</v>
      </c>
      <c r="Y63">
        <f t="shared" si="8"/>
        <v>61000</v>
      </c>
      <c r="BJ63" s="266">
        <f t="shared" si="15"/>
        <v>58</v>
      </c>
      <c r="BK63" s="266">
        <f>'КУ для 240 кГц '!U67</f>
        <v>6</v>
      </c>
      <c r="BL63" s="261" t="str">
        <f t="shared" si="12"/>
        <v>6</v>
      </c>
      <c r="BN63" s="266"/>
      <c r="BO63" s="267">
        <f>'КУ для 240 кГц '!W67</f>
        <v>14</v>
      </c>
      <c r="BP63" s="262" t="str">
        <f t="shared" si="13"/>
        <v>E</v>
      </c>
      <c r="BR63" s="261">
        <f t="shared" si="14"/>
        <v>60500</v>
      </c>
      <c r="BS63">
        <f t="shared" si="16"/>
        <v>-256</v>
      </c>
    </row>
    <row r="64" spans="2:71">
      <c r="B64" s="266">
        <f t="shared" si="9"/>
        <v>61</v>
      </c>
      <c r="C64" s="266">
        <v>7</v>
      </c>
      <c r="D64" s="261">
        <f t="shared" si="0"/>
        <v>7</v>
      </c>
      <c r="F64" s="266">
        <f t="shared" si="1"/>
        <v>61</v>
      </c>
      <c r="G64" s="267">
        <v>6</v>
      </c>
      <c r="H64" s="262">
        <f t="shared" si="2"/>
        <v>6</v>
      </c>
      <c r="J64" s="261">
        <f t="shared" si="3"/>
        <v>62250</v>
      </c>
      <c r="L64">
        <f>AF99*AF98</f>
        <v>1786</v>
      </c>
      <c r="M64">
        <f t="shared" si="10"/>
        <v>3857.76</v>
      </c>
      <c r="N64">
        <f>'КУ для 240 кГц '!L70</f>
        <v>2498.8332380353681</v>
      </c>
      <c r="O64">
        <f t="shared" si="11"/>
        <v>-1358.9267619646321</v>
      </c>
      <c r="Q64" s="263">
        <f t="shared" si="4"/>
        <v>61</v>
      </c>
      <c r="R64" s="263">
        <f>'КУ для 240 кГц '!U70</f>
        <v>6</v>
      </c>
      <c r="S64" s="263" t="str">
        <f t="shared" si="5"/>
        <v>6</v>
      </c>
      <c r="T64" s="263"/>
      <c r="U64" s="263">
        <f t="shared" si="6"/>
        <v>61</v>
      </c>
      <c r="V64" s="263">
        <f>'КУ для 240 кГц '!W70</f>
        <v>12</v>
      </c>
      <c r="W64" s="263" t="str">
        <f t="shared" si="7"/>
        <v>C</v>
      </c>
      <c r="Y64">
        <f t="shared" si="8"/>
        <v>61000</v>
      </c>
      <c r="BJ64" s="266">
        <f t="shared" si="15"/>
        <v>59</v>
      </c>
      <c r="BK64" s="266">
        <f>'КУ для 240 кГц '!U68</f>
        <v>8</v>
      </c>
      <c r="BL64" s="261" t="str">
        <f t="shared" si="12"/>
        <v>8</v>
      </c>
      <c r="BN64" s="266"/>
      <c r="BO64" s="267">
        <f>'КУ для 240 кГц '!W68</f>
        <v>8</v>
      </c>
      <c r="BP64" s="262" t="str">
        <f t="shared" si="13"/>
        <v>8</v>
      </c>
      <c r="BR64" s="261">
        <f t="shared" si="14"/>
        <v>61504</v>
      </c>
      <c r="BS64">
        <f t="shared" si="16"/>
        <v>1004</v>
      </c>
    </row>
    <row r="65" spans="2:71">
      <c r="B65" s="266">
        <f t="shared" si="9"/>
        <v>62</v>
      </c>
      <c r="C65" s="266">
        <v>7</v>
      </c>
      <c r="D65" s="261">
        <f t="shared" si="0"/>
        <v>7</v>
      </c>
      <c r="F65" s="266">
        <f t="shared" si="1"/>
        <v>62</v>
      </c>
      <c r="G65" s="267">
        <v>6</v>
      </c>
      <c r="H65" s="262">
        <f t="shared" si="2"/>
        <v>6</v>
      </c>
      <c r="J65" s="261">
        <f t="shared" si="3"/>
        <v>62250</v>
      </c>
      <c r="L65">
        <f>AF99*AF98</f>
        <v>1786</v>
      </c>
      <c r="M65">
        <f t="shared" si="10"/>
        <v>3857.76</v>
      </c>
      <c r="N65">
        <f>'КУ для 240 кГц '!L71</f>
        <v>2642.6855417521097</v>
      </c>
      <c r="O65">
        <f t="shared" si="11"/>
        <v>-1215.0744582478906</v>
      </c>
      <c r="Q65" s="263">
        <f t="shared" si="4"/>
        <v>62</v>
      </c>
      <c r="R65" s="263">
        <f>'КУ для 240 кГц '!U71</f>
        <v>7</v>
      </c>
      <c r="S65" s="263" t="str">
        <f t="shared" si="5"/>
        <v>7</v>
      </c>
      <c r="T65" s="263"/>
      <c r="U65" s="263">
        <f t="shared" si="6"/>
        <v>62</v>
      </c>
      <c r="V65" s="263">
        <f>'КУ для 240 кГц '!W71</f>
        <v>8</v>
      </c>
      <c r="W65" s="263" t="str">
        <f t="shared" si="7"/>
        <v>8</v>
      </c>
      <c r="Y65">
        <f t="shared" si="8"/>
        <v>61752</v>
      </c>
      <c r="BJ65" s="266">
        <f t="shared" si="15"/>
        <v>60</v>
      </c>
      <c r="BK65" s="266">
        <f>'КУ для 240 кГц '!U69</f>
        <v>6</v>
      </c>
      <c r="BL65" s="261" t="str">
        <f t="shared" si="12"/>
        <v>6</v>
      </c>
      <c r="BN65" s="266"/>
      <c r="BO65" s="267">
        <f>'КУ для 240 кГц '!W69</f>
        <v>12</v>
      </c>
      <c r="BP65" s="262" t="str">
        <f t="shared" si="13"/>
        <v>C</v>
      </c>
      <c r="BR65" s="261">
        <f t="shared" si="14"/>
        <v>61000</v>
      </c>
      <c r="BS65">
        <f t="shared" si="16"/>
        <v>-504</v>
      </c>
    </row>
    <row r="66" spans="2:71">
      <c r="B66" s="266">
        <f t="shared" si="9"/>
        <v>63</v>
      </c>
      <c r="C66" s="266">
        <v>6</v>
      </c>
      <c r="D66" s="261">
        <f t="shared" si="0"/>
        <v>6</v>
      </c>
      <c r="F66" s="266">
        <f t="shared" si="1"/>
        <v>63</v>
      </c>
      <c r="G66" s="267">
        <v>7</v>
      </c>
      <c r="H66" s="262">
        <f t="shared" si="2"/>
        <v>7</v>
      </c>
      <c r="J66" s="261">
        <f t="shared" si="3"/>
        <v>62250</v>
      </c>
      <c r="L66">
        <f>AF98*AF99</f>
        <v>1786</v>
      </c>
      <c r="M66">
        <f t="shared" si="10"/>
        <v>3857.76</v>
      </c>
      <c r="N66">
        <f>'КУ для 240 кГц '!L72</f>
        <v>2794.1507717209961</v>
      </c>
      <c r="O66">
        <f t="shared" si="11"/>
        <v>-1063.6092282790041</v>
      </c>
      <c r="Q66" s="263">
        <f t="shared" si="4"/>
        <v>63</v>
      </c>
      <c r="R66" s="263">
        <f>'КУ для 240 кГц '!U72</f>
        <v>4</v>
      </c>
      <c r="S66" s="263" t="str">
        <f t="shared" si="5"/>
        <v>4</v>
      </c>
      <c r="T66" s="263"/>
      <c r="U66" s="263">
        <f t="shared" si="6"/>
        <v>63</v>
      </c>
      <c r="V66" s="263">
        <f>'КУ для 240 кГц '!W72</f>
        <v>15</v>
      </c>
      <c r="W66" s="263" t="str">
        <f t="shared" si="7"/>
        <v>F</v>
      </c>
      <c r="Y66">
        <f t="shared" si="8"/>
        <v>60732</v>
      </c>
      <c r="BJ66" s="266">
        <f t="shared" si="15"/>
        <v>61</v>
      </c>
      <c r="BK66" s="266">
        <f>'КУ для 240 кГц '!U70</f>
        <v>6</v>
      </c>
      <c r="BL66" s="261" t="str">
        <f t="shared" si="12"/>
        <v>6</v>
      </c>
      <c r="BN66" s="266"/>
      <c r="BO66" s="267">
        <f>'КУ для 240 кГц '!W70</f>
        <v>12</v>
      </c>
      <c r="BP66" s="262" t="str">
        <f t="shared" si="13"/>
        <v>C</v>
      </c>
      <c r="BR66" s="261">
        <f t="shared" si="14"/>
        <v>61000</v>
      </c>
      <c r="BS66">
        <f t="shared" si="16"/>
        <v>0</v>
      </c>
    </row>
    <row r="67" spans="2:71">
      <c r="B67" s="266">
        <f t="shared" si="9"/>
        <v>64</v>
      </c>
      <c r="C67" s="266">
        <v>6</v>
      </c>
      <c r="D67" s="261">
        <f t="shared" si="0"/>
        <v>6</v>
      </c>
      <c r="F67" s="266">
        <f t="shared" si="1"/>
        <v>64</v>
      </c>
      <c r="G67" s="267">
        <v>6</v>
      </c>
      <c r="H67" s="262">
        <f t="shared" si="2"/>
        <v>6</v>
      </c>
      <c r="J67" s="261">
        <f t="shared" si="3"/>
        <v>62500</v>
      </c>
      <c r="L67">
        <f>AF98*AF98</f>
        <v>2209</v>
      </c>
      <c r="M67">
        <f t="shared" si="10"/>
        <v>4771.4400000000005</v>
      </c>
      <c r="N67">
        <f>'КУ для 240 кГц '!L73</f>
        <v>2953.6120984094296</v>
      </c>
      <c r="O67">
        <f t="shared" si="11"/>
        <v>-1817.8279015905709</v>
      </c>
      <c r="Q67" s="263">
        <f t="shared" si="4"/>
        <v>64</v>
      </c>
      <c r="R67" s="263">
        <f>'КУ для 240 кГц '!U73</f>
        <v>4</v>
      </c>
      <c r="S67" s="263" t="str">
        <f t="shared" si="5"/>
        <v>4</v>
      </c>
      <c r="T67" s="263"/>
      <c r="U67" s="263">
        <f t="shared" si="6"/>
        <v>64</v>
      </c>
      <c r="V67" s="263">
        <f>'КУ для 240 кГц '!W73</f>
        <v>14</v>
      </c>
      <c r="W67" s="263" t="str">
        <f t="shared" si="7"/>
        <v>E</v>
      </c>
      <c r="Y67">
        <f t="shared" si="8"/>
        <v>60984</v>
      </c>
      <c r="BJ67" s="266">
        <f t="shared" si="15"/>
        <v>62</v>
      </c>
      <c r="BK67" s="266">
        <f>'КУ для 240 кГц '!U71</f>
        <v>7</v>
      </c>
      <c r="BL67" s="261" t="str">
        <f t="shared" si="12"/>
        <v>7</v>
      </c>
      <c r="BN67" s="266"/>
      <c r="BO67" s="267">
        <f>'КУ для 240 кГц '!W71</f>
        <v>8</v>
      </c>
      <c r="BP67" s="262" t="str">
        <f t="shared" si="13"/>
        <v>8</v>
      </c>
      <c r="BR67" s="261">
        <f t="shared" si="14"/>
        <v>61752</v>
      </c>
      <c r="BS67">
        <f t="shared" si="16"/>
        <v>752</v>
      </c>
    </row>
    <row r="68" spans="2:71">
      <c r="B68" s="266">
        <f t="shared" si="9"/>
        <v>65</v>
      </c>
      <c r="C68" s="266">
        <v>6</v>
      </c>
      <c r="D68" s="261">
        <f t="shared" si="0"/>
        <v>6</v>
      </c>
      <c r="F68" s="266">
        <f t="shared" si="1"/>
        <v>65</v>
      </c>
      <c r="G68" s="267">
        <v>6</v>
      </c>
      <c r="H68" s="262">
        <f t="shared" si="2"/>
        <v>6</v>
      </c>
      <c r="J68" s="261">
        <f t="shared" si="3"/>
        <v>62500</v>
      </c>
      <c r="L68">
        <f>AF98*AF98</f>
        <v>2209</v>
      </c>
      <c r="M68">
        <f t="shared" si="10"/>
        <v>4771.4400000000005</v>
      </c>
      <c r="N68">
        <f>'КУ для 240 кГц '!L74</f>
        <v>3121.4713449418591</v>
      </c>
      <c r="O68">
        <f t="shared" si="11"/>
        <v>-1649.9686550581414</v>
      </c>
      <c r="Q68" s="263">
        <f t="shared" si="4"/>
        <v>65</v>
      </c>
      <c r="R68" s="263">
        <f>'КУ для 240 кГц '!U74</f>
        <v>7</v>
      </c>
      <c r="S68" s="263" t="str">
        <f t="shared" si="5"/>
        <v>7</v>
      </c>
      <c r="T68" s="263"/>
      <c r="U68" s="263">
        <f t="shared" si="6"/>
        <v>65</v>
      </c>
      <c r="V68" s="263">
        <f>'КУ для 240 кГц '!W74</f>
        <v>7</v>
      </c>
      <c r="W68" s="263" t="str">
        <f t="shared" si="7"/>
        <v>7</v>
      </c>
      <c r="Y68">
        <f t="shared" si="8"/>
        <v>62001</v>
      </c>
      <c r="BJ68" s="266">
        <f t="shared" si="15"/>
        <v>63</v>
      </c>
      <c r="BK68" s="266">
        <f>'КУ для 240 кГц '!U72</f>
        <v>4</v>
      </c>
      <c r="BL68" s="261" t="str">
        <f t="shared" si="12"/>
        <v>4</v>
      </c>
      <c r="BN68" s="266"/>
      <c r="BO68" s="267">
        <f>'КУ для 240 кГц '!W72</f>
        <v>15</v>
      </c>
      <c r="BP68" s="262" t="str">
        <f t="shared" si="13"/>
        <v>F</v>
      </c>
      <c r="BR68" s="261">
        <f t="shared" si="14"/>
        <v>60732</v>
      </c>
      <c r="BS68">
        <f t="shared" si="16"/>
        <v>-1020</v>
      </c>
    </row>
    <row r="69" spans="2:71">
      <c r="B69" s="266">
        <f t="shared" si="9"/>
        <v>66</v>
      </c>
      <c r="C69" s="266">
        <v>6</v>
      </c>
      <c r="D69" s="261">
        <f t="shared" ref="D69:D75" si="17">HEX2DEC(C69)</f>
        <v>6</v>
      </c>
      <c r="F69" s="266">
        <f t="shared" ref="F69:F75" si="18">B69</f>
        <v>66</v>
      </c>
      <c r="G69" s="267">
        <v>6</v>
      </c>
      <c r="H69" s="262">
        <f t="shared" ref="H69:H75" si="19">HEX2DEC(G69)</f>
        <v>6</v>
      </c>
      <c r="J69" s="261">
        <f t="shared" ref="J69:J75" si="20">(256-D69)*(256-H69)</f>
        <v>62500</v>
      </c>
      <c r="L69">
        <f>AF98*AF98</f>
        <v>2209</v>
      </c>
      <c r="M69">
        <f t="shared" si="10"/>
        <v>4771.4400000000005</v>
      </c>
      <c r="N69">
        <f>'КУ для 240 кГц '!L75</f>
        <v>3298.1498737480292</v>
      </c>
      <c r="O69">
        <f t="shared" si="11"/>
        <v>-1473.2901262519713</v>
      </c>
      <c r="Q69" s="263">
        <f t="shared" ref="Q69:Q75" si="21">B69</f>
        <v>66</v>
      </c>
      <c r="R69" s="263">
        <f>'КУ для 240 кГц '!U75</f>
        <v>4</v>
      </c>
      <c r="S69" s="263" t="str">
        <f t="shared" ref="S69:S75" si="22">DEC2HEX(R69)</f>
        <v>4</v>
      </c>
      <c r="T69" s="263"/>
      <c r="U69" s="263">
        <f t="shared" ref="U69:U75" si="23">F69</f>
        <v>66</v>
      </c>
      <c r="V69" s="263">
        <f>'КУ для 240 кГц '!W75</f>
        <v>13</v>
      </c>
      <c r="W69" s="263" t="str">
        <f t="shared" ref="W69:W75" si="24">DEC2HEX(V69)</f>
        <v>D</v>
      </c>
      <c r="Y69">
        <f t="shared" ref="Y69:Y75" si="25">(256-R69)*(256-V69)</f>
        <v>61236</v>
      </c>
      <c r="BJ69" s="266">
        <f t="shared" si="15"/>
        <v>64</v>
      </c>
      <c r="BK69" s="266">
        <f>'КУ для 240 кГц '!U73</f>
        <v>4</v>
      </c>
      <c r="BL69" s="261" t="str">
        <f t="shared" si="12"/>
        <v>4</v>
      </c>
      <c r="BN69" s="266"/>
      <c r="BO69" s="267">
        <f>'КУ для 240 кГц '!W73</f>
        <v>14</v>
      </c>
      <c r="BP69" s="262" t="str">
        <f t="shared" si="13"/>
        <v>E</v>
      </c>
      <c r="BR69" s="261">
        <f t="shared" si="14"/>
        <v>60984</v>
      </c>
      <c r="BS69">
        <f t="shared" si="16"/>
        <v>252</v>
      </c>
    </row>
    <row r="70" spans="2:71">
      <c r="B70" s="266">
        <f t="shared" ref="B70:B75" si="26">B69+1</f>
        <v>67</v>
      </c>
      <c r="C70" s="266">
        <v>6</v>
      </c>
      <c r="D70" s="261">
        <f t="shared" si="17"/>
        <v>6</v>
      </c>
      <c r="F70" s="266">
        <f t="shared" si="18"/>
        <v>67</v>
      </c>
      <c r="G70" s="267">
        <v>6</v>
      </c>
      <c r="H70" s="262">
        <f t="shared" si="19"/>
        <v>6</v>
      </c>
      <c r="J70" s="261">
        <f t="shared" si="20"/>
        <v>62500</v>
      </c>
      <c r="L70">
        <f>AF98*AF98</f>
        <v>2209</v>
      </c>
      <c r="M70">
        <f t="shared" ref="M70:M75" si="27">L70*2.16</f>
        <v>4771.4400000000005</v>
      </c>
      <c r="N70">
        <f>'КУ для 240 кГц '!L76</f>
        <v>3484.0895146124544</v>
      </c>
      <c r="O70">
        <f t="shared" ref="O70:O75" si="28">N70-M70</f>
        <v>-1287.3504853875461</v>
      </c>
      <c r="Q70" s="263">
        <f t="shared" si="21"/>
        <v>67</v>
      </c>
      <c r="R70" s="263">
        <f>'КУ для 240 кГц '!U76</f>
        <v>3</v>
      </c>
      <c r="S70" s="263" t="str">
        <f t="shared" si="22"/>
        <v>3</v>
      </c>
      <c r="T70" s="263"/>
      <c r="U70" s="263">
        <f t="shared" si="23"/>
        <v>67</v>
      </c>
      <c r="V70" s="263">
        <f>'КУ для 240 кГц '!W76</f>
        <v>14</v>
      </c>
      <c r="W70" s="263" t="str">
        <f t="shared" si="24"/>
        <v>E</v>
      </c>
      <c r="Y70">
        <f t="shared" si="25"/>
        <v>61226</v>
      </c>
      <c r="BJ70" s="266">
        <f t="shared" si="15"/>
        <v>65</v>
      </c>
      <c r="BK70" s="266">
        <f>'КУ для 240 кГц '!U74</f>
        <v>7</v>
      </c>
      <c r="BL70" s="261" t="str">
        <f t="shared" si="12"/>
        <v>7</v>
      </c>
      <c r="BN70" s="266"/>
      <c r="BO70" s="267">
        <f>'КУ для 240 кГц '!W74</f>
        <v>7</v>
      </c>
      <c r="BP70" s="262" t="str">
        <f t="shared" si="13"/>
        <v>7</v>
      </c>
      <c r="BR70" s="261">
        <f t="shared" si="14"/>
        <v>62001</v>
      </c>
      <c r="BS70">
        <f t="shared" si="16"/>
        <v>1017</v>
      </c>
    </row>
    <row r="71" spans="2:71">
      <c r="B71" s="266">
        <f t="shared" si="26"/>
        <v>68</v>
      </c>
      <c r="C71" s="266">
        <v>6</v>
      </c>
      <c r="D71" s="261">
        <f t="shared" si="17"/>
        <v>6</v>
      </c>
      <c r="F71" s="266">
        <f t="shared" si="18"/>
        <v>68</v>
      </c>
      <c r="G71" s="267">
        <v>5</v>
      </c>
      <c r="H71" s="262">
        <f t="shared" si="19"/>
        <v>5</v>
      </c>
      <c r="J71" s="261">
        <f t="shared" si="20"/>
        <v>62750</v>
      </c>
      <c r="L71">
        <f>AF98*AF97</f>
        <v>2632</v>
      </c>
      <c r="M71">
        <f t="shared" si="27"/>
        <v>5685.1200000000008</v>
      </c>
      <c r="N71">
        <f>'КУ для 240 кГц '!L77</f>
        <v>3679.7535360317406</v>
      </c>
      <c r="O71">
        <f t="shared" si="28"/>
        <v>-2005.3664639682602</v>
      </c>
      <c r="Q71" s="263">
        <f t="shared" si="21"/>
        <v>68</v>
      </c>
      <c r="R71" s="263">
        <f>'КУ для 240 кГц '!U77</f>
        <v>4</v>
      </c>
      <c r="S71" s="263" t="str">
        <f t="shared" si="22"/>
        <v>4</v>
      </c>
      <c r="T71" s="263"/>
      <c r="U71" s="263">
        <f t="shared" si="23"/>
        <v>68</v>
      </c>
      <c r="V71" s="263">
        <f>'КУ для 240 кГц '!W77</f>
        <v>11</v>
      </c>
      <c r="W71" s="263" t="str">
        <f t="shared" si="24"/>
        <v>B</v>
      </c>
      <c r="Y71">
        <f t="shared" si="25"/>
        <v>61740</v>
      </c>
      <c r="BJ71" s="266">
        <f t="shared" si="15"/>
        <v>66</v>
      </c>
      <c r="BK71" s="266">
        <f>'КУ для 240 кГц '!U75</f>
        <v>4</v>
      </c>
      <c r="BL71" s="261" t="str">
        <f t="shared" ref="BL71:BL77" si="29">DEC2HEX(BK71)</f>
        <v>4</v>
      </c>
      <c r="BN71" s="266"/>
      <c r="BO71" s="267">
        <f>'КУ для 240 кГц '!W75</f>
        <v>13</v>
      </c>
      <c r="BP71" s="262" t="str">
        <f t="shared" ref="BP71:BP77" si="30">DEC2HEX(BO71)</f>
        <v>D</v>
      </c>
      <c r="BR71" s="261">
        <f t="shared" ref="BR71:BR77" si="31">(256-BK71)*(256-BO71)</f>
        <v>61236</v>
      </c>
      <c r="BS71">
        <f t="shared" si="16"/>
        <v>-765</v>
      </c>
    </row>
    <row r="72" spans="2:71">
      <c r="B72" s="266">
        <f t="shared" si="26"/>
        <v>69</v>
      </c>
      <c r="C72" s="266">
        <v>6</v>
      </c>
      <c r="D72" s="261">
        <f t="shared" si="17"/>
        <v>6</v>
      </c>
      <c r="F72" s="266">
        <f t="shared" si="18"/>
        <v>69</v>
      </c>
      <c r="G72" s="267">
        <v>5</v>
      </c>
      <c r="H72" s="262">
        <f t="shared" si="19"/>
        <v>5</v>
      </c>
      <c r="J72" s="261">
        <f t="shared" si="20"/>
        <v>62750</v>
      </c>
      <c r="L72">
        <f>AF98*AF97</f>
        <v>2632</v>
      </c>
      <c r="M72">
        <f t="shared" si="27"/>
        <v>5685.1200000000008</v>
      </c>
      <c r="N72">
        <f>'КУ для 240 кГц '!L78</f>
        <v>3885.6276618731549</v>
      </c>
      <c r="O72">
        <f t="shared" si="28"/>
        <v>-1799.4923381268459</v>
      </c>
      <c r="Q72" s="263">
        <f t="shared" si="21"/>
        <v>69</v>
      </c>
      <c r="R72" s="263">
        <f>'КУ для 240 кГц '!U78</f>
        <v>5</v>
      </c>
      <c r="S72" s="263" t="str">
        <f t="shared" si="22"/>
        <v>5</v>
      </c>
      <c r="T72" s="263"/>
      <c r="U72" s="263">
        <f t="shared" si="23"/>
        <v>69</v>
      </c>
      <c r="V72" s="263">
        <f>'КУ для 240 кГц '!W78</f>
        <v>8</v>
      </c>
      <c r="W72" s="263" t="str">
        <f t="shared" si="24"/>
        <v>8</v>
      </c>
      <c r="Y72">
        <f t="shared" si="25"/>
        <v>62248</v>
      </c>
      <c r="BJ72" s="266">
        <f t="shared" ref="BJ72:BJ77" si="32">BJ71+1</f>
        <v>67</v>
      </c>
      <c r="BK72" s="266">
        <f>'КУ для 240 кГц '!U76</f>
        <v>3</v>
      </c>
      <c r="BL72" s="261" t="str">
        <f t="shared" si="29"/>
        <v>3</v>
      </c>
      <c r="BN72" s="266"/>
      <c r="BO72" s="267">
        <f>'КУ для 240 кГц '!W76</f>
        <v>14</v>
      </c>
      <c r="BP72" s="262" t="str">
        <f t="shared" si="30"/>
        <v>E</v>
      </c>
      <c r="BR72" s="261">
        <f t="shared" si="31"/>
        <v>61226</v>
      </c>
      <c r="BS72">
        <f t="shared" ref="BS72:BS77" si="33">BR72-BR71</f>
        <v>-10</v>
      </c>
    </row>
    <row r="73" spans="2:71">
      <c r="B73" s="266">
        <f t="shared" si="26"/>
        <v>70</v>
      </c>
      <c r="C73" s="266">
        <v>5</v>
      </c>
      <c r="D73" s="261">
        <f t="shared" si="17"/>
        <v>5</v>
      </c>
      <c r="F73" s="266">
        <f t="shared" si="18"/>
        <v>70</v>
      </c>
      <c r="G73" s="267">
        <v>6</v>
      </c>
      <c r="H73" s="262">
        <f t="shared" si="19"/>
        <v>6</v>
      </c>
      <c r="J73" s="261">
        <f t="shared" si="20"/>
        <v>62750</v>
      </c>
      <c r="L73">
        <f>AF97*AF98</f>
        <v>2632</v>
      </c>
      <c r="M73">
        <f t="shared" si="27"/>
        <v>5685.1200000000008</v>
      </c>
      <c r="N73">
        <f>'КУ для 240 кГц '!L79</f>
        <v>4102.2211354185256</v>
      </c>
      <c r="O73">
        <f t="shared" si="28"/>
        <v>-1582.8988645814752</v>
      </c>
      <c r="Q73" s="263">
        <f t="shared" si="21"/>
        <v>70</v>
      </c>
      <c r="R73" s="263">
        <f>'КУ для 240 кГц '!U79</f>
        <v>3</v>
      </c>
      <c r="S73" s="263" t="str">
        <f t="shared" si="22"/>
        <v>3</v>
      </c>
      <c r="T73" s="263"/>
      <c r="U73" s="263">
        <f t="shared" si="23"/>
        <v>70</v>
      </c>
      <c r="V73" s="263">
        <f>'КУ для 240 кГц '!W79</f>
        <v>12</v>
      </c>
      <c r="W73" s="263" t="str">
        <f t="shared" si="24"/>
        <v>C</v>
      </c>
      <c r="Y73">
        <f t="shared" si="25"/>
        <v>61732</v>
      </c>
      <c r="BJ73" s="266">
        <f t="shared" si="32"/>
        <v>68</v>
      </c>
      <c r="BK73" s="266">
        <f>'КУ для 240 кГц '!U77</f>
        <v>4</v>
      </c>
      <c r="BL73" s="261" t="str">
        <f t="shared" si="29"/>
        <v>4</v>
      </c>
      <c r="BN73" s="266"/>
      <c r="BO73" s="267">
        <f>'КУ для 240 кГц '!W77</f>
        <v>11</v>
      </c>
      <c r="BP73" s="262" t="str">
        <f t="shared" si="30"/>
        <v>B</v>
      </c>
      <c r="BR73" s="261">
        <f t="shared" si="31"/>
        <v>61740</v>
      </c>
      <c r="BS73">
        <f t="shared" si="33"/>
        <v>514</v>
      </c>
    </row>
    <row r="74" spans="2:71">
      <c r="B74" s="266">
        <f t="shared" si="26"/>
        <v>71</v>
      </c>
      <c r="C74" s="266">
        <v>5</v>
      </c>
      <c r="D74" s="261">
        <f t="shared" si="17"/>
        <v>5</v>
      </c>
      <c r="F74" s="266">
        <f t="shared" si="18"/>
        <v>71</v>
      </c>
      <c r="G74" s="267">
        <v>6</v>
      </c>
      <c r="H74" s="262">
        <f t="shared" si="19"/>
        <v>6</v>
      </c>
      <c r="J74" s="261">
        <f t="shared" si="20"/>
        <v>62750</v>
      </c>
      <c r="L74">
        <f>AF97*AF98</f>
        <v>2632</v>
      </c>
      <c r="M74">
        <f t="shared" si="27"/>
        <v>5685.1200000000008</v>
      </c>
      <c r="N74">
        <f>'КУ для 240 кГц '!L80</f>
        <v>4330.0678329725906</v>
      </c>
      <c r="O74">
        <f t="shared" si="28"/>
        <v>-1355.0521670274102</v>
      </c>
      <c r="Q74" s="263">
        <f t="shared" si="21"/>
        <v>71</v>
      </c>
      <c r="R74" s="263">
        <f>'КУ для 240 кГц '!U80</f>
        <v>4</v>
      </c>
      <c r="S74" s="263" t="str">
        <f t="shared" si="22"/>
        <v>4</v>
      </c>
      <c r="T74" s="263"/>
      <c r="U74" s="263">
        <f t="shared" si="23"/>
        <v>71</v>
      </c>
      <c r="V74" s="263">
        <f>'КУ для 240 кГц '!W80</f>
        <v>9</v>
      </c>
      <c r="W74" s="263" t="str">
        <f t="shared" si="24"/>
        <v>9</v>
      </c>
      <c r="Y74">
        <f t="shared" si="25"/>
        <v>62244</v>
      </c>
      <c r="BJ74" s="266">
        <f t="shared" si="32"/>
        <v>69</v>
      </c>
      <c r="BK74" s="266">
        <f>'КУ для 240 кГц '!U78</f>
        <v>5</v>
      </c>
      <c r="BL74" s="261" t="str">
        <f t="shared" si="29"/>
        <v>5</v>
      </c>
      <c r="BN74" s="266"/>
      <c r="BO74" s="267">
        <f>'КУ для 240 кГц '!W78</f>
        <v>8</v>
      </c>
      <c r="BP74" s="262" t="str">
        <f t="shared" si="30"/>
        <v>8</v>
      </c>
      <c r="BR74" s="261">
        <f t="shared" si="31"/>
        <v>62248</v>
      </c>
      <c r="BS74">
        <f t="shared" si="33"/>
        <v>508</v>
      </c>
    </row>
    <row r="75" spans="2:71">
      <c r="B75" s="266">
        <f t="shared" si="26"/>
        <v>72</v>
      </c>
      <c r="C75" s="266">
        <v>5</v>
      </c>
      <c r="D75" s="261">
        <f t="shared" si="17"/>
        <v>5</v>
      </c>
      <c r="F75" s="266">
        <f t="shared" si="18"/>
        <v>72</v>
      </c>
      <c r="G75" s="267">
        <v>5</v>
      </c>
      <c r="H75" s="262">
        <f t="shared" si="19"/>
        <v>5</v>
      </c>
      <c r="J75" s="261">
        <f t="shared" si="20"/>
        <v>63001</v>
      </c>
      <c r="L75">
        <f>AF97*AF97</f>
        <v>3136</v>
      </c>
      <c r="M75">
        <f t="shared" si="27"/>
        <v>6773.76</v>
      </c>
      <c r="N75">
        <f>'КУ для 240 кГц '!L81</f>
        <v>4569.7274293136425</v>
      </c>
      <c r="O75">
        <f t="shared" si="28"/>
        <v>-2204.0325706863578</v>
      </c>
      <c r="Q75" s="263">
        <f t="shared" si="21"/>
        <v>72</v>
      </c>
      <c r="R75" s="263">
        <f>'КУ для 240 кГц '!U81</f>
        <v>5</v>
      </c>
      <c r="S75" s="263" t="str">
        <f t="shared" si="22"/>
        <v>5</v>
      </c>
      <c r="T75" s="263"/>
      <c r="U75" s="263">
        <f t="shared" si="23"/>
        <v>72</v>
      </c>
      <c r="V75" s="263">
        <f>'КУ для 240 кГц '!W81</f>
        <v>7</v>
      </c>
      <c r="W75" s="263" t="str">
        <f t="shared" si="24"/>
        <v>7</v>
      </c>
      <c r="Y75">
        <f t="shared" si="25"/>
        <v>62499</v>
      </c>
      <c r="BJ75" s="266">
        <f t="shared" si="32"/>
        <v>70</v>
      </c>
      <c r="BK75" s="266">
        <f>'КУ для 240 кГц '!U79</f>
        <v>3</v>
      </c>
      <c r="BL75" s="261" t="str">
        <f t="shared" si="29"/>
        <v>3</v>
      </c>
      <c r="BN75" s="266"/>
      <c r="BO75" s="267">
        <f>'КУ для 240 кГц '!W79</f>
        <v>12</v>
      </c>
      <c r="BP75" s="262" t="str">
        <f t="shared" si="30"/>
        <v>C</v>
      </c>
      <c r="BR75" s="261">
        <f t="shared" si="31"/>
        <v>61732</v>
      </c>
      <c r="BS75">
        <f t="shared" si="33"/>
        <v>-516</v>
      </c>
    </row>
    <row r="76" spans="2:71">
      <c r="BJ76" s="266">
        <f t="shared" si="32"/>
        <v>71</v>
      </c>
      <c r="BK76" s="266">
        <f>'КУ для 240 кГц '!U80</f>
        <v>4</v>
      </c>
      <c r="BL76" s="261" t="str">
        <f t="shared" si="29"/>
        <v>4</v>
      </c>
      <c r="BN76" s="266"/>
      <c r="BO76" s="267">
        <f>'КУ для 240 кГц '!W80</f>
        <v>9</v>
      </c>
      <c r="BP76" s="262" t="str">
        <f t="shared" si="30"/>
        <v>9</v>
      </c>
      <c r="BR76" s="261">
        <f t="shared" si="31"/>
        <v>62244</v>
      </c>
      <c r="BS76">
        <f t="shared" si="33"/>
        <v>512</v>
      </c>
    </row>
    <row r="77" spans="2:71">
      <c r="BJ77" s="266">
        <f t="shared" si="32"/>
        <v>72</v>
      </c>
      <c r="BK77" s="266">
        <f>'КУ для 240 кГц '!U81</f>
        <v>5</v>
      </c>
      <c r="BL77" s="261" t="str">
        <f t="shared" si="29"/>
        <v>5</v>
      </c>
      <c r="BN77" s="266"/>
      <c r="BO77" s="267">
        <f>'КУ для 240 кГц '!W81</f>
        <v>7</v>
      </c>
      <c r="BP77" s="262" t="str">
        <f t="shared" si="30"/>
        <v>7</v>
      </c>
      <c r="BR77" s="261">
        <f t="shared" si="31"/>
        <v>62499</v>
      </c>
      <c r="BS77">
        <f t="shared" si="33"/>
        <v>255</v>
      </c>
    </row>
    <row r="93" spans="31:40">
      <c r="AE93" s="270">
        <v>1</v>
      </c>
      <c r="AF93">
        <v>205</v>
      </c>
      <c r="AG93" s="270">
        <v>55</v>
      </c>
      <c r="AH93">
        <v>4.9000000000000004</v>
      </c>
      <c r="AI93" s="270">
        <v>109</v>
      </c>
      <c r="AJ93">
        <v>2.4</v>
      </c>
      <c r="AK93" s="270">
        <v>163</v>
      </c>
      <c r="AL93">
        <v>1.58</v>
      </c>
      <c r="AM93" s="270">
        <v>217</v>
      </c>
      <c r="AN93">
        <v>1.19</v>
      </c>
    </row>
    <row r="94" spans="31:40">
      <c r="AE94" s="270">
        <f>AE93+1</f>
        <v>2</v>
      </c>
      <c r="AF94">
        <v>125</v>
      </c>
      <c r="AG94" s="270">
        <f>AG93+1</f>
        <v>56</v>
      </c>
      <c r="AH94">
        <v>4.8</v>
      </c>
      <c r="AI94" s="270">
        <f>AI93+1</f>
        <v>110</v>
      </c>
      <c r="AJ94">
        <v>2.38</v>
      </c>
      <c r="AK94" s="270">
        <f>AK93+1</f>
        <v>164</v>
      </c>
      <c r="AL94">
        <v>1.57</v>
      </c>
      <c r="AM94" s="270">
        <f>AM93+1</f>
        <v>218</v>
      </c>
      <c r="AN94">
        <v>1.19</v>
      </c>
    </row>
    <row r="95" spans="31:40">
      <c r="AE95" s="270">
        <f t="shared" ref="AE95:AE144" si="34">AE94+1</f>
        <v>3</v>
      </c>
      <c r="AF95">
        <v>79</v>
      </c>
      <c r="AG95" s="270">
        <f t="shared" ref="AG95:AG146" si="35">AG94+1</f>
        <v>57</v>
      </c>
      <c r="AH95">
        <v>4.7</v>
      </c>
      <c r="AI95" s="270">
        <f t="shared" ref="AI95:AI146" si="36">AI94+1</f>
        <v>111</v>
      </c>
      <c r="AJ95">
        <v>2.35</v>
      </c>
      <c r="AK95" s="270">
        <f t="shared" ref="AK95:AK146" si="37">AK94+1</f>
        <v>165</v>
      </c>
      <c r="AL95">
        <v>1.56</v>
      </c>
      <c r="AM95" s="270">
        <f t="shared" ref="AM95:AM132" si="38">AM94+1</f>
        <v>219</v>
      </c>
      <c r="AN95">
        <v>1.18</v>
      </c>
    </row>
    <row r="96" spans="31:40">
      <c r="AE96" s="270">
        <f t="shared" si="34"/>
        <v>4</v>
      </c>
      <c r="AF96">
        <v>69</v>
      </c>
      <c r="AG96" s="270">
        <f t="shared" si="35"/>
        <v>58</v>
      </c>
      <c r="AH96">
        <v>4.5999999999999996</v>
      </c>
      <c r="AI96" s="270">
        <f t="shared" si="36"/>
        <v>112</v>
      </c>
      <c r="AJ96">
        <v>2.3199999999999998</v>
      </c>
      <c r="AK96" s="270">
        <f t="shared" si="37"/>
        <v>166</v>
      </c>
      <c r="AL96">
        <v>1.55</v>
      </c>
      <c r="AM96" s="270">
        <f t="shared" si="38"/>
        <v>220</v>
      </c>
      <c r="AN96">
        <v>1.17</v>
      </c>
    </row>
    <row r="97" spans="31:40">
      <c r="AE97" s="270">
        <f t="shared" si="34"/>
        <v>5</v>
      </c>
      <c r="AF97">
        <v>56</v>
      </c>
      <c r="AG97" s="270">
        <f t="shared" si="35"/>
        <v>59</v>
      </c>
      <c r="AH97">
        <v>4.5</v>
      </c>
      <c r="AI97" s="270">
        <f t="shared" si="36"/>
        <v>113</v>
      </c>
      <c r="AJ97">
        <v>2.2999999999999998</v>
      </c>
      <c r="AK97" s="270">
        <f t="shared" si="37"/>
        <v>167</v>
      </c>
      <c r="AL97">
        <v>1.55</v>
      </c>
      <c r="AM97" s="270">
        <f t="shared" si="38"/>
        <v>221</v>
      </c>
      <c r="AN97">
        <v>1.17</v>
      </c>
    </row>
    <row r="98" spans="31:40">
      <c r="AE98" s="270">
        <f t="shared" si="34"/>
        <v>6</v>
      </c>
      <c r="AF98">
        <v>47</v>
      </c>
      <c r="AG98" s="270">
        <f t="shared" si="35"/>
        <v>60</v>
      </c>
      <c r="AH98">
        <v>4.4000000000000004</v>
      </c>
      <c r="AI98" s="270">
        <f t="shared" si="36"/>
        <v>114</v>
      </c>
      <c r="AJ98">
        <v>2.2799999999999998</v>
      </c>
      <c r="AK98" s="270">
        <f t="shared" si="37"/>
        <v>168</v>
      </c>
      <c r="AL98">
        <v>1.54</v>
      </c>
      <c r="AM98" s="270">
        <f t="shared" si="38"/>
        <v>222</v>
      </c>
      <c r="AN98">
        <v>1.1599999999999999</v>
      </c>
    </row>
    <row r="99" spans="31:40">
      <c r="AE99" s="270">
        <f t="shared" si="34"/>
        <v>7</v>
      </c>
      <c r="AF99">
        <v>38</v>
      </c>
      <c r="AG99" s="270">
        <f t="shared" si="35"/>
        <v>61</v>
      </c>
      <c r="AH99">
        <v>4.3</v>
      </c>
      <c r="AI99" s="270">
        <f t="shared" si="36"/>
        <v>115</v>
      </c>
      <c r="AJ99">
        <v>2.2599999999999998</v>
      </c>
      <c r="AK99" s="270">
        <f t="shared" si="37"/>
        <v>169</v>
      </c>
      <c r="AL99">
        <v>1.53</v>
      </c>
      <c r="AM99" s="270">
        <f t="shared" si="38"/>
        <v>223</v>
      </c>
      <c r="AN99">
        <v>1.1599999999999999</v>
      </c>
    </row>
    <row r="100" spans="31:40">
      <c r="AE100" s="270">
        <f t="shared" si="34"/>
        <v>8</v>
      </c>
      <c r="AF100">
        <v>32</v>
      </c>
      <c r="AG100" s="270">
        <f t="shared" si="35"/>
        <v>62</v>
      </c>
      <c r="AH100">
        <v>4.2</v>
      </c>
      <c r="AI100" s="270">
        <f t="shared" si="36"/>
        <v>116</v>
      </c>
      <c r="AJ100">
        <v>2.2400000000000002</v>
      </c>
      <c r="AK100" s="270">
        <f t="shared" si="37"/>
        <v>170</v>
      </c>
      <c r="AL100">
        <v>1.52</v>
      </c>
      <c r="AM100" s="270">
        <f t="shared" si="38"/>
        <v>224</v>
      </c>
      <c r="AN100">
        <v>1.1499999999999999</v>
      </c>
    </row>
    <row r="101" spans="31:40">
      <c r="AE101" s="270">
        <f t="shared" si="34"/>
        <v>9</v>
      </c>
      <c r="AF101">
        <v>28</v>
      </c>
      <c r="AG101" s="270">
        <f t="shared" si="35"/>
        <v>63</v>
      </c>
      <c r="AH101">
        <v>4.0999999999999996</v>
      </c>
      <c r="AI101" s="270">
        <f t="shared" si="36"/>
        <v>117</v>
      </c>
      <c r="AJ101">
        <v>2.23</v>
      </c>
      <c r="AK101" s="270">
        <f t="shared" si="37"/>
        <v>171</v>
      </c>
      <c r="AL101">
        <v>1.51</v>
      </c>
      <c r="AM101" s="270">
        <f t="shared" si="38"/>
        <v>225</v>
      </c>
      <c r="AN101">
        <v>1.1499999999999999</v>
      </c>
    </row>
    <row r="102" spans="31:40">
      <c r="AE102" s="270">
        <f t="shared" si="34"/>
        <v>10</v>
      </c>
      <c r="AF102">
        <v>26</v>
      </c>
      <c r="AG102" s="270">
        <f t="shared" si="35"/>
        <v>64</v>
      </c>
      <c r="AH102">
        <v>4</v>
      </c>
      <c r="AI102" s="270">
        <f t="shared" si="36"/>
        <v>118</v>
      </c>
      <c r="AJ102">
        <v>2.2000000000000002</v>
      </c>
      <c r="AK102" s="270">
        <f t="shared" si="37"/>
        <v>172</v>
      </c>
      <c r="AL102">
        <v>1.5</v>
      </c>
      <c r="AM102" s="270">
        <f t="shared" si="38"/>
        <v>226</v>
      </c>
      <c r="AN102">
        <v>1.1399999999999999</v>
      </c>
    </row>
    <row r="103" spans="31:40">
      <c r="AE103" s="270">
        <f t="shared" si="34"/>
        <v>11</v>
      </c>
      <c r="AF103">
        <v>25</v>
      </c>
      <c r="AG103" s="270">
        <f t="shared" si="35"/>
        <v>65</v>
      </c>
      <c r="AH103">
        <v>3.97</v>
      </c>
      <c r="AI103" s="270">
        <f t="shared" si="36"/>
        <v>119</v>
      </c>
      <c r="AJ103">
        <v>2.1800000000000002</v>
      </c>
      <c r="AK103" s="270">
        <f t="shared" si="37"/>
        <v>173</v>
      </c>
      <c r="AL103">
        <v>1.49</v>
      </c>
      <c r="AM103" s="270">
        <f t="shared" si="38"/>
        <v>227</v>
      </c>
      <c r="AN103">
        <v>1.1399999999999999</v>
      </c>
    </row>
    <row r="104" spans="31:40">
      <c r="AE104" s="270">
        <f t="shared" si="34"/>
        <v>12</v>
      </c>
      <c r="AF104">
        <v>24</v>
      </c>
      <c r="AG104" s="270">
        <f t="shared" si="35"/>
        <v>66</v>
      </c>
      <c r="AH104">
        <v>3.95</v>
      </c>
      <c r="AI104" s="270">
        <f t="shared" si="36"/>
        <v>120</v>
      </c>
      <c r="AJ104">
        <v>2.16</v>
      </c>
      <c r="AK104" s="270">
        <f t="shared" si="37"/>
        <v>174</v>
      </c>
      <c r="AL104">
        <v>1.49</v>
      </c>
      <c r="AM104" s="270">
        <f t="shared" si="38"/>
        <v>228</v>
      </c>
      <c r="AN104">
        <v>1.1299999999999999</v>
      </c>
    </row>
    <row r="105" spans="31:40">
      <c r="AE105" s="270">
        <f t="shared" si="34"/>
        <v>13</v>
      </c>
      <c r="AF105">
        <v>22</v>
      </c>
      <c r="AG105" s="270">
        <f t="shared" si="35"/>
        <v>67</v>
      </c>
      <c r="AH105">
        <v>3.9</v>
      </c>
      <c r="AI105" s="270">
        <f t="shared" si="36"/>
        <v>121</v>
      </c>
      <c r="AJ105">
        <v>2.15</v>
      </c>
      <c r="AK105" s="270">
        <f t="shared" si="37"/>
        <v>175</v>
      </c>
      <c r="AL105">
        <v>1.48</v>
      </c>
      <c r="AM105" s="270">
        <f t="shared" si="38"/>
        <v>229</v>
      </c>
      <c r="AN105">
        <v>1.1299999999999999</v>
      </c>
    </row>
    <row r="106" spans="31:40">
      <c r="AE106" s="270">
        <f t="shared" si="34"/>
        <v>14</v>
      </c>
      <c r="AF106">
        <v>20</v>
      </c>
      <c r="AG106" s="270">
        <f t="shared" si="35"/>
        <v>68</v>
      </c>
      <c r="AH106">
        <v>3.85</v>
      </c>
      <c r="AI106" s="270">
        <f t="shared" si="36"/>
        <v>122</v>
      </c>
      <c r="AJ106">
        <v>2.13</v>
      </c>
      <c r="AK106" s="270">
        <f t="shared" si="37"/>
        <v>176</v>
      </c>
      <c r="AL106">
        <v>1.48</v>
      </c>
      <c r="AM106" s="270">
        <f t="shared" si="38"/>
        <v>230</v>
      </c>
      <c r="AN106">
        <v>1.1200000000000001</v>
      </c>
    </row>
    <row r="107" spans="31:40">
      <c r="AE107" s="270">
        <f t="shared" si="34"/>
        <v>15</v>
      </c>
      <c r="AF107">
        <v>19</v>
      </c>
      <c r="AG107" s="270">
        <f t="shared" si="35"/>
        <v>69</v>
      </c>
      <c r="AH107">
        <v>3.8</v>
      </c>
      <c r="AI107" s="270">
        <f t="shared" si="36"/>
        <v>123</v>
      </c>
      <c r="AJ107">
        <v>2.12</v>
      </c>
      <c r="AK107" s="270">
        <f t="shared" si="37"/>
        <v>177</v>
      </c>
      <c r="AL107">
        <v>1.48</v>
      </c>
      <c r="AM107" s="270">
        <f t="shared" si="38"/>
        <v>231</v>
      </c>
      <c r="AN107">
        <v>1.1200000000000001</v>
      </c>
    </row>
    <row r="108" spans="31:40">
      <c r="AE108" s="270">
        <f t="shared" si="34"/>
        <v>16</v>
      </c>
      <c r="AF108">
        <v>16.5</v>
      </c>
      <c r="AG108" s="270">
        <f t="shared" si="35"/>
        <v>70</v>
      </c>
      <c r="AH108">
        <v>3.75</v>
      </c>
      <c r="AI108" s="270">
        <f t="shared" si="36"/>
        <v>124</v>
      </c>
      <c r="AJ108">
        <v>2.1</v>
      </c>
      <c r="AK108" s="270">
        <f t="shared" si="37"/>
        <v>178</v>
      </c>
      <c r="AL108">
        <v>1.47</v>
      </c>
      <c r="AM108" s="270">
        <f t="shared" si="38"/>
        <v>232</v>
      </c>
      <c r="AN108">
        <v>1.1100000000000001</v>
      </c>
    </row>
    <row r="109" spans="31:40">
      <c r="AE109" s="270">
        <f t="shared" si="34"/>
        <v>17</v>
      </c>
      <c r="AF109">
        <v>15.6</v>
      </c>
      <c r="AG109" s="270">
        <f t="shared" si="35"/>
        <v>71</v>
      </c>
      <c r="AH109">
        <v>3.7</v>
      </c>
      <c r="AI109" s="270">
        <f t="shared" si="36"/>
        <v>125</v>
      </c>
      <c r="AJ109">
        <v>2.08</v>
      </c>
      <c r="AK109" s="270">
        <f t="shared" si="37"/>
        <v>179</v>
      </c>
      <c r="AL109">
        <v>1.46</v>
      </c>
      <c r="AM109" s="270">
        <f t="shared" si="38"/>
        <v>233</v>
      </c>
      <c r="AN109">
        <v>1.1100000000000001</v>
      </c>
    </row>
    <row r="110" spans="31:40">
      <c r="AE110" s="270">
        <f t="shared" si="34"/>
        <v>18</v>
      </c>
      <c r="AF110">
        <v>15</v>
      </c>
      <c r="AG110" s="270">
        <f t="shared" si="35"/>
        <v>72</v>
      </c>
      <c r="AH110">
        <v>3.65</v>
      </c>
      <c r="AI110" s="270">
        <f t="shared" si="36"/>
        <v>126</v>
      </c>
      <c r="AJ110">
        <v>2.06</v>
      </c>
      <c r="AK110" s="270">
        <f t="shared" si="37"/>
        <v>180</v>
      </c>
      <c r="AL110">
        <v>1.45</v>
      </c>
      <c r="AM110" s="270">
        <f t="shared" si="38"/>
        <v>234</v>
      </c>
      <c r="AN110">
        <v>1.1000000000000001</v>
      </c>
    </row>
    <row r="111" spans="31:40">
      <c r="AE111" s="270">
        <f t="shared" si="34"/>
        <v>19</v>
      </c>
      <c r="AF111">
        <v>14</v>
      </c>
      <c r="AG111" s="270">
        <f t="shared" si="35"/>
        <v>73</v>
      </c>
      <c r="AH111">
        <v>3.6</v>
      </c>
      <c r="AI111" s="270">
        <f t="shared" si="36"/>
        <v>127</v>
      </c>
      <c r="AJ111">
        <v>2.04</v>
      </c>
      <c r="AK111" s="270">
        <f t="shared" si="37"/>
        <v>181</v>
      </c>
      <c r="AL111">
        <v>1.44</v>
      </c>
      <c r="AM111" s="270">
        <f t="shared" si="38"/>
        <v>235</v>
      </c>
      <c r="AN111">
        <v>1.1000000000000001</v>
      </c>
    </row>
    <row r="112" spans="31:40">
      <c r="AE112" s="270">
        <f t="shared" si="34"/>
        <v>20</v>
      </c>
      <c r="AF112">
        <v>13.5</v>
      </c>
      <c r="AG112" s="270">
        <f t="shared" si="35"/>
        <v>74</v>
      </c>
      <c r="AH112">
        <v>3.55</v>
      </c>
      <c r="AI112" s="270">
        <f t="shared" si="36"/>
        <v>128</v>
      </c>
      <c r="AJ112">
        <v>2.02</v>
      </c>
      <c r="AK112" s="270">
        <f t="shared" si="37"/>
        <v>182</v>
      </c>
      <c r="AL112">
        <v>1.43</v>
      </c>
      <c r="AM112" s="270">
        <f t="shared" si="38"/>
        <v>236</v>
      </c>
      <c r="AN112">
        <v>1.0900000000000001</v>
      </c>
    </row>
    <row r="113" spans="31:40">
      <c r="AE113" s="270">
        <f t="shared" si="34"/>
        <v>21</v>
      </c>
      <c r="AF113">
        <v>13</v>
      </c>
      <c r="AG113" s="270">
        <f t="shared" si="35"/>
        <v>75</v>
      </c>
      <c r="AH113">
        <v>3.5</v>
      </c>
      <c r="AI113" s="270">
        <f t="shared" si="36"/>
        <v>129</v>
      </c>
      <c r="AJ113">
        <v>2.0099999999999998</v>
      </c>
      <c r="AK113" s="270">
        <f t="shared" si="37"/>
        <v>183</v>
      </c>
      <c r="AL113">
        <v>1.42</v>
      </c>
      <c r="AM113" s="270">
        <f t="shared" si="38"/>
        <v>237</v>
      </c>
      <c r="AN113">
        <v>1.0900000000000001</v>
      </c>
    </row>
    <row r="114" spans="31:40">
      <c r="AE114" s="270">
        <f t="shared" si="34"/>
        <v>22</v>
      </c>
      <c r="AF114">
        <v>12.3</v>
      </c>
      <c r="AG114" s="270">
        <f t="shared" si="35"/>
        <v>76</v>
      </c>
      <c r="AH114">
        <v>3.45</v>
      </c>
      <c r="AI114" s="270">
        <f t="shared" si="36"/>
        <v>130</v>
      </c>
      <c r="AJ114">
        <v>2</v>
      </c>
      <c r="AK114" s="270">
        <f t="shared" si="37"/>
        <v>184</v>
      </c>
      <c r="AL114">
        <v>1.41</v>
      </c>
      <c r="AM114" s="270">
        <f t="shared" si="38"/>
        <v>238</v>
      </c>
      <c r="AN114">
        <v>1.08</v>
      </c>
    </row>
    <row r="115" spans="31:40">
      <c r="AE115" s="270">
        <f t="shared" si="34"/>
        <v>23</v>
      </c>
      <c r="AF115">
        <v>12</v>
      </c>
      <c r="AG115" s="270">
        <f t="shared" si="35"/>
        <v>77</v>
      </c>
      <c r="AH115">
        <v>3.4</v>
      </c>
      <c r="AI115" s="270">
        <f t="shared" si="36"/>
        <v>131</v>
      </c>
      <c r="AJ115">
        <v>1.99</v>
      </c>
      <c r="AK115" s="270">
        <f t="shared" si="37"/>
        <v>185</v>
      </c>
      <c r="AL115">
        <v>1.4</v>
      </c>
      <c r="AM115" s="270">
        <f t="shared" si="38"/>
        <v>239</v>
      </c>
      <c r="AN115">
        <v>1.08</v>
      </c>
    </row>
    <row r="116" spans="31:40">
      <c r="AE116" s="270">
        <f t="shared" si="34"/>
        <v>24</v>
      </c>
      <c r="AF116">
        <v>11.2</v>
      </c>
      <c r="AG116" s="270">
        <f t="shared" si="35"/>
        <v>78</v>
      </c>
      <c r="AH116">
        <v>3.35</v>
      </c>
      <c r="AI116" s="270">
        <f t="shared" si="36"/>
        <v>132</v>
      </c>
      <c r="AJ116">
        <v>1.97</v>
      </c>
      <c r="AK116" s="270">
        <f t="shared" si="37"/>
        <v>186</v>
      </c>
      <c r="AL116">
        <v>1.4</v>
      </c>
      <c r="AM116" s="270">
        <f t="shared" si="38"/>
        <v>240</v>
      </c>
      <c r="AN116">
        <v>1.07</v>
      </c>
    </row>
    <row r="117" spans="31:40">
      <c r="AE117" s="270">
        <f t="shared" si="34"/>
        <v>25</v>
      </c>
      <c r="AF117">
        <v>11</v>
      </c>
      <c r="AG117" s="270">
        <f t="shared" si="35"/>
        <v>79</v>
      </c>
      <c r="AH117">
        <v>3.3</v>
      </c>
      <c r="AI117" s="270">
        <f t="shared" si="36"/>
        <v>133</v>
      </c>
      <c r="AJ117">
        <v>1.95</v>
      </c>
      <c r="AK117" s="270">
        <f t="shared" si="37"/>
        <v>187</v>
      </c>
      <c r="AL117">
        <v>1.39</v>
      </c>
      <c r="AM117" s="270">
        <f t="shared" si="38"/>
        <v>241</v>
      </c>
      <c r="AN117">
        <v>1.07</v>
      </c>
    </row>
    <row r="118" spans="31:40">
      <c r="AE118" s="270">
        <f t="shared" si="34"/>
        <v>26</v>
      </c>
      <c r="AF118">
        <v>10.3</v>
      </c>
      <c r="AG118" s="270">
        <f t="shared" si="35"/>
        <v>80</v>
      </c>
      <c r="AH118">
        <v>3.25</v>
      </c>
      <c r="AI118" s="270">
        <f t="shared" si="36"/>
        <v>134</v>
      </c>
      <c r="AJ118">
        <v>1.93</v>
      </c>
      <c r="AK118" s="270">
        <f t="shared" si="37"/>
        <v>188</v>
      </c>
      <c r="AL118">
        <v>1.38</v>
      </c>
      <c r="AM118" s="270">
        <f t="shared" si="38"/>
        <v>242</v>
      </c>
      <c r="AN118">
        <v>1.06</v>
      </c>
    </row>
    <row r="119" spans="31:40">
      <c r="AE119" s="270">
        <f t="shared" si="34"/>
        <v>27</v>
      </c>
      <c r="AF119">
        <v>10</v>
      </c>
      <c r="AG119" s="270">
        <f t="shared" si="35"/>
        <v>81</v>
      </c>
      <c r="AH119">
        <v>3.2</v>
      </c>
      <c r="AI119" s="270">
        <f t="shared" si="36"/>
        <v>135</v>
      </c>
      <c r="AJ119">
        <v>1.92</v>
      </c>
      <c r="AK119" s="270">
        <f t="shared" si="37"/>
        <v>189</v>
      </c>
      <c r="AL119">
        <v>1.37</v>
      </c>
      <c r="AM119" s="270">
        <f t="shared" si="38"/>
        <v>243</v>
      </c>
      <c r="AN119">
        <v>1.06</v>
      </c>
    </row>
    <row r="120" spans="31:40">
      <c r="AE120" s="270">
        <f t="shared" si="34"/>
        <v>28</v>
      </c>
      <c r="AF120">
        <v>9.5</v>
      </c>
      <c r="AG120" s="270">
        <f t="shared" si="35"/>
        <v>82</v>
      </c>
      <c r="AH120">
        <v>3.15</v>
      </c>
      <c r="AI120" s="270">
        <f t="shared" si="36"/>
        <v>136</v>
      </c>
      <c r="AJ120">
        <v>1.9</v>
      </c>
      <c r="AK120" s="270">
        <f t="shared" si="37"/>
        <v>190</v>
      </c>
      <c r="AL120">
        <v>1.36</v>
      </c>
      <c r="AM120" s="270">
        <f t="shared" si="38"/>
        <v>244</v>
      </c>
      <c r="AN120">
        <v>1.06</v>
      </c>
    </row>
    <row r="121" spans="31:40">
      <c r="AE121" s="270">
        <f t="shared" si="34"/>
        <v>29</v>
      </c>
      <c r="AF121">
        <v>9.3000000000000007</v>
      </c>
      <c r="AG121" s="270">
        <f t="shared" si="35"/>
        <v>83</v>
      </c>
      <c r="AH121">
        <v>3.1</v>
      </c>
      <c r="AI121" s="270">
        <f t="shared" si="36"/>
        <v>137</v>
      </c>
      <c r="AJ121">
        <v>1.89</v>
      </c>
      <c r="AK121" s="270">
        <f t="shared" si="37"/>
        <v>191</v>
      </c>
      <c r="AL121">
        <v>1.36</v>
      </c>
      <c r="AM121" s="270">
        <f t="shared" si="38"/>
        <v>245</v>
      </c>
      <c r="AN121">
        <v>1.05</v>
      </c>
    </row>
    <row r="122" spans="31:40">
      <c r="AE122" s="270">
        <f t="shared" si="34"/>
        <v>30</v>
      </c>
      <c r="AF122">
        <v>9</v>
      </c>
      <c r="AG122" s="270">
        <f t="shared" si="35"/>
        <v>84</v>
      </c>
      <c r="AH122">
        <v>3.05</v>
      </c>
      <c r="AI122" s="270">
        <f t="shared" si="36"/>
        <v>138</v>
      </c>
      <c r="AJ122">
        <v>1.88</v>
      </c>
      <c r="AK122" s="270">
        <f t="shared" si="37"/>
        <v>192</v>
      </c>
      <c r="AL122">
        <v>1.35</v>
      </c>
      <c r="AM122" s="270">
        <f t="shared" si="38"/>
        <v>246</v>
      </c>
      <c r="AN122">
        <v>1.05</v>
      </c>
    </row>
    <row r="123" spans="31:40">
      <c r="AE123" s="270">
        <f t="shared" si="34"/>
        <v>31</v>
      </c>
      <c r="AF123">
        <v>8.5</v>
      </c>
      <c r="AG123" s="270">
        <f t="shared" si="35"/>
        <v>85</v>
      </c>
      <c r="AH123">
        <v>3</v>
      </c>
      <c r="AI123" s="270">
        <f t="shared" si="36"/>
        <v>139</v>
      </c>
      <c r="AJ123">
        <v>1.87</v>
      </c>
      <c r="AK123" s="270">
        <f t="shared" si="37"/>
        <v>193</v>
      </c>
      <c r="AL123">
        <v>1.34</v>
      </c>
      <c r="AM123" s="270">
        <f t="shared" si="38"/>
        <v>247</v>
      </c>
      <c r="AN123">
        <v>1.04</v>
      </c>
    </row>
    <row r="124" spans="31:40">
      <c r="AE124" s="270">
        <f t="shared" si="34"/>
        <v>32</v>
      </c>
      <c r="AF124">
        <v>8.1</v>
      </c>
      <c r="AG124" s="270">
        <f t="shared" si="35"/>
        <v>86</v>
      </c>
      <c r="AH124">
        <v>2.95</v>
      </c>
      <c r="AI124" s="270">
        <f t="shared" si="36"/>
        <v>140</v>
      </c>
      <c r="AJ124">
        <v>1.85</v>
      </c>
      <c r="AK124" s="270">
        <f t="shared" si="37"/>
        <v>194</v>
      </c>
      <c r="AL124">
        <v>1.34</v>
      </c>
      <c r="AM124" s="270">
        <f t="shared" si="38"/>
        <v>248</v>
      </c>
      <c r="AN124">
        <v>1.04</v>
      </c>
    </row>
    <row r="125" spans="31:40">
      <c r="AE125" s="270">
        <f t="shared" si="34"/>
        <v>33</v>
      </c>
      <c r="AF125">
        <v>7.8</v>
      </c>
      <c r="AG125" s="270">
        <f t="shared" si="35"/>
        <v>87</v>
      </c>
      <c r="AH125">
        <v>2.9</v>
      </c>
      <c r="AI125" s="270">
        <f t="shared" si="36"/>
        <v>141</v>
      </c>
      <c r="AJ125">
        <v>1.83</v>
      </c>
      <c r="AK125" s="270">
        <f t="shared" si="37"/>
        <v>195</v>
      </c>
      <c r="AL125">
        <v>1.33</v>
      </c>
      <c r="AM125" s="270">
        <f t="shared" si="38"/>
        <v>249</v>
      </c>
      <c r="AN125">
        <v>1.03</v>
      </c>
    </row>
    <row r="126" spans="31:40">
      <c r="AE126" s="270">
        <f t="shared" si="34"/>
        <v>34</v>
      </c>
      <c r="AF126">
        <v>7.6</v>
      </c>
      <c r="AG126" s="270">
        <f t="shared" si="35"/>
        <v>88</v>
      </c>
      <c r="AH126">
        <v>2.88</v>
      </c>
      <c r="AI126" s="270">
        <f t="shared" si="36"/>
        <v>142</v>
      </c>
      <c r="AJ126">
        <v>1.82</v>
      </c>
      <c r="AK126" s="270">
        <f t="shared" si="37"/>
        <v>196</v>
      </c>
      <c r="AL126">
        <v>1.32</v>
      </c>
      <c r="AM126" s="270">
        <f t="shared" si="38"/>
        <v>250</v>
      </c>
      <c r="AN126">
        <v>1.03</v>
      </c>
    </row>
    <row r="127" spans="31:40">
      <c r="AE127" s="270">
        <f t="shared" si="34"/>
        <v>35</v>
      </c>
      <c r="AF127">
        <v>7.5</v>
      </c>
      <c r="AG127" s="270">
        <f t="shared" si="35"/>
        <v>89</v>
      </c>
      <c r="AH127">
        <v>2.85</v>
      </c>
      <c r="AI127" s="270">
        <f t="shared" si="36"/>
        <v>143</v>
      </c>
      <c r="AJ127">
        <v>1.81</v>
      </c>
      <c r="AK127" s="270">
        <f t="shared" si="37"/>
        <v>197</v>
      </c>
      <c r="AL127">
        <v>1.31</v>
      </c>
      <c r="AM127" s="270">
        <f t="shared" si="38"/>
        <v>251</v>
      </c>
      <c r="AN127">
        <v>1.02</v>
      </c>
    </row>
    <row r="128" spans="31:40">
      <c r="AE128" s="270">
        <f t="shared" si="34"/>
        <v>36</v>
      </c>
      <c r="AF128">
        <v>7.4</v>
      </c>
      <c r="AG128" s="270">
        <f t="shared" si="35"/>
        <v>90</v>
      </c>
      <c r="AH128">
        <v>2.82</v>
      </c>
      <c r="AI128" s="270">
        <f t="shared" si="36"/>
        <v>144</v>
      </c>
      <c r="AJ128">
        <v>1.8</v>
      </c>
      <c r="AK128" s="270">
        <f t="shared" si="37"/>
        <v>198</v>
      </c>
      <c r="AL128">
        <v>1.31</v>
      </c>
      <c r="AM128" s="270">
        <f t="shared" si="38"/>
        <v>252</v>
      </c>
      <c r="AN128">
        <v>1.02</v>
      </c>
    </row>
    <row r="129" spans="31:40">
      <c r="AE129" s="270">
        <f t="shared" si="34"/>
        <v>37</v>
      </c>
      <c r="AF129">
        <v>7.2</v>
      </c>
      <c r="AG129" s="270">
        <f t="shared" si="35"/>
        <v>91</v>
      </c>
      <c r="AH129">
        <v>2.8</v>
      </c>
      <c r="AI129" s="270">
        <f t="shared" si="36"/>
        <v>145</v>
      </c>
      <c r="AJ129">
        <v>1.79</v>
      </c>
      <c r="AK129" s="270">
        <f t="shared" si="37"/>
        <v>199</v>
      </c>
      <c r="AL129">
        <v>1.3</v>
      </c>
      <c r="AM129" s="270">
        <f t="shared" si="38"/>
        <v>253</v>
      </c>
      <c r="AN129">
        <v>1.02</v>
      </c>
    </row>
    <row r="130" spans="31:40">
      <c r="AE130" s="270">
        <f t="shared" si="34"/>
        <v>38</v>
      </c>
      <c r="AF130">
        <v>7</v>
      </c>
      <c r="AG130" s="270">
        <f t="shared" si="35"/>
        <v>92</v>
      </c>
      <c r="AH130">
        <v>2.79</v>
      </c>
      <c r="AI130" s="270">
        <f t="shared" si="36"/>
        <v>146</v>
      </c>
      <c r="AJ130">
        <v>1.78</v>
      </c>
      <c r="AK130" s="270">
        <f t="shared" si="37"/>
        <v>200</v>
      </c>
      <c r="AL130">
        <v>1.29</v>
      </c>
      <c r="AM130" s="270">
        <f t="shared" si="38"/>
        <v>254</v>
      </c>
      <c r="AN130">
        <v>1.01</v>
      </c>
    </row>
    <row r="131" spans="31:40">
      <c r="AE131" s="270">
        <f t="shared" si="34"/>
        <v>39</v>
      </c>
      <c r="AF131">
        <v>6.9</v>
      </c>
      <c r="AG131" s="270">
        <f t="shared" si="35"/>
        <v>93</v>
      </c>
      <c r="AH131">
        <v>2.78</v>
      </c>
      <c r="AI131" s="270">
        <f t="shared" si="36"/>
        <v>147</v>
      </c>
      <c r="AJ131">
        <v>1.77</v>
      </c>
      <c r="AK131" s="270">
        <f t="shared" si="37"/>
        <v>201</v>
      </c>
      <c r="AL131">
        <v>1.29</v>
      </c>
      <c r="AM131" s="270">
        <f t="shared" si="38"/>
        <v>255</v>
      </c>
      <c r="AN131">
        <v>1.01</v>
      </c>
    </row>
    <row r="132" spans="31:40">
      <c r="AE132" s="270">
        <f t="shared" si="34"/>
        <v>40</v>
      </c>
      <c r="AF132">
        <v>6.7</v>
      </c>
      <c r="AG132" s="270">
        <f t="shared" si="35"/>
        <v>94</v>
      </c>
      <c r="AH132">
        <v>2.76</v>
      </c>
      <c r="AI132" s="270">
        <f t="shared" si="36"/>
        <v>148</v>
      </c>
      <c r="AJ132">
        <v>1.75</v>
      </c>
      <c r="AK132" s="270">
        <f t="shared" si="37"/>
        <v>202</v>
      </c>
      <c r="AL132">
        <v>1.28</v>
      </c>
      <c r="AM132" s="270">
        <f t="shared" si="38"/>
        <v>256</v>
      </c>
      <c r="AN132">
        <v>1</v>
      </c>
    </row>
    <row r="133" spans="31:40">
      <c r="AE133" s="270">
        <f t="shared" si="34"/>
        <v>41</v>
      </c>
      <c r="AF133">
        <v>6.5</v>
      </c>
      <c r="AG133" s="270">
        <f t="shared" si="35"/>
        <v>95</v>
      </c>
      <c r="AH133">
        <v>2.74</v>
      </c>
      <c r="AI133" s="270">
        <f t="shared" si="36"/>
        <v>149</v>
      </c>
      <c r="AJ133">
        <v>1.74</v>
      </c>
      <c r="AK133" s="270">
        <f t="shared" si="37"/>
        <v>203</v>
      </c>
      <c r="AL133">
        <v>1.27</v>
      </c>
      <c r="AM133" s="270" t="s">
        <v>9</v>
      </c>
    </row>
    <row r="134" spans="31:40">
      <c r="AE134" s="270">
        <f t="shared" si="34"/>
        <v>42</v>
      </c>
      <c r="AF134">
        <v>6.4</v>
      </c>
      <c r="AG134" s="270">
        <f t="shared" si="35"/>
        <v>96</v>
      </c>
      <c r="AH134">
        <v>2.72</v>
      </c>
      <c r="AI134" s="270">
        <f t="shared" si="36"/>
        <v>150</v>
      </c>
      <c r="AJ134">
        <v>1.73</v>
      </c>
      <c r="AK134" s="270">
        <f t="shared" si="37"/>
        <v>204</v>
      </c>
      <c r="AL134">
        <v>1.27</v>
      </c>
    </row>
    <row r="135" spans="31:40">
      <c r="AE135" s="270">
        <f t="shared" si="34"/>
        <v>43</v>
      </c>
      <c r="AF135">
        <v>6.3</v>
      </c>
      <c r="AG135" s="270">
        <f t="shared" si="35"/>
        <v>97</v>
      </c>
      <c r="AH135">
        <v>2.71</v>
      </c>
      <c r="AI135" s="270">
        <f t="shared" si="36"/>
        <v>151</v>
      </c>
      <c r="AJ135">
        <v>1.71</v>
      </c>
      <c r="AK135" s="270">
        <f t="shared" si="37"/>
        <v>205</v>
      </c>
      <c r="AL135">
        <v>1.26</v>
      </c>
    </row>
    <row r="136" spans="31:40">
      <c r="AE136" s="270">
        <f t="shared" si="34"/>
        <v>44</v>
      </c>
      <c r="AF136">
        <v>6.1</v>
      </c>
      <c r="AG136" s="270">
        <f t="shared" si="35"/>
        <v>98</v>
      </c>
      <c r="AH136">
        <v>2.7</v>
      </c>
      <c r="AI136" s="270">
        <f t="shared" si="36"/>
        <v>152</v>
      </c>
      <c r="AJ136">
        <v>1.7</v>
      </c>
      <c r="AK136" s="270">
        <f t="shared" si="37"/>
        <v>206</v>
      </c>
      <c r="AL136">
        <v>1.26</v>
      </c>
    </row>
    <row r="137" spans="31:40">
      <c r="AE137" s="270">
        <f t="shared" si="34"/>
        <v>45</v>
      </c>
      <c r="AF137">
        <v>6</v>
      </c>
      <c r="AG137" s="270">
        <f t="shared" si="35"/>
        <v>99</v>
      </c>
      <c r="AH137">
        <v>2.69</v>
      </c>
      <c r="AI137" s="270">
        <f t="shared" si="36"/>
        <v>153</v>
      </c>
      <c r="AJ137">
        <v>1.69</v>
      </c>
      <c r="AK137" s="270">
        <f t="shared" si="37"/>
        <v>207</v>
      </c>
      <c r="AL137">
        <v>1.25</v>
      </c>
    </row>
    <row r="138" spans="31:40">
      <c r="AE138" s="270">
        <f t="shared" si="34"/>
        <v>46</v>
      </c>
      <c r="AF138">
        <v>5.8</v>
      </c>
      <c r="AG138" s="270">
        <f t="shared" si="35"/>
        <v>100</v>
      </c>
      <c r="AH138">
        <v>2.68</v>
      </c>
      <c r="AI138" s="270">
        <f t="shared" si="36"/>
        <v>154</v>
      </c>
      <c r="AJ138">
        <v>1.68</v>
      </c>
      <c r="AK138" s="270">
        <f t="shared" si="37"/>
        <v>208</v>
      </c>
      <c r="AL138">
        <v>1.24</v>
      </c>
    </row>
    <row r="139" spans="31:40">
      <c r="AE139" s="270">
        <f t="shared" si="34"/>
        <v>47</v>
      </c>
      <c r="AF139">
        <v>5.7</v>
      </c>
      <c r="AG139" s="270">
        <f t="shared" si="35"/>
        <v>101</v>
      </c>
      <c r="AH139">
        <v>2.64</v>
      </c>
      <c r="AI139" s="270">
        <f t="shared" si="36"/>
        <v>155</v>
      </c>
      <c r="AJ139">
        <v>1.67</v>
      </c>
      <c r="AK139" s="270">
        <f t="shared" si="37"/>
        <v>209</v>
      </c>
      <c r="AL139">
        <v>1.24</v>
      </c>
    </row>
    <row r="140" spans="31:40">
      <c r="AE140" s="270">
        <f t="shared" si="34"/>
        <v>48</v>
      </c>
      <c r="AF140">
        <v>5.6</v>
      </c>
      <c r="AG140" s="270">
        <f t="shared" si="35"/>
        <v>102</v>
      </c>
      <c r="AH140">
        <v>2.6</v>
      </c>
      <c r="AI140" s="270">
        <f t="shared" si="36"/>
        <v>156</v>
      </c>
      <c r="AJ140">
        <v>1.66</v>
      </c>
      <c r="AK140" s="270">
        <f t="shared" si="37"/>
        <v>210</v>
      </c>
      <c r="AL140">
        <v>1.23</v>
      </c>
    </row>
    <row r="141" spans="31:40">
      <c r="AE141" s="270">
        <f t="shared" si="34"/>
        <v>49</v>
      </c>
      <c r="AF141">
        <v>5.5</v>
      </c>
      <c r="AG141" s="270">
        <f t="shared" si="35"/>
        <v>103</v>
      </c>
      <c r="AH141">
        <v>2.57</v>
      </c>
      <c r="AI141" s="270">
        <f t="shared" si="36"/>
        <v>157</v>
      </c>
      <c r="AJ141">
        <v>1.65</v>
      </c>
      <c r="AK141" s="270">
        <f t="shared" si="37"/>
        <v>211</v>
      </c>
      <c r="AL141">
        <v>1.23</v>
      </c>
    </row>
    <row r="142" spans="31:40">
      <c r="AE142" s="270">
        <f>AE141+1</f>
        <v>50</v>
      </c>
      <c r="AF142">
        <v>5.4</v>
      </c>
      <c r="AG142" s="270">
        <f t="shared" si="35"/>
        <v>104</v>
      </c>
      <c r="AH142">
        <v>2.5299999999999998</v>
      </c>
      <c r="AI142" s="270">
        <f t="shared" si="36"/>
        <v>158</v>
      </c>
      <c r="AJ142">
        <v>1.63</v>
      </c>
      <c r="AK142" s="270">
        <f t="shared" si="37"/>
        <v>212</v>
      </c>
      <c r="AL142">
        <v>1.22</v>
      </c>
    </row>
    <row r="143" spans="31:40">
      <c r="AE143" s="270">
        <f t="shared" si="34"/>
        <v>51</v>
      </c>
      <c r="AF143">
        <v>5.3</v>
      </c>
      <c r="AG143" s="270">
        <f t="shared" si="35"/>
        <v>105</v>
      </c>
      <c r="AH143">
        <v>2.5</v>
      </c>
      <c r="AI143" s="270">
        <f t="shared" si="36"/>
        <v>159</v>
      </c>
      <c r="AJ143">
        <v>1.62</v>
      </c>
      <c r="AK143" s="270">
        <f t="shared" si="37"/>
        <v>213</v>
      </c>
      <c r="AL143">
        <v>1.21</v>
      </c>
    </row>
    <row r="144" spans="31:40">
      <c r="AE144" s="270">
        <f t="shared" si="34"/>
        <v>52</v>
      </c>
      <c r="AF144">
        <v>5.2</v>
      </c>
      <c r="AG144" s="270">
        <f t="shared" si="35"/>
        <v>106</v>
      </c>
      <c r="AH144">
        <v>2.4700000000000002</v>
      </c>
      <c r="AI144" s="270">
        <f t="shared" si="36"/>
        <v>160</v>
      </c>
      <c r="AJ144">
        <v>1.61</v>
      </c>
      <c r="AK144" s="270">
        <f t="shared" si="37"/>
        <v>214</v>
      </c>
      <c r="AL144">
        <v>1.21</v>
      </c>
    </row>
    <row r="145" spans="31:38">
      <c r="AE145" s="270">
        <f>AE144+1</f>
        <v>53</v>
      </c>
      <c r="AF145">
        <v>5.0999999999999996</v>
      </c>
      <c r="AG145" s="270">
        <f t="shared" si="35"/>
        <v>107</v>
      </c>
      <c r="AH145">
        <v>2.44</v>
      </c>
      <c r="AI145" s="270">
        <f t="shared" si="36"/>
        <v>161</v>
      </c>
      <c r="AJ145">
        <v>1.6</v>
      </c>
      <c r="AK145" s="270">
        <f t="shared" si="37"/>
        <v>215</v>
      </c>
      <c r="AL145">
        <v>1.2</v>
      </c>
    </row>
    <row r="146" spans="31:38">
      <c r="AE146" s="270">
        <f>AE145+1</f>
        <v>54</v>
      </c>
      <c r="AF146">
        <v>5</v>
      </c>
      <c r="AG146" s="270">
        <f t="shared" si="35"/>
        <v>108</v>
      </c>
      <c r="AH146">
        <v>2.42</v>
      </c>
      <c r="AI146" s="270">
        <f t="shared" si="36"/>
        <v>162</v>
      </c>
      <c r="AJ146">
        <v>1.59</v>
      </c>
      <c r="AK146" s="270">
        <f t="shared" si="37"/>
        <v>216</v>
      </c>
      <c r="AL146">
        <v>1.2</v>
      </c>
    </row>
  </sheetData>
  <mergeCells count="4">
    <mergeCell ref="B2:D2"/>
    <mergeCell ref="F2:H2"/>
    <mergeCell ref="BJ4:BL4"/>
    <mergeCell ref="BN4:BP4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AX96"/>
  <sheetViews>
    <sheetView topLeftCell="M43" zoomScale="60" zoomScaleNormal="60" workbookViewId="0">
      <selection activeCell="AW43" sqref="AW43:AX82"/>
    </sheetView>
  </sheetViews>
  <sheetFormatPr defaultRowHeight="14.4"/>
  <cols>
    <col min="3" max="5" width="8.88671875" style="252"/>
    <col min="6" max="6" width="10" style="252" customWidth="1"/>
    <col min="7" max="7" width="8.88671875" style="252"/>
    <col min="8" max="8" width="9.6640625" style="62" customWidth="1"/>
    <col min="12" max="12" width="11" customWidth="1"/>
    <col min="13" max="13" width="10.77734375" customWidth="1"/>
    <col min="14" max="14" width="10.6640625" customWidth="1"/>
    <col min="15" max="15" width="8.88671875" style="237"/>
    <col min="16" max="16" width="10.6640625" style="237" bestFit="1" customWidth="1"/>
    <col min="17" max="17" width="8.88671875" style="237"/>
    <col min="20" max="20" width="8.5546875" style="261" customWidth="1"/>
    <col min="21" max="21" width="7" style="261" customWidth="1"/>
    <col min="22" max="22" width="8.88671875" style="261"/>
    <col min="23" max="23" width="6.6640625" style="261" customWidth="1"/>
    <col min="24" max="24" width="8.88671875" style="261"/>
    <col min="25" max="25" width="8.88671875" style="263"/>
    <col min="26" max="26" width="8.88671875" style="261"/>
  </cols>
  <sheetData>
    <row r="3" spans="3:27">
      <c r="C3" s="216" t="s">
        <v>246</v>
      </c>
      <c r="D3" s="216" t="s">
        <v>252</v>
      </c>
      <c r="E3" s="216" t="s">
        <v>186</v>
      </c>
      <c r="F3" s="216">
        <f>'50 кГЦ новый для ХК.01'!D26</f>
        <v>20</v>
      </c>
      <c r="G3" s="216" t="s">
        <v>3</v>
      </c>
      <c r="H3" s="231"/>
      <c r="J3" s="216" t="s">
        <v>246</v>
      </c>
      <c r="K3" s="216" t="s">
        <v>252</v>
      </c>
      <c r="L3" s="216" t="s">
        <v>186</v>
      </c>
      <c r="M3" s="216">
        <f>'50 кГЦ новый для ХК.01'!D27</f>
        <v>200</v>
      </c>
      <c r="N3" s="216" t="s">
        <v>3</v>
      </c>
      <c r="O3" s="231"/>
      <c r="P3" s="231"/>
      <c r="Q3" s="231"/>
    </row>
    <row r="4" spans="3:27">
      <c r="C4" s="216" t="s">
        <v>104</v>
      </c>
      <c r="D4" s="216">
        <f>'50 кГЦ новый для ХК.01'!D37</f>
        <v>500</v>
      </c>
      <c r="E4" s="216" t="s">
        <v>30</v>
      </c>
      <c r="F4" s="216">
        <f>'240 кГЦ '!J45</f>
        <v>0.375</v>
      </c>
      <c r="G4" s="216" t="s">
        <v>7</v>
      </c>
      <c r="H4" s="231"/>
      <c r="J4" s="216" t="str">
        <f>C4</f>
        <v>Шаг ВРУ</v>
      </c>
      <c r="K4" s="216">
        <f>'240 кГЦ '!D38</f>
        <v>4000</v>
      </c>
      <c r="L4" s="216" t="str">
        <f>E4</f>
        <v>мкс</v>
      </c>
      <c r="M4" s="216">
        <f>'240 кГЦ '!J46</f>
        <v>3</v>
      </c>
      <c r="N4" s="216" t="str">
        <f>G4</f>
        <v>м</v>
      </c>
      <c r="O4" s="231"/>
      <c r="P4" s="231"/>
      <c r="Q4" s="231"/>
    </row>
    <row r="5" spans="3:27" ht="48" customHeight="1">
      <c r="C5" s="216" t="s">
        <v>244</v>
      </c>
      <c r="D5" s="283" t="s">
        <v>248</v>
      </c>
      <c r="E5" s="283"/>
      <c r="F5" s="283"/>
      <c r="G5" s="283"/>
      <c r="H5" s="232"/>
      <c r="J5" s="216" t="str">
        <f>C5</f>
        <v>КУ1</v>
      </c>
      <c r="K5" s="284" t="str">
        <f>D5</f>
        <v>коэффициент усиления для компенсации потерь на распостранение</v>
      </c>
      <c r="L5" s="284"/>
      <c r="M5" s="284"/>
      <c r="N5" s="284"/>
      <c r="O5" s="236"/>
      <c r="P5" s="236"/>
      <c r="Q5" s="236"/>
    </row>
    <row r="6" spans="3:27" ht="30.6" customHeight="1">
      <c r="C6" s="216" t="s">
        <v>240</v>
      </c>
      <c r="D6" s="282" t="s">
        <v>250</v>
      </c>
      <c r="E6" s="283"/>
      <c r="F6" s="283"/>
      <c r="G6" s="283"/>
      <c r="H6" s="232"/>
      <c r="J6" s="216" t="str">
        <f>C6</f>
        <v>КУ2</v>
      </c>
      <c r="K6" s="284" t="str">
        <f>D6</f>
        <v>коэффициент усиления                                  приведенный к КУ1</v>
      </c>
      <c r="L6" s="284"/>
      <c r="M6" s="284"/>
      <c r="N6" s="284"/>
      <c r="O6" s="236"/>
      <c r="P6" s="236"/>
      <c r="Q6" s="236"/>
    </row>
    <row r="7" spans="3:27" ht="30" customHeight="1">
      <c r="C7" s="216" t="s">
        <v>245</v>
      </c>
      <c r="D7" s="283" t="s">
        <v>249</v>
      </c>
      <c r="E7" s="283"/>
      <c r="F7" s="283"/>
      <c r="G7" s="283"/>
      <c r="H7" s="232"/>
      <c r="J7" s="216" t="str">
        <f>C7</f>
        <v>КУ 50 мВ</v>
      </c>
      <c r="K7" s="284" t="str">
        <f>D7</f>
        <v>коэффициент усиления для пересечения уровня 50 мВ</v>
      </c>
      <c r="L7" s="284"/>
      <c r="M7" s="284"/>
      <c r="N7" s="284"/>
      <c r="O7" s="236"/>
      <c r="P7" s="236"/>
      <c r="Q7" s="236"/>
      <c r="R7">
        <f>3.6*0.5*1.2</f>
        <v>2.16</v>
      </c>
    </row>
    <row r="8" spans="3:27" ht="21">
      <c r="C8" s="279" t="s">
        <v>52</v>
      </c>
      <c r="D8" s="280"/>
      <c r="E8" s="280"/>
      <c r="F8" s="280"/>
      <c r="G8" s="280"/>
      <c r="J8" s="281" t="s">
        <v>53</v>
      </c>
      <c r="K8" s="281"/>
      <c r="L8" s="281"/>
      <c r="M8" s="281"/>
      <c r="N8" s="281"/>
    </row>
    <row r="9" spans="3:27" ht="15" thickBot="1">
      <c r="C9" s="223" t="str">
        <f>'50 кГЦ новый для ХК.01'!O3</f>
        <v>Шаг ВРУ</v>
      </c>
      <c r="D9" s="224" t="s">
        <v>150</v>
      </c>
      <c r="E9" s="225" t="s">
        <v>244</v>
      </c>
      <c r="F9" s="250" t="s">
        <v>253</v>
      </c>
      <c r="G9" s="240" t="s">
        <v>245</v>
      </c>
      <c r="H9" s="233" t="s">
        <v>240</v>
      </c>
      <c r="I9" s="153"/>
      <c r="J9" s="223" t="str">
        <f>C9</f>
        <v>Шаг ВРУ</v>
      </c>
      <c r="K9" s="224" t="s">
        <v>150</v>
      </c>
      <c r="L9" s="225" t="s">
        <v>244</v>
      </c>
      <c r="M9" s="250" t="s">
        <v>254</v>
      </c>
      <c r="N9" s="240" t="s">
        <v>245</v>
      </c>
      <c r="O9" s="233"/>
      <c r="P9" s="233"/>
      <c r="Q9" s="233"/>
      <c r="R9" s="153"/>
      <c r="T9" s="261" t="s">
        <v>314</v>
      </c>
      <c r="U9" s="261" t="s">
        <v>9</v>
      </c>
      <c r="V9" s="261" t="s">
        <v>315</v>
      </c>
      <c r="X9" s="261" t="s">
        <v>316</v>
      </c>
      <c r="Y9" s="3" t="s">
        <v>317</v>
      </c>
    </row>
    <row r="10" spans="3:27" ht="15" thickTop="1">
      <c r="C10" s="217">
        <f>'50 кГЦ новый для ХК.01'!O4</f>
        <v>1</v>
      </c>
      <c r="D10" s="218">
        <f>'240 кГЦ '!P4</f>
        <v>0.3</v>
      </c>
      <c r="E10" s="221">
        <f>'240 кГЦ '!Y4</f>
        <v>0.30121406001021767</v>
      </c>
      <c r="F10" s="251">
        <f>E10</f>
        <v>0.30121406001021767</v>
      </c>
      <c r="G10" s="241">
        <f>'240 кГЦ '!AA4</f>
        <v>0.31941409236718193</v>
      </c>
      <c r="H10" s="234">
        <f>'240 кГЦ '!AB4</f>
        <v>9.0364218003065322E-2</v>
      </c>
      <c r="I10" s="153"/>
      <c r="J10" s="219">
        <f>'50 кГЦ новый для ХК.01'!AD4</f>
        <v>1</v>
      </c>
      <c r="K10" s="220">
        <f>'240 кГЦ '!AF4</f>
        <v>11</v>
      </c>
      <c r="L10" s="221">
        <f>'240 кГЦ '!AM4</f>
        <v>12.755734629686087</v>
      </c>
      <c r="M10" s="251">
        <f>'240 кГЦ '!AO4</f>
        <v>1.2755734629686064</v>
      </c>
      <c r="N10" s="241">
        <f>'240 кГЦ '!AQ4</f>
        <v>1.3526464863823411</v>
      </c>
      <c r="O10" s="234"/>
      <c r="P10" s="234" t="s">
        <v>9</v>
      </c>
      <c r="Q10" s="234"/>
      <c r="R10" s="153">
        <f>L10/$R$7</f>
        <v>5.9054326989287436</v>
      </c>
      <c r="S10">
        <f>POWER(R10,0.5)</f>
        <v>2.43010960636115</v>
      </c>
      <c r="T10" s="261">
        <v>2.44</v>
      </c>
      <c r="U10" s="261">
        <v>107</v>
      </c>
      <c r="V10" s="261">
        <v>2.42</v>
      </c>
      <c r="W10" s="261">
        <v>108</v>
      </c>
      <c r="X10" s="261">
        <f>T10*V10</f>
        <v>5.9047999999999998</v>
      </c>
      <c r="Y10" s="261">
        <f t="shared" ref="Y10:Y41" si="0">R10-X10</f>
        <v>6.3269892874373568E-4</v>
      </c>
      <c r="Z10" s="261">
        <f>X10*$R$7</f>
        <v>12.754368000000001</v>
      </c>
      <c r="AA10">
        <f>POWER(($Y$96-Y10),2)</f>
        <v>3.6483794683091055</v>
      </c>
    </row>
    <row r="11" spans="3:27">
      <c r="C11" s="217">
        <f>'50 кГЦ новый для ХК.01'!O5</f>
        <v>2</v>
      </c>
      <c r="D11" s="218">
        <f>'240 кГЦ '!P5</f>
        <v>0.67500000000000004</v>
      </c>
      <c r="E11" s="221">
        <f>'240 кГЦ '!Y5</f>
        <v>0.68116172951925102</v>
      </c>
      <c r="F11" s="251">
        <f t="shared" ref="F11:F74" si="1">E11</f>
        <v>0.68116172951925102</v>
      </c>
      <c r="G11" s="241">
        <f>'240 кГЦ '!AA5</f>
        <v>0.72231905636234583</v>
      </c>
      <c r="H11" s="234">
        <f>'240 кГЦ '!AB5</f>
        <v>0.45978416742549438</v>
      </c>
      <c r="I11" s="153"/>
      <c r="J11" s="219">
        <f>'50 кГЦ новый для ХК.01'!AD5</f>
        <v>2</v>
      </c>
      <c r="K11" s="220">
        <f>'240 кГЦ '!AF5</f>
        <v>14</v>
      </c>
      <c r="L11" s="221">
        <f>'240 кГЦ '!AM5</f>
        <v>16.903657249098739</v>
      </c>
      <c r="M11" s="251">
        <f>'240 кГЦ '!AO5</f>
        <v>1.6903657249098709</v>
      </c>
      <c r="N11" s="241">
        <f>'240 кГЦ '!AQ5</f>
        <v>1.7925014316143333</v>
      </c>
      <c r="O11" s="234"/>
      <c r="P11" s="234"/>
      <c r="Q11" s="234"/>
      <c r="R11" s="153">
        <f t="shared" ref="R11:R74" si="2">L11/$R$7</f>
        <v>7.825767244953119</v>
      </c>
      <c r="S11">
        <f t="shared" ref="S11:S74" si="3">POWER(R11,0.5)</f>
        <v>2.797457282060464</v>
      </c>
      <c r="T11" s="261">
        <v>2.8</v>
      </c>
      <c r="U11" s="261">
        <v>91</v>
      </c>
      <c r="V11" s="261">
        <v>2.79</v>
      </c>
      <c r="W11" s="261">
        <v>92</v>
      </c>
      <c r="X11" s="261">
        <f>T11*V11</f>
        <v>7.8119999999999994</v>
      </c>
      <c r="Y11" s="261">
        <f t="shared" si="0"/>
        <v>1.3767244953119651E-2</v>
      </c>
      <c r="Z11" s="263">
        <f t="shared" ref="Z11:Z74" si="4">X11*$R$7</f>
        <v>16.873919999999998</v>
      </c>
      <c r="AA11">
        <f t="shared" ref="AA11:AA74" si="5">POWER(($Y$96-Y11),2)</f>
        <v>3.5983760970051661</v>
      </c>
    </row>
    <row r="12" spans="3:27">
      <c r="C12" s="217">
        <f>'50 кГЦ новый для ХК.01'!O6</f>
        <v>3</v>
      </c>
      <c r="D12" s="218">
        <f>'240 кГЦ '!P6</f>
        <v>1.05</v>
      </c>
      <c r="E12" s="221">
        <f>'240 кГЦ '!Y6</f>
        <v>1.0649476198713399</v>
      </c>
      <c r="F12" s="251">
        <f t="shared" si="1"/>
        <v>1.0649476198713399</v>
      </c>
      <c r="G12" s="241">
        <f>'240 кГЦ '!AA6</f>
        <v>1.1292941551541649</v>
      </c>
      <c r="H12" s="234">
        <f>'240 кГЦ '!AB6</f>
        <v>1.1181950008649069</v>
      </c>
      <c r="I12" s="153"/>
      <c r="J12" s="219">
        <f>'50 кГЦ новый для ХК.01'!AD6</f>
        <v>3</v>
      </c>
      <c r="K12" s="220">
        <f>'240 кГЦ '!AF6</f>
        <v>17</v>
      </c>
      <c r="L12" s="221">
        <f>'240 кГЦ '!AM6</f>
        <v>21.371815469455374</v>
      </c>
      <c r="M12" s="251">
        <f>'240 кГЦ '!AO6</f>
        <v>2.1371815469455337</v>
      </c>
      <c r="N12" s="241">
        <f>'240 кГЦ '!AQ6</f>
        <v>2.2663148726136573</v>
      </c>
      <c r="O12" s="234"/>
      <c r="P12" s="234"/>
      <c r="Q12" s="234"/>
      <c r="R12" s="153">
        <f t="shared" si="2"/>
        <v>9.8943590136367465</v>
      </c>
      <c r="S12">
        <f t="shared" si="3"/>
        <v>3.1455300052036934</v>
      </c>
      <c r="T12" s="261">
        <v>3.15</v>
      </c>
      <c r="U12" s="261">
        <v>82</v>
      </c>
      <c r="V12" s="261">
        <v>3.15</v>
      </c>
      <c r="W12" s="261">
        <v>82</v>
      </c>
      <c r="X12" s="261">
        <f>T12*V12</f>
        <v>9.9224999999999994</v>
      </c>
      <c r="Y12" s="261">
        <f t="shared" si="0"/>
        <v>-2.8140986363252907E-2</v>
      </c>
      <c r="Z12" s="263">
        <f t="shared" si="4"/>
        <v>21.432600000000001</v>
      </c>
      <c r="AA12">
        <f t="shared" si="5"/>
        <v>3.7591270811312691</v>
      </c>
    </row>
    <row r="13" spans="3:27">
      <c r="C13" s="217">
        <f>'50 кГЦ новый для ХК.01'!O7</f>
        <v>4</v>
      </c>
      <c r="D13" s="218">
        <f>'240 кГЦ '!P7</f>
        <v>1.425</v>
      </c>
      <c r="E13" s="221">
        <f>'240 кГЦ '!Y7</f>
        <v>1.4526008501994547</v>
      </c>
      <c r="F13" s="251">
        <f t="shared" si="1"/>
        <v>1.4526008501994547</v>
      </c>
      <c r="G13" s="241">
        <f>'240 кГЦ '!AA7</f>
        <v>1.5403702673192501</v>
      </c>
      <c r="H13" s="234">
        <f>'240 кГЦ '!AB7</f>
        <v>2.0699562115342229</v>
      </c>
      <c r="I13" s="153"/>
      <c r="J13" s="219">
        <f>'50 кГЦ новый для ХК.01'!AD7</f>
        <v>4</v>
      </c>
      <c r="K13" s="220">
        <f>'240 кГЦ '!AF7</f>
        <v>20</v>
      </c>
      <c r="L13" s="221">
        <f>'240 кГЦ '!AM7</f>
        <v>26.179559930024034</v>
      </c>
      <c r="M13" s="251">
        <f>'240 кГЦ '!AO7</f>
        <v>2.6179559930023988</v>
      </c>
      <c r="N13" s="241">
        <f>'240 кГЦ '!AQ7</f>
        <v>2.7761387942306532</v>
      </c>
      <c r="O13" s="234"/>
      <c r="P13" s="234"/>
      <c r="Q13" s="234"/>
      <c r="R13" s="153">
        <f t="shared" si="2"/>
        <v>12.120166634270385</v>
      </c>
      <c r="S13">
        <f t="shared" si="3"/>
        <v>3.4814029692453565</v>
      </c>
      <c r="T13" s="261">
        <v>3.5</v>
      </c>
      <c r="U13" s="261">
        <v>75</v>
      </c>
      <c r="V13" s="261">
        <v>3.45</v>
      </c>
      <c r="W13" s="261">
        <v>76</v>
      </c>
      <c r="X13" s="261">
        <f t="shared" ref="X13:X76" si="6">T13*V13</f>
        <v>12.075000000000001</v>
      </c>
      <c r="Y13" s="261">
        <f t="shared" si="0"/>
        <v>4.516663427038381E-2</v>
      </c>
      <c r="Z13" s="263">
        <f t="shared" si="4"/>
        <v>26.082000000000004</v>
      </c>
      <c r="AA13">
        <f t="shared" si="5"/>
        <v>3.480236590687829</v>
      </c>
    </row>
    <row r="14" spans="3:27">
      <c r="C14" s="217">
        <f>'50 кГЦ новый для ХК.01'!O8</f>
        <v>5</v>
      </c>
      <c r="D14" s="218">
        <f>'240 кГЦ '!P8</f>
        <v>1.8</v>
      </c>
      <c r="E14" s="221">
        <f>'240 кГЦ '!Y8</f>
        <v>1.8441507360720208</v>
      </c>
      <c r="F14" s="251">
        <f t="shared" si="1"/>
        <v>1.8441507360720208</v>
      </c>
      <c r="G14" s="241">
        <f>'240 кГЦ '!AA8</f>
        <v>1.9555784797387399</v>
      </c>
      <c r="H14" s="234">
        <f>'240 кГЦ '!AB8</f>
        <v>3.3194713249296375</v>
      </c>
      <c r="I14" s="153"/>
      <c r="J14" s="219">
        <f>'50 кГЦ новый для ХК.01'!AD8</f>
        <v>5</v>
      </c>
      <c r="K14" s="220">
        <f>'240 кГЦ '!AF8</f>
        <v>23</v>
      </c>
      <c r="L14" s="221">
        <f>'240 кГЦ '!AM8</f>
        <v>31.347292350024809</v>
      </c>
      <c r="M14" s="251">
        <f>'240 кГЦ '!AO8</f>
        <v>3.1347292350024754</v>
      </c>
      <c r="N14" s="241">
        <f>'240 кГЦ '!AQ8</f>
        <v>3.3241366401728478</v>
      </c>
      <c r="O14" s="234"/>
      <c r="P14" s="234"/>
      <c r="Q14" s="234"/>
      <c r="R14" s="153">
        <f t="shared" si="2"/>
        <v>14.512635347233706</v>
      </c>
      <c r="S14">
        <f t="shared" si="3"/>
        <v>3.8095452940257459</v>
      </c>
      <c r="T14" s="261">
        <v>3.8</v>
      </c>
      <c r="U14" s="261">
        <v>69</v>
      </c>
      <c r="V14" s="261">
        <v>3.8</v>
      </c>
      <c r="W14" s="261">
        <v>69</v>
      </c>
      <c r="X14" s="261">
        <f t="shared" si="6"/>
        <v>14.44</v>
      </c>
      <c r="Y14" s="261">
        <f t="shared" si="0"/>
        <v>7.2635347233706682E-2</v>
      </c>
      <c r="Z14" s="263">
        <f t="shared" si="4"/>
        <v>31.1904</v>
      </c>
      <c r="AA14">
        <f t="shared" si="5"/>
        <v>3.3785031980303164</v>
      </c>
    </row>
    <row r="15" spans="3:27">
      <c r="C15" s="217">
        <f>'50 кГЦ новый для ХК.01'!O9</f>
        <v>6</v>
      </c>
      <c r="D15" s="218">
        <f>'240 кГЦ '!P9</f>
        <v>2.1749999999999998</v>
      </c>
      <c r="E15" s="221">
        <f>'240 кГЦ '!Y9</f>
        <v>2.2396267907354028</v>
      </c>
      <c r="F15" s="251">
        <f t="shared" si="1"/>
        <v>2.2396267907354028</v>
      </c>
      <c r="G15" s="241">
        <f>'240 кГЦ '!AA9</f>
        <v>2.3749500889158583</v>
      </c>
      <c r="H15" s="234">
        <f>'240 кГЦ '!AB9</f>
        <v>4.871188269849501</v>
      </c>
      <c r="I15" s="153"/>
      <c r="J15" s="219">
        <f>'50 кГЦ новый для ХК.01'!AD9</f>
        <v>6</v>
      </c>
      <c r="K15" s="220">
        <f>'240 кГЦ '!AF9</f>
        <v>26</v>
      </c>
      <c r="L15" s="221">
        <f>'240 кГЦ '!AM9</f>
        <v>36.896519297993819</v>
      </c>
      <c r="M15" s="251">
        <f>'240 кГЦ '!AO9</f>
        <v>3.6896519297993753</v>
      </c>
      <c r="N15" s="241">
        <f>'240 кГЦ '!AQ9</f>
        <v>3.9125890148279048</v>
      </c>
      <c r="O15" s="234"/>
      <c r="P15" s="234"/>
      <c r="Q15" s="234"/>
      <c r="R15" s="153">
        <f t="shared" si="2"/>
        <v>17.08172189721936</v>
      </c>
      <c r="S15">
        <f t="shared" si="3"/>
        <v>4.1330039798213791</v>
      </c>
      <c r="T15" s="261">
        <v>4.3</v>
      </c>
      <c r="U15" s="261">
        <v>61</v>
      </c>
      <c r="V15" s="261">
        <v>3.97</v>
      </c>
      <c r="W15" s="261">
        <v>65</v>
      </c>
      <c r="X15" s="261">
        <f t="shared" si="6"/>
        <v>17.071000000000002</v>
      </c>
      <c r="Y15" s="261">
        <f t="shared" si="0"/>
        <v>1.0721897219358567E-2</v>
      </c>
      <c r="Z15" s="263">
        <f t="shared" si="4"/>
        <v>36.873360000000005</v>
      </c>
      <c r="AA15">
        <f t="shared" si="5"/>
        <v>3.6099390465531522</v>
      </c>
    </row>
    <row r="16" spans="3:27">
      <c r="C16" s="217">
        <f>'50 кГЦ новый для ХК.01'!O10</f>
        <v>7</v>
      </c>
      <c r="D16" s="218">
        <f>'240 кГЦ '!P10</f>
        <v>2.5499999999999998</v>
      </c>
      <c r="E16" s="221">
        <f>'240 кГЦ '!Y10</f>
        <v>2.6390587263639325</v>
      </c>
      <c r="F16" s="251">
        <f t="shared" si="1"/>
        <v>2.6390587263639325</v>
      </c>
      <c r="G16" s="241">
        <f>'240 кГЦ '!AA10</f>
        <v>2.7985166023014738</v>
      </c>
      <c r="H16" s="234">
        <f>'240 кГЦ '!AB10</f>
        <v>6.7295997522280269</v>
      </c>
      <c r="I16" s="153"/>
      <c r="J16" s="219">
        <f>'50 кГЦ новый для ХК.01'!AD10</f>
        <v>7</v>
      </c>
      <c r="K16" s="220">
        <f>'240 кГЦ '!AF10</f>
        <v>29</v>
      </c>
      <c r="L16" s="221">
        <f>'240 кГЦ '!AM10</f>
        <v>42.84990860788254</v>
      </c>
      <c r="M16" s="251">
        <f>'240 кГЦ '!AO10</f>
        <v>4.2849908607882465</v>
      </c>
      <c r="N16" s="241">
        <f>'240 кГЦ '!AQ10</f>
        <v>4.5438996657523907</v>
      </c>
      <c r="O16" s="234"/>
      <c r="P16" s="234"/>
      <c r="Q16" s="234"/>
      <c r="R16" s="153">
        <f t="shared" si="2"/>
        <v>19.837920651797472</v>
      </c>
      <c r="S16">
        <f t="shared" si="3"/>
        <v>4.4539780704217069</v>
      </c>
      <c r="T16" s="261">
        <v>4.5999999999999996</v>
      </c>
      <c r="U16" s="261">
        <v>58</v>
      </c>
      <c r="V16" s="261">
        <v>4.3</v>
      </c>
      <c r="W16" s="261">
        <v>61</v>
      </c>
      <c r="X16" s="261">
        <f t="shared" si="6"/>
        <v>19.779999999999998</v>
      </c>
      <c r="Y16" s="261">
        <f t="shared" si="0"/>
        <v>5.7920651797473965E-2</v>
      </c>
      <c r="Z16" s="263">
        <f t="shared" si="4"/>
        <v>42.724799999999995</v>
      </c>
      <c r="AA16">
        <f t="shared" si="5"/>
        <v>3.4328130157684189</v>
      </c>
    </row>
    <row r="17" spans="3:27">
      <c r="C17" s="217">
        <f>'50 кГЦ новый для ХК.01'!O11</f>
        <v>8</v>
      </c>
      <c r="D17" s="218">
        <f>'240 кГЦ '!P11</f>
        <v>2.9249999999999998</v>
      </c>
      <c r="E17" s="221">
        <f>'240 кГЦ '!Y11</f>
        <v>3.0424764553175296</v>
      </c>
      <c r="F17" s="251">
        <f t="shared" si="1"/>
        <v>3.0424764553175296</v>
      </c>
      <c r="G17" s="241">
        <f>'240 кГЦ '!AA11</f>
        <v>3.2263097396277063</v>
      </c>
      <c r="H17" s="234">
        <f>'240 кГЦ '!AB11</f>
        <v>8.8992436318037722</v>
      </c>
      <c r="I17" s="153"/>
      <c r="J17" s="219">
        <f>'50 кГЦ новый для ХК.01'!AD11</f>
        <v>8</v>
      </c>
      <c r="K17" s="220">
        <f>'240 кГЦ '!AF11</f>
        <v>32</v>
      </c>
      <c r="L17" s="221">
        <f>'240 кГЦ '!AM11</f>
        <v>49.231348568726119</v>
      </c>
      <c r="M17" s="251">
        <f>'240 кГЦ '!AO11</f>
        <v>4.9231348568726032</v>
      </c>
      <c r="N17" s="241">
        <f>'240 кГЦ '!AQ11</f>
        <v>5.2206017602759207</v>
      </c>
      <c r="O17" s="234"/>
      <c r="P17" s="234"/>
      <c r="Q17" s="234"/>
      <c r="R17" s="153">
        <f t="shared" si="2"/>
        <v>22.792291004039868</v>
      </c>
      <c r="S17">
        <f t="shared" si="3"/>
        <v>4.7741272505076644</v>
      </c>
      <c r="T17" s="261">
        <v>5.2</v>
      </c>
      <c r="U17" s="261">
        <v>52</v>
      </c>
      <c r="V17" s="261">
        <v>4.4000000000000004</v>
      </c>
      <c r="W17" s="261">
        <v>60</v>
      </c>
      <c r="X17" s="261">
        <f t="shared" si="6"/>
        <v>22.880000000000003</v>
      </c>
      <c r="Y17" s="261">
        <f t="shared" si="0"/>
        <v>-8.7708995960134928E-2</v>
      </c>
      <c r="Z17" s="263">
        <f t="shared" si="4"/>
        <v>49.420800000000007</v>
      </c>
      <c r="AA17">
        <f t="shared" si="5"/>
        <v>3.9936619236160027</v>
      </c>
    </row>
    <row r="18" spans="3:27">
      <c r="C18" s="217">
        <f>'50 кГЦ новый для ХК.01'!O12</f>
        <v>9</v>
      </c>
      <c r="D18" s="218">
        <f>'240 кГЦ '!P12</f>
        <v>3.3</v>
      </c>
      <c r="E18" s="221">
        <f>'240 кГЦ '!Y12</f>
        <v>3.4499100914069514</v>
      </c>
      <c r="F18" s="251">
        <f t="shared" si="1"/>
        <v>3.4499100914069514</v>
      </c>
      <c r="G18" s="241">
        <f>'240 кГЦ '!AA12</f>
        <v>3.6583614342496267</v>
      </c>
      <c r="H18" s="234">
        <f>'240 кГЦ '!AB12</f>
        <v>11.384703301642936</v>
      </c>
      <c r="I18" s="153"/>
      <c r="J18" s="219">
        <f>'50 кГЦ новый для ХК.01'!AD12</f>
        <v>9</v>
      </c>
      <c r="K18" s="220">
        <f>'240 кГЦ '!AF12</f>
        <v>35</v>
      </c>
      <c r="L18" s="221">
        <f>'240 кГЦ '!AM12</f>
        <v>56.066010020670959</v>
      </c>
      <c r="M18" s="251">
        <f>'240 кГЦ '!AO12</f>
        <v>5.6066010020670864</v>
      </c>
      <c r="N18" s="241">
        <f>'240 кГЦ '!AQ12</f>
        <v>5.9453644703021098</v>
      </c>
      <c r="O18" s="234"/>
      <c r="P18" s="234"/>
      <c r="Q18" s="234"/>
      <c r="R18" s="153">
        <f t="shared" si="2"/>
        <v>25.956486120680999</v>
      </c>
      <c r="S18">
        <f t="shared" si="3"/>
        <v>5.0947508399018888</v>
      </c>
      <c r="T18" s="261">
        <v>5.0999999999999996</v>
      </c>
      <c r="U18" s="261">
        <v>53</v>
      </c>
      <c r="V18" s="261">
        <v>5.0999999999999996</v>
      </c>
      <c r="W18" s="261">
        <v>53</v>
      </c>
      <c r="X18" s="261">
        <f t="shared" si="6"/>
        <v>26.009999999999998</v>
      </c>
      <c r="Y18" s="261">
        <f t="shared" si="0"/>
        <v>-5.3513879318998647E-2</v>
      </c>
      <c r="Z18" s="263">
        <f t="shared" si="4"/>
        <v>56.181599999999996</v>
      </c>
      <c r="AA18">
        <f t="shared" si="5"/>
        <v>3.8581591716450698</v>
      </c>
    </row>
    <row r="19" spans="3:27">
      <c r="C19" s="217">
        <f>'50 кГЦ новый для ХК.01'!O13</f>
        <v>10</v>
      </c>
      <c r="D19" s="218">
        <f>'240 кГЦ '!P13</f>
        <v>3.6749999999999998</v>
      </c>
      <c r="E19" s="221">
        <f>'240 кГЦ '!Y13</f>
        <v>3.8613899511667316</v>
      </c>
      <c r="F19" s="251">
        <f t="shared" si="1"/>
        <v>3.8613899511667316</v>
      </c>
      <c r="G19" s="241">
        <f>'240 кГЦ '!AA13</f>
        <v>4.0947038344951103</v>
      </c>
      <c r="H19" s="234">
        <f>'240 кГЦ '!AB13</f>
        <v>14.190608070537742</v>
      </c>
      <c r="I19" s="153"/>
      <c r="J19" s="219">
        <f>'50 кГЦ новый для ХК.01'!AD13</f>
        <v>10</v>
      </c>
      <c r="K19" s="220">
        <f>'240 кГЦ '!AF13</f>
        <v>38</v>
      </c>
      <c r="L19" s="221">
        <f>'240 кГЦ '!AM13</f>
        <v>63.380411496388206</v>
      </c>
      <c r="M19" s="251">
        <f>'240 кГЦ '!AO13</f>
        <v>6.3380411496388094</v>
      </c>
      <c r="N19" s="241">
        <f>'240 кГЦ '!AQ13</f>
        <v>6.7209998800489563</v>
      </c>
      <c r="O19" s="234"/>
      <c r="P19" s="234"/>
      <c r="Q19" s="234"/>
      <c r="R19" s="153">
        <f t="shared" si="2"/>
        <v>29.342783100179723</v>
      </c>
      <c r="S19">
        <f t="shared" si="3"/>
        <v>5.4168979222595404</v>
      </c>
      <c r="T19" s="261">
        <v>5.4</v>
      </c>
      <c r="U19" s="261">
        <v>50</v>
      </c>
      <c r="V19" s="261">
        <v>5.4</v>
      </c>
      <c r="W19" s="261">
        <v>50</v>
      </c>
      <c r="X19" s="261">
        <f t="shared" si="6"/>
        <v>29.160000000000004</v>
      </c>
      <c r="Y19" s="261">
        <f t="shared" si="0"/>
        <v>0.18278310017971933</v>
      </c>
      <c r="Z19" s="263">
        <f t="shared" si="4"/>
        <v>62.985600000000012</v>
      </c>
      <c r="AA19">
        <f t="shared" si="5"/>
        <v>2.9857170527456636</v>
      </c>
    </row>
    <row r="20" spans="3:27">
      <c r="C20" s="217">
        <f>'50 кГЦ новый для ХК.01'!O14</f>
        <v>11</v>
      </c>
      <c r="D20" s="218">
        <f>'240 кГЦ '!P14</f>
        <v>4.05</v>
      </c>
      <c r="E20" s="221">
        <f>'240 кГЦ '!Y14</f>
        <v>4.2769465551358268</v>
      </c>
      <c r="F20" s="251">
        <f t="shared" si="1"/>
        <v>4.2769465551358268</v>
      </c>
      <c r="G20" s="241">
        <f>'240 кГЦ '!AA14</f>
        <v>4.5353693050228623</v>
      </c>
      <c r="H20" s="234">
        <f>'240 кГЦ '!AB14</f>
        <v>17.321633548300099</v>
      </c>
      <c r="I20" s="153"/>
      <c r="J20" s="219">
        <f>'50 кГЦ новый для ХК.01'!AD14</f>
        <v>11</v>
      </c>
      <c r="K20" s="220">
        <f>'240 кГЦ '!AF14</f>
        <v>41</v>
      </c>
      <c r="L20" s="221">
        <f>'240 кГЦ '!AM14</f>
        <v>71.202487553421534</v>
      </c>
      <c r="M20" s="251">
        <f>'240 кГЦ '!AO14</f>
        <v>7.120248755342141</v>
      </c>
      <c r="N20" s="241">
        <f>'240 кГЦ '!AQ14</f>
        <v>7.550470232163188</v>
      </c>
      <c r="O20" s="234"/>
      <c r="P20" s="234"/>
      <c r="Q20" s="234"/>
      <c r="R20" s="153">
        <f t="shared" si="2"/>
        <v>32.964114608065522</v>
      </c>
      <c r="S20">
        <f t="shared" si="3"/>
        <v>5.7414383744899258</v>
      </c>
      <c r="T20" s="261">
        <v>5.7</v>
      </c>
      <c r="U20" s="261">
        <v>47</v>
      </c>
      <c r="V20" s="261">
        <v>5.8</v>
      </c>
      <c r="W20" s="261">
        <v>46</v>
      </c>
      <c r="X20" s="261">
        <f t="shared" si="6"/>
        <v>33.06</v>
      </c>
      <c r="Y20" s="261">
        <f t="shared" si="0"/>
        <v>-9.5885391934480424E-2</v>
      </c>
      <c r="Z20" s="263">
        <f t="shared" si="4"/>
        <v>71.409600000000012</v>
      </c>
      <c r="AA20">
        <f t="shared" si="5"/>
        <v>4.0264084393810169</v>
      </c>
    </row>
    <row r="21" spans="3:27">
      <c r="C21" s="217">
        <f>'50 кГЦ новый для ХК.01'!O15</f>
        <v>12</v>
      </c>
      <c r="D21" s="218">
        <f>'240 кГЦ '!P15</f>
        <v>4.4249999999999998</v>
      </c>
      <c r="E21" s="221">
        <f>'240 кГЦ '!Y15</f>
        <v>4.6966106291460585</v>
      </c>
      <c r="F21" s="251">
        <f t="shared" si="1"/>
        <v>4.6966106291460585</v>
      </c>
      <c r="G21" s="241">
        <f>'240 кГЦ '!AA15</f>
        <v>4.9803904281887093</v>
      </c>
      <c r="H21" s="234">
        <f>'240 кГЦ '!AB15</f>
        <v>20.782502033971319</v>
      </c>
      <c r="I21" s="153"/>
      <c r="J21" s="219">
        <f>'50 кГЦ новый для ХК.01'!AD15</f>
        <v>12</v>
      </c>
      <c r="K21" s="220">
        <f>'240 кГЦ '!AF15</f>
        <v>44</v>
      </c>
      <c r="L21" s="221">
        <f>'240 кГЦ '!AM15</f>
        <v>79.561660449842364</v>
      </c>
      <c r="M21" s="251">
        <f>'240 кГЦ '!AO15</f>
        <v>7.9561660449842222</v>
      </c>
      <c r="N21" s="241">
        <f>'240 кГЦ '!AQ15</f>
        <v>8.4368955283661844</v>
      </c>
      <c r="O21" s="234"/>
      <c r="P21" s="234"/>
      <c r="Q21" s="234"/>
      <c r="R21" s="153">
        <f t="shared" si="2"/>
        <v>36.834102060112201</v>
      </c>
      <c r="S21">
        <f t="shared" si="3"/>
        <v>6.0691104834326586</v>
      </c>
      <c r="T21" s="261">
        <v>6.1</v>
      </c>
      <c r="U21" s="261">
        <v>44</v>
      </c>
      <c r="V21" s="261">
        <v>6</v>
      </c>
      <c r="W21" s="261">
        <v>45</v>
      </c>
      <c r="X21" s="261">
        <f t="shared" si="6"/>
        <v>36.599999999999994</v>
      </c>
      <c r="Y21" s="261">
        <f t="shared" si="0"/>
        <v>0.2341020601122068</v>
      </c>
      <c r="Z21" s="263">
        <f t="shared" si="4"/>
        <v>79.055999999999997</v>
      </c>
      <c r="AA21">
        <f t="shared" si="5"/>
        <v>2.8110002909703433</v>
      </c>
    </row>
    <row r="22" spans="3:27">
      <c r="C22" s="217">
        <f>'50 кГЦ новый для ХК.01'!O16</f>
        <v>13</v>
      </c>
      <c r="D22" s="218">
        <f>'240 кГЦ '!P16</f>
        <v>4.8</v>
      </c>
      <c r="E22" s="221">
        <f>'240 кГЦ '!Y16</f>
        <v>5.1204131056183444</v>
      </c>
      <c r="F22" s="251">
        <f t="shared" si="1"/>
        <v>5.1204131056183444</v>
      </c>
      <c r="G22" s="241">
        <f>'240 кГЦ '!AA16</f>
        <v>5.4298000054201552</v>
      </c>
      <c r="H22" s="234">
        <f>'240 кГЦ '!AB16</f>
        <v>24.577982906968053</v>
      </c>
      <c r="I22" s="153"/>
      <c r="J22" s="219">
        <f>'50 кГЦ новый для ХК.01'!AD16</f>
        <v>13</v>
      </c>
      <c r="K22" s="220">
        <f>'240 кГЦ '!AF16</f>
        <v>47</v>
      </c>
      <c r="L22" s="221">
        <f>'240 кГЦ '!AM16</f>
        <v>88.488915322726115</v>
      </c>
      <c r="M22" s="251">
        <f>'240 кГЦ '!AO16</f>
        <v>8.8488915322725958</v>
      </c>
      <c r="N22" s="241">
        <f>'240 кГЦ '!AQ16</f>
        <v>9.383561501546847</v>
      </c>
      <c r="O22" s="234"/>
      <c r="P22" s="234"/>
      <c r="Q22" s="234"/>
      <c r="R22" s="153">
        <f t="shared" si="2"/>
        <v>40.967090427188012</v>
      </c>
      <c r="S22">
        <f t="shared" si="3"/>
        <v>6.4005539156535516</v>
      </c>
      <c r="T22" s="261">
        <v>6.4</v>
      </c>
      <c r="U22" s="261">
        <v>42</v>
      </c>
      <c r="V22" s="261">
        <v>6.4</v>
      </c>
      <c r="W22" s="261">
        <v>42</v>
      </c>
      <c r="X22" s="261">
        <f t="shared" si="6"/>
        <v>40.960000000000008</v>
      </c>
      <c r="Y22" s="261">
        <f t="shared" si="0"/>
        <v>7.0904271880039005E-3</v>
      </c>
      <c r="Z22" s="263">
        <f t="shared" si="4"/>
        <v>88.473600000000019</v>
      </c>
      <c r="AA22">
        <f t="shared" si="5"/>
        <v>3.6237517037460729</v>
      </c>
    </row>
    <row r="23" spans="3:27">
      <c r="C23" s="217">
        <f>'50 кГЦ новый для ХК.01'!O17</f>
        <v>14</v>
      </c>
      <c r="D23" s="218">
        <f>'240 кГЦ '!P17</f>
        <v>5.1749999999999998</v>
      </c>
      <c r="E23" s="221">
        <f>'240 кГЦ '!Y17</f>
        <v>5.5483851248668135</v>
      </c>
      <c r="F23" s="251">
        <f t="shared" si="1"/>
        <v>5.5483851248668135</v>
      </c>
      <c r="G23" s="241">
        <f>'240 кГЦ '!AA17</f>
        <v>5.8836310585992884</v>
      </c>
      <c r="H23" s="234">
        <f>'240 кГЦ '!AB17</f>
        <v>28.71289302118576</v>
      </c>
      <c r="I23" s="153"/>
      <c r="J23" s="219">
        <f>'50 кГЦ новый для ХК.01'!AD17</f>
        <v>14</v>
      </c>
      <c r="K23" s="220">
        <f>'240 кГЦ '!AF17</f>
        <v>50</v>
      </c>
      <c r="L23" s="221">
        <f>'240 кГЦ '!AM17</f>
        <v>98.016879036430467</v>
      </c>
      <c r="M23" s="251">
        <f>'240 кГЦ '!AO17</f>
        <v>9.80168790364303</v>
      </c>
      <c r="N23" s="241">
        <f>'240 кГЦ '!AQ17</f>
        <v>10.393927977008536</v>
      </c>
      <c r="O23" s="234"/>
      <c r="P23" s="234"/>
      <c r="Q23" s="234"/>
      <c r="R23" s="153">
        <f t="shared" si="2"/>
        <v>45.378184739088177</v>
      </c>
      <c r="S23">
        <f t="shared" si="3"/>
        <v>6.7363331820129098</v>
      </c>
      <c r="T23" s="261">
        <v>7</v>
      </c>
      <c r="U23" s="261">
        <v>38</v>
      </c>
      <c r="V23" s="261">
        <v>6.5</v>
      </c>
      <c r="W23" s="261">
        <v>41</v>
      </c>
      <c r="X23" s="261">
        <f t="shared" si="6"/>
        <v>45.5</v>
      </c>
      <c r="Y23" s="261">
        <f t="shared" si="0"/>
        <v>-0.12181526091182349</v>
      </c>
      <c r="Z23" s="263">
        <f t="shared" si="4"/>
        <v>98.28</v>
      </c>
      <c r="AA23">
        <f t="shared" si="5"/>
        <v>4.1311420938262264</v>
      </c>
    </row>
    <row r="24" spans="3:27">
      <c r="C24" s="217">
        <f>'50 кГЦ новый для ХК.01'!O18</f>
        <v>15</v>
      </c>
      <c r="D24" s="218">
        <f>'240 кГЦ '!P18</f>
        <v>5.55</v>
      </c>
      <c r="E24" s="221">
        <f>'240 кГЦ '!Y18</f>
        <v>5.9805580364108124</v>
      </c>
      <c r="F24" s="251">
        <f t="shared" si="1"/>
        <v>5.9805580364108124</v>
      </c>
      <c r="G24" s="241">
        <f>'240 кГЦ '!AA18</f>
        <v>6.3419168314540686</v>
      </c>
      <c r="H24" s="234">
        <f>'240 кГЦ '!AB18</f>
        <v>33.192097102080012</v>
      </c>
      <c r="I24" s="153"/>
      <c r="J24" s="219">
        <f>'50 кГЦ новый для ХК.01'!AD18</f>
        <v>15</v>
      </c>
      <c r="K24" s="220">
        <f>'240 кГЦ '!AF18</f>
        <v>53</v>
      </c>
      <c r="L24" s="221">
        <f>'240 кГЦ '!AM18</f>
        <v>108.17990287547325</v>
      </c>
      <c r="M24" s="251">
        <f>'240 кГЦ '!AO18</f>
        <v>10.817990287547305</v>
      </c>
      <c r="N24" s="241">
        <f>'240 кГЦ '!AQ18</f>
        <v>11.471637641405943</v>
      </c>
      <c r="O24" s="234"/>
      <c r="P24" s="234"/>
      <c r="Q24" s="234"/>
      <c r="R24" s="153">
        <f t="shared" si="2"/>
        <v>50.083288368274644</v>
      </c>
      <c r="S24">
        <f t="shared" si="3"/>
        <v>7.0769547383231615</v>
      </c>
      <c r="T24" s="261">
        <v>7.2</v>
      </c>
      <c r="U24" s="261">
        <v>37</v>
      </c>
      <c r="V24" s="261">
        <v>7</v>
      </c>
      <c r="W24" s="261">
        <v>38</v>
      </c>
      <c r="X24" s="261">
        <f t="shared" si="6"/>
        <v>50.4</v>
      </c>
      <c r="Y24" s="261">
        <f t="shared" si="0"/>
        <v>-0.31671163172535444</v>
      </c>
      <c r="Z24" s="263">
        <f t="shared" si="4"/>
        <v>108.864</v>
      </c>
      <c r="AA24">
        <f t="shared" si="5"/>
        <v>4.9613886680589605</v>
      </c>
    </row>
    <row r="25" spans="3:27">
      <c r="C25" s="217">
        <f>'50 кГЦ новый для ХК.01'!O19</f>
        <v>16</v>
      </c>
      <c r="D25" s="218">
        <f>'240 кГЦ '!P19</f>
        <v>5.9249999999999998</v>
      </c>
      <c r="E25" s="221">
        <f>'240 кГЦ '!Y19</f>
        <v>6.4169634002948817</v>
      </c>
      <c r="F25" s="251">
        <f t="shared" si="1"/>
        <v>6.4169634002948817</v>
      </c>
      <c r="G25" s="241">
        <f>'240 кГЦ '!AA19</f>
        <v>6.8046907909580554</v>
      </c>
      <c r="H25" s="234">
        <f>'240 кГЦ '!AB19</f>
        <v>38.020508146747204</v>
      </c>
      <c r="I25" s="153"/>
      <c r="J25" s="219">
        <f>'50 кГЦ новый для ХК.01'!AD19</f>
        <v>16</v>
      </c>
      <c r="K25" s="220">
        <f>'240 кГЦ '!AF19</f>
        <v>56</v>
      </c>
      <c r="L25" s="221">
        <f>'240 кГЦ '!AM19</f>
        <v>119.01414926498039</v>
      </c>
      <c r="M25" s="251">
        <f>'240 кГЦ '!AO19</f>
        <v>11.901414926498019</v>
      </c>
      <c r="N25" s="241">
        <f>'240 кГЦ '!AQ19</f>
        <v>12.620525238774222</v>
      </c>
      <c r="O25" s="234"/>
      <c r="P25" s="234"/>
      <c r="Q25" s="234"/>
      <c r="R25" s="153">
        <f t="shared" si="2"/>
        <v>55.099143178231657</v>
      </c>
      <c r="S25">
        <f t="shared" si="3"/>
        <v>7.4228797092659162</v>
      </c>
      <c r="T25" s="261">
        <v>7.6</v>
      </c>
      <c r="U25" s="261">
        <v>34</v>
      </c>
      <c r="V25" s="261">
        <v>7.2</v>
      </c>
      <c r="W25" s="261">
        <v>37</v>
      </c>
      <c r="X25" s="261">
        <f t="shared" si="6"/>
        <v>54.72</v>
      </c>
      <c r="Y25" s="261">
        <f t="shared" si="0"/>
        <v>0.37914317823165788</v>
      </c>
      <c r="Z25" s="263">
        <f t="shared" si="4"/>
        <v>118.1952</v>
      </c>
      <c r="AA25">
        <f t="shared" si="5"/>
        <v>2.3456842382942966</v>
      </c>
    </row>
    <row r="26" spans="3:27">
      <c r="C26" s="217">
        <f>'50 кГЦ новый для ХК.01'!O20</f>
        <v>17</v>
      </c>
      <c r="D26" s="218">
        <f>'240 кГЦ '!P20</f>
        <v>6.3</v>
      </c>
      <c r="E26" s="221">
        <f>'240 кГЦ '!Y20</f>
        <v>6.8576329884167393</v>
      </c>
      <c r="F26" s="251">
        <f t="shared" si="1"/>
        <v>6.8576329884167393</v>
      </c>
      <c r="G26" s="241">
        <f>'240 кГЦ '!AA20</f>
        <v>7.2719866287386301</v>
      </c>
      <c r="H26" s="234">
        <f>'240 кГЦ '!AB20</f>
        <v>43.203087827025456</v>
      </c>
      <c r="I26" s="153"/>
      <c r="J26" s="219">
        <f>'50 кГЦ новый для ХК.01'!AD20</f>
        <v>17</v>
      </c>
      <c r="K26" s="220">
        <f>'240 кГЦ '!AF20</f>
        <v>59</v>
      </c>
      <c r="L26" s="221">
        <f>'240 кГЦ '!AM20</f>
        <v>130.55768271022666</v>
      </c>
      <c r="M26" s="251">
        <f>'240 кГЦ '!AO20</f>
        <v>13.055768271022643</v>
      </c>
      <c r="N26" s="241">
        <f>'240 кГЦ '!AQ20</f>
        <v>13.844627213960376</v>
      </c>
      <c r="O26" s="234"/>
      <c r="P26" s="234"/>
      <c r="Q26" s="234"/>
      <c r="R26" s="153">
        <f t="shared" si="2"/>
        <v>60.44337162510493</v>
      </c>
      <c r="S26">
        <f t="shared" si="3"/>
        <v>7.7745335310296868</v>
      </c>
      <c r="T26" s="261">
        <v>8.1</v>
      </c>
      <c r="U26" s="261">
        <v>32</v>
      </c>
      <c r="V26" s="261">
        <v>7.5</v>
      </c>
      <c r="W26" s="261">
        <v>35</v>
      </c>
      <c r="X26" s="261">
        <f t="shared" si="6"/>
        <v>60.75</v>
      </c>
      <c r="Y26" s="261">
        <f t="shared" si="0"/>
        <v>-0.30662837489506956</v>
      </c>
      <c r="Z26" s="263">
        <f t="shared" si="4"/>
        <v>131.22</v>
      </c>
      <c r="AA26">
        <f t="shared" si="5"/>
        <v>4.9165710949177139</v>
      </c>
    </row>
    <row r="27" spans="3:27">
      <c r="C27" s="217">
        <f>'50 кГЦ новый для ХК.01'!O21</f>
        <v>18</v>
      </c>
      <c r="D27" s="218">
        <f>'240 кГЦ '!P21</f>
        <v>6.6749999999999998</v>
      </c>
      <c r="E27" s="221">
        <f>'240 кГЦ '!Y21</f>
        <v>7.3025987858632666</v>
      </c>
      <c r="F27" s="251">
        <f t="shared" si="1"/>
        <v>7.3025987858632666</v>
      </c>
      <c r="G27" s="241">
        <f>'240 кГЦ '!AA21</f>
        <v>7.7438382624937097</v>
      </c>
      <c r="H27" s="234">
        <f>'240 кГЦ '!AB21</f>
        <v>48.744846895637316</v>
      </c>
      <c r="I27" s="153"/>
      <c r="J27" s="219">
        <f>'50 кГЦ новый для ХК.01'!AD21</f>
        <v>18</v>
      </c>
      <c r="K27" s="220">
        <f>'240 кГЦ '!AF21</f>
        <v>62</v>
      </c>
      <c r="L27" s="221">
        <f>'240 кГЦ '!AM21</f>
        <v>142.85056515573677</v>
      </c>
      <c r="M27" s="251">
        <f>'240 кГЦ '!AO21</f>
        <v>14.285056515573652</v>
      </c>
      <c r="N27" s="241">
        <f>'240 кГЦ '!AQ21</f>
        <v>15.148191824714548</v>
      </c>
      <c r="O27" s="234"/>
      <c r="P27" s="234"/>
      <c r="Q27" s="234"/>
      <c r="R27" s="153">
        <f t="shared" si="2"/>
        <v>66.134520905433689</v>
      </c>
      <c r="S27">
        <f t="shared" si="3"/>
        <v>8.1323133796868454</v>
      </c>
      <c r="T27" s="261">
        <v>8.5</v>
      </c>
      <c r="U27" s="261">
        <v>31</v>
      </c>
      <c r="V27" s="261">
        <v>7.8</v>
      </c>
      <c r="W27" s="261">
        <v>33</v>
      </c>
      <c r="X27" s="261">
        <f t="shared" si="6"/>
        <v>66.3</v>
      </c>
      <c r="Y27" s="261">
        <f t="shared" si="0"/>
        <v>-0.16547909456630805</v>
      </c>
      <c r="Z27" s="263">
        <f t="shared" si="4"/>
        <v>143.208</v>
      </c>
      <c r="AA27">
        <f t="shared" si="5"/>
        <v>4.3105439521590831</v>
      </c>
    </row>
    <row r="28" spans="3:27">
      <c r="C28" s="217">
        <f>'50 кГЦ новый для ХК.01'!O22</f>
        <v>19</v>
      </c>
      <c r="D28" s="218">
        <f>'240 кГЦ '!P22</f>
        <v>7.05</v>
      </c>
      <c r="E28" s="221">
        <f>'240 кГЦ '!Y22</f>
        <v>7.7518929922546755</v>
      </c>
      <c r="F28" s="251">
        <f t="shared" si="1"/>
        <v>7.7518929922546755</v>
      </c>
      <c r="G28" s="241">
        <f>'240 кГЦ '!AA22</f>
        <v>8.2202798374171291</v>
      </c>
      <c r="H28" s="234">
        <f>'240 кГЦ '!AB22</f>
        <v>54.650845595395481</v>
      </c>
      <c r="I28" s="153"/>
      <c r="J28" s="219">
        <f>'50 кГЦ новый для ХК.01'!AD22</f>
        <v>19</v>
      </c>
      <c r="K28" s="220">
        <f>'240 кГЦ '!AF22</f>
        <v>65</v>
      </c>
      <c r="L28" s="221">
        <f>'240 кГЦ '!AM22</f>
        <v>155.93495597377273</v>
      </c>
      <c r="M28" s="251">
        <f>'240 кГЦ '!AO22</f>
        <v>15.593495597377245</v>
      </c>
      <c r="N28" s="241">
        <f>'240 кГЦ '!AQ22</f>
        <v>16.535689744691719</v>
      </c>
      <c r="O28" s="234"/>
      <c r="P28" s="234"/>
      <c r="Q28" s="234"/>
      <c r="R28" s="153">
        <f t="shared" si="2"/>
        <v>72.192109247117003</v>
      </c>
      <c r="S28">
        <f t="shared" si="3"/>
        <v>8.4965939791846594</v>
      </c>
      <c r="T28" s="261">
        <v>8.5</v>
      </c>
      <c r="U28" s="261">
        <v>31</v>
      </c>
      <c r="V28" s="261">
        <v>8.5</v>
      </c>
      <c r="W28" s="261">
        <v>31</v>
      </c>
      <c r="X28" s="261">
        <f t="shared" si="6"/>
        <v>72.25</v>
      </c>
      <c r="Y28" s="261">
        <f t="shared" si="0"/>
        <v>-5.7890752882997276E-2</v>
      </c>
      <c r="Z28" s="263">
        <f t="shared" si="4"/>
        <v>156.06</v>
      </c>
      <c r="AA28">
        <f t="shared" si="5"/>
        <v>3.8753726115408176</v>
      </c>
    </row>
    <row r="29" spans="3:27">
      <c r="C29" s="217">
        <f>'50 кГЦ новый для ХК.01'!O23</f>
        <v>20</v>
      </c>
      <c r="D29" s="218">
        <f>'240 кГЦ '!P23</f>
        <v>7.4249999999999998</v>
      </c>
      <c r="E29" s="221">
        <f>'240 кГЦ '!Y23</f>
        <v>8.2055480230967355</v>
      </c>
      <c r="F29" s="251">
        <f t="shared" si="1"/>
        <v>8.2055480230967355</v>
      </c>
      <c r="G29" s="241">
        <f>'240 кГЦ '!AA23</f>
        <v>8.7013457276325692</v>
      </c>
      <c r="H29" s="234">
        <f>'240 кГЦ '!AB23</f>
        <v>60.926194071493271</v>
      </c>
      <c r="I29" s="153"/>
      <c r="J29" s="219">
        <f>'50 кГЦ новый для ХК.01'!AD23</f>
        <v>20</v>
      </c>
      <c r="K29" s="220">
        <f>'240 кГЦ '!AF23</f>
        <v>68</v>
      </c>
      <c r="L29" s="221">
        <f>'240 кГЦ '!AM23</f>
        <v>169.85521680182444</v>
      </c>
      <c r="M29" s="251">
        <f>'240 кГЦ '!AO23</f>
        <v>16.985521680182416</v>
      </c>
      <c r="N29" s="241">
        <f>'240 кГЦ '!AQ23</f>
        <v>18.011825180652348</v>
      </c>
      <c r="O29" s="234"/>
      <c r="P29" s="234"/>
      <c r="Q29" s="234"/>
      <c r="R29" s="153">
        <f t="shared" si="2"/>
        <v>78.636674445289088</v>
      </c>
      <c r="S29">
        <f t="shared" si="3"/>
        <v>8.8677322041934197</v>
      </c>
      <c r="T29" s="261">
        <v>9.3000000000000007</v>
      </c>
      <c r="U29" s="261">
        <v>29</v>
      </c>
      <c r="V29" s="261">
        <v>8.5</v>
      </c>
      <c r="W29" s="261">
        <v>31</v>
      </c>
      <c r="X29" s="261">
        <f t="shared" si="6"/>
        <v>79.050000000000011</v>
      </c>
      <c r="Y29" s="261">
        <f t="shared" si="0"/>
        <v>-0.41332555471092292</v>
      </c>
      <c r="Z29" s="263">
        <f t="shared" si="4"/>
        <v>170.74800000000005</v>
      </c>
      <c r="AA29">
        <f t="shared" si="5"/>
        <v>5.4011220015541923</v>
      </c>
    </row>
    <row r="30" spans="3:27">
      <c r="C30" s="217">
        <f>'50 кГЦ новый для ХК.01'!O24</f>
        <v>21</v>
      </c>
      <c r="D30" s="218">
        <f>'240 кГЦ '!P24</f>
        <v>7.8</v>
      </c>
      <c r="E30" s="221">
        <f>'240 кГЦ '!Y24</f>
        <v>8.6635965111412503</v>
      </c>
      <c r="F30" s="251">
        <f t="shared" si="1"/>
        <v>8.6635965111412503</v>
      </c>
      <c r="G30" s="241">
        <f>'240 кГЦ '!AA24</f>
        <v>9.1870705376362451</v>
      </c>
      <c r="H30" s="234">
        <f>'240 кГЦ '!AB24</f>
        <v>67.576052786901784</v>
      </c>
      <c r="I30" s="153"/>
      <c r="J30" s="219">
        <f>'50 кГЦ новый для ХК.01'!AD24</f>
        <v>21</v>
      </c>
      <c r="K30" s="220">
        <f>'240 кГЦ '!AF24</f>
        <v>71</v>
      </c>
      <c r="L30" s="221">
        <f>'240 кГЦ '!AM24</f>
        <v>184.65802145894915</v>
      </c>
      <c r="M30" s="251">
        <f>'240 кГЦ '!AO24</f>
        <v>18.465802145894884</v>
      </c>
      <c r="N30" s="241">
        <f>'240 кГЦ '!AQ24</f>
        <v>19.581547528235852</v>
      </c>
      <c r="O30" s="234"/>
      <c r="P30" s="234"/>
      <c r="Q30" s="234"/>
      <c r="R30" s="153">
        <f t="shared" si="2"/>
        <v>85.489824749513488</v>
      </c>
      <c r="S30">
        <f t="shared" si="3"/>
        <v>9.2460707735509722</v>
      </c>
      <c r="T30" s="261">
        <v>9.5</v>
      </c>
      <c r="U30" s="261">
        <v>28</v>
      </c>
      <c r="V30" s="261">
        <v>9</v>
      </c>
      <c r="W30" s="261">
        <v>30</v>
      </c>
      <c r="X30" s="261">
        <f t="shared" si="6"/>
        <v>85.5</v>
      </c>
      <c r="Y30" s="261">
        <f t="shared" si="0"/>
        <v>-1.01752504865118E-2</v>
      </c>
      <c r="Z30" s="263">
        <f t="shared" si="4"/>
        <v>184.68</v>
      </c>
      <c r="AA30">
        <f t="shared" si="5"/>
        <v>3.6897842282184592</v>
      </c>
    </row>
    <row r="31" spans="3:27">
      <c r="C31" s="217">
        <f>'50 кГЦ новый для ХК.01'!O25</f>
        <v>22</v>
      </c>
      <c r="D31" s="218">
        <f>'240 кГЦ '!P25</f>
        <v>8.1750000000000007</v>
      </c>
      <c r="E31" s="221">
        <f>'240 кГЦ '!Y25</f>
        <v>9.1260713077547368</v>
      </c>
      <c r="F31" s="251">
        <f t="shared" si="1"/>
        <v>9.1260713077547368</v>
      </c>
      <c r="G31" s="241">
        <f>'240 кГЦ '!AA25</f>
        <v>9.6774891037482735</v>
      </c>
      <c r="H31" s="234">
        <f>'240 кГЦ '!AB25</f>
        <v>74.605632940895077</v>
      </c>
      <c r="I31" s="153"/>
      <c r="J31" s="219">
        <f>'50 кГЦ новый для ХК.01'!AD25</f>
        <v>22</v>
      </c>
      <c r="K31" s="220">
        <f>'240 кГЦ '!AF25</f>
        <v>74</v>
      </c>
      <c r="L31" s="221">
        <f>'240 кГЦ '!AM25</f>
        <v>200.3924711815331</v>
      </c>
      <c r="M31" s="251">
        <f>'240 кГЦ '!AO25</f>
        <v>20.039247118153273</v>
      </c>
      <c r="N31" s="241">
        <f>'240 кГЦ '!AQ25</f>
        <v>21.250063591817266</v>
      </c>
      <c r="O31" s="234"/>
      <c r="P31" s="234"/>
      <c r="Q31" s="234"/>
      <c r="R31" s="153">
        <f t="shared" si="2"/>
        <v>92.774292213672723</v>
      </c>
      <c r="S31">
        <f t="shared" si="3"/>
        <v>9.6319412484541616</v>
      </c>
      <c r="T31" s="261">
        <v>10</v>
      </c>
      <c r="U31" s="261">
        <v>27</v>
      </c>
      <c r="V31" s="261">
        <v>9.3000000000000007</v>
      </c>
      <c r="W31" s="261">
        <v>29</v>
      </c>
      <c r="X31" s="261">
        <f t="shared" si="6"/>
        <v>93</v>
      </c>
      <c r="Y31" s="261">
        <f t="shared" si="0"/>
        <v>-0.22570778632727695</v>
      </c>
      <c r="Z31" s="263">
        <f t="shared" si="4"/>
        <v>200.88000000000002</v>
      </c>
      <c r="AA31">
        <f t="shared" si="5"/>
        <v>4.5642632544160229</v>
      </c>
    </row>
    <row r="32" spans="3:27">
      <c r="C32" s="217">
        <f>'50 кГЦ новый для ХК.01'!O26</f>
        <v>23</v>
      </c>
      <c r="D32" s="218">
        <f>'240 кГЦ '!P26</f>
        <v>8.5500000000000007</v>
      </c>
      <c r="E32" s="221">
        <f>'240 кГЦ '!Y26</f>
        <v>9.5930054842954409</v>
      </c>
      <c r="F32" s="251">
        <f t="shared" si="1"/>
        <v>9.5930054842954409</v>
      </c>
      <c r="G32" s="241">
        <f>'240 кГЦ '!AA26</f>
        <v>10.172636495572903</v>
      </c>
      <c r="H32" s="234">
        <f>'240 кГЦ '!AB26</f>
        <v>82.020196890726027</v>
      </c>
      <c r="I32" s="153"/>
      <c r="J32" s="219">
        <f>'50 кГЦ новый для ХК.01'!AD26</f>
        <v>23</v>
      </c>
      <c r="K32" s="220">
        <f>'240 кГЦ '!AF26</f>
        <v>77</v>
      </c>
      <c r="L32" s="221">
        <f>'240 кГЦ '!AM26</f>
        <v>217.11021543023102</v>
      </c>
      <c r="M32" s="251">
        <f>'240 кГЦ '!AO26</f>
        <v>21.711021543023065</v>
      </c>
      <c r="N32" s="241">
        <f>'240 кГЦ '!AQ26</f>
        <v>23.022850395143585</v>
      </c>
      <c r="O32" s="234"/>
      <c r="P32" s="234"/>
      <c r="Q32" s="234"/>
      <c r="R32" s="153">
        <f t="shared" si="2"/>
        <v>100.51398862510695</v>
      </c>
      <c r="S32">
        <f t="shared" si="3"/>
        <v>10.025666492812682</v>
      </c>
      <c r="T32" s="261">
        <v>10</v>
      </c>
      <c r="U32" s="261">
        <v>27</v>
      </c>
      <c r="V32" s="261">
        <v>10</v>
      </c>
      <c r="W32" s="261">
        <v>27</v>
      </c>
      <c r="X32" s="261">
        <f t="shared" si="6"/>
        <v>100</v>
      </c>
      <c r="Y32" s="261">
        <f t="shared" si="0"/>
        <v>0.51398862510694698</v>
      </c>
      <c r="Z32" s="263">
        <f t="shared" si="4"/>
        <v>216</v>
      </c>
      <c r="AA32">
        <f t="shared" si="5"/>
        <v>1.9508190252270157</v>
      </c>
    </row>
    <row r="33" spans="3:50">
      <c r="C33" s="217">
        <f>'50 кГЦ новый для ХК.01'!O27</f>
        <v>24</v>
      </c>
      <c r="D33" s="218">
        <f>'240 кГЦ '!P27</f>
        <v>8.9250000000000007</v>
      </c>
      <c r="E33" s="221">
        <f>'240 кГЦ '!Y27</f>
        <v>10.064432333498624</v>
      </c>
      <c r="F33" s="251">
        <f t="shared" si="1"/>
        <v>10.064432333498624</v>
      </c>
      <c r="G33" s="241">
        <f>'240 кГЦ '!AA27</f>
        <v>10.67254801746749</v>
      </c>
      <c r="H33" s="234">
        <f>'240 кГЦ '!AB27</f>
        <v>89.825058576475243</v>
      </c>
      <c r="I33" s="153"/>
      <c r="J33" s="219">
        <f>'50 кГЦ новый для ХК.01'!AD27</f>
        <v>24</v>
      </c>
      <c r="K33" s="220">
        <f>'240 кГЦ '!AF27</f>
        <v>80</v>
      </c>
      <c r="L33" s="221">
        <f>'240 кГЦ '!AM27</f>
        <v>234.86557853157117</v>
      </c>
      <c r="M33" s="251">
        <f>'240 кГЦ '!AO27</f>
        <v>23.486557853157077</v>
      </c>
      <c r="N33" s="241">
        <f>'240 кГЦ '!AQ27</f>
        <v>24.905668610691631</v>
      </c>
      <c r="O33" s="234"/>
      <c r="P33" s="234"/>
      <c r="Q33" s="234"/>
      <c r="R33" s="153">
        <f t="shared" si="2"/>
        <v>108.73406413498665</v>
      </c>
      <c r="S33">
        <f t="shared" si="3"/>
        <v>10.427562713068987</v>
      </c>
      <c r="T33" s="261">
        <v>12</v>
      </c>
      <c r="U33" s="261">
        <v>23</v>
      </c>
      <c r="V33" s="261">
        <v>9</v>
      </c>
      <c r="W33" s="261">
        <v>30</v>
      </c>
      <c r="X33" s="261">
        <f t="shared" si="6"/>
        <v>108</v>
      </c>
      <c r="Y33" s="261">
        <f t="shared" si="0"/>
        <v>0.73406413498665302</v>
      </c>
      <c r="Z33" s="263">
        <f t="shared" si="4"/>
        <v>233.28000000000003</v>
      </c>
      <c r="AA33">
        <f t="shared" si="5"/>
        <v>1.3844857414433964</v>
      </c>
    </row>
    <row r="34" spans="3:50">
      <c r="C34" s="217">
        <f>'50 кГЦ новый для ХК.01'!O28</f>
        <v>25</v>
      </c>
      <c r="D34" s="218">
        <f>'240 кГЦ '!P28</f>
        <v>9.3000000000000007</v>
      </c>
      <c r="E34" s="221">
        <f>'240 кГЦ '!Y28</f>
        <v>10.54038537087032</v>
      </c>
      <c r="F34" s="251">
        <f t="shared" si="1"/>
        <v>10.54038537087032</v>
      </c>
      <c r="G34" s="241">
        <f>'240 кГЦ '!AA28</f>
        <v>11.177259210020475</v>
      </c>
      <c r="H34" s="234">
        <f>'240 кГЦ '!AB28</f>
        <v>98.025583949093942</v>
      </c>
      <c r="I34" s="153"/>
      <c r="J34" s="219">
        <f>'50 кГЦ новый для ХК.01'!AD28</f>
        <v>25</v>
      </c>
      <c r="K34" s="220">
        <f>'240 кГЦ '!AF28</f>
        <v>83</v>
      </c>
      <c r="L34" s="221">
        <f>'240 кГЦ '!AM28</f>
        <v>253.71569242996173</v>
      </c>
      <c r="M34" s="251">
        <f>'240 кГЦ '!AO28</f>
        <v>25.371569242996131</v>
      </c>
      <c r="N34" s="241">
        <f>'240 кГЦ '!AQ28</f>
        <v>26.904576636986416</v>
      </c>
      <c r="O34" s="234"/>
      <c r="P34" s="234"/>
      <c r="Q34" s="234"/>
      <c r="R34" s="153">
        <f t="shared" si="2"/>
        <v>117.46096871757487</v>
      </c>
      <c r="S34">
        <f t="shared" si="3"/>
        <v>10.837941165995268</v>
      </c>
      <c r="T34" s="261">
        <v>12.3</v>
      </c>
      <c r="U34" s="261">
        <v>22</v>
      </c>
      <c r="V34" s="261">
        <v>9.5</v>
      </c>
      <c r="W34" s="261">
        <v>28</v>
      </c>
      <c r="X34" s="261">
        <f t="shared" si="6"/>
        <v>116.85000000000001</v>
      </c>
      <c r="Y34" s="261">
        <f t="shared" si="0"/>
        <v>0.61096871757486326</v>
      </c>
      <c r="Z34" s="263">
        <f t="shared" si="4"/>
        <v>252.39600000000004</v>
      </c>
      <c r="AA34">
        <f t="shared" si="5"/>
        <v>1.6893166310054968</v>
      </c>
    </row>
    <row r="35" spans="3:50">
      <c r="C35" s="217">
        <f>'50 кГЦ новый для ХК.01'!O29</f>
        <v>26</v>
      </c>
      <c r="D35" s="218">
        <f>'240 кГЦ '!P29</f>
        <v>9.6750000000000007</v>
      </c>
      <c r="E35" s="221">
        <f>'240 кГЦ '!Y29</f>
        <v>11.02089833608944</v>
      </c>
      <c r="F35" s="251">
        <f t="shared" si="1"/>
        <v>11.02089833608944</v>
      </c>
      <c r="G35" s="241">
        <f>'240 кГЦ '!AA29</f>
        <v>11.686805851538212</v>
      </c>
      <c r="H35" s="234">
        <f>'240 кГЦ '!AB29</f>
        <v>106.62719140166548</v>
      </c>
      <c r="I35" s="153"/>
      <c r="J35" s="219">
        <f>'50 кГЦ новый для ХК.01'!AD29</f>
        <v>26</v>
      </c>
      <c r="K35" s="220">
        <f>'240 кГЦ '!AF29</f>
        <v>86</v>
      </c>
      <c r="L35" s="221">
        <f>'240 кГЦ '!AM29</f>
        <v>273.72063583865167</v>
      </c>
      <c r="M35" s="251">
        <f>'240 кГЦ '!AO29</f>
        <v>27.372063583865121</v>
      </c>
      <c r="N35" s="241">
        <f>'240 кГЦ '!AQ29</f>
        <v>29.02594535447809</v>
      </c>
      <c r="O35" s="234"/>
      <c r="P35" s="234"/>
      <c r="Q35" s="234"/>
      <c r="R35" s="153">
        <f t="shared" si="2"/>
        <v>126.72251659196836</v>
      </c>
      <c r="S35">
        <f t="shared" si="3"/>
        <v>11.257109602023441</v>
      </c>
      <c r="T35" s="261">
        <v>12.3</v>
      </c>
      <c r="U35" s="261">
        <v>22</v>
      </c>
      <c r="V35" s="261">
        <v>10.3</v>
      </c>
      <c r="W35" s="261">
        <v>26</v>
      </c>
      <c r="X35" s="261">
        <f t="shared" si="6"/>
        <v>126.69000000000001</v>
      </c>
      <c r="Y35" s="261">
        <f t="shared" si="0"/>
        <v>3.2516591968345665E-2</v>
      </c>
      <c r="Z35" s="263">
        <f t="shared" si="4"/>
        <v>273.65040000000005</v>
      </c>
      <c r="AA35">
        <f t="shared" si="5"/>
        <v>3.5275949144195584</v>
      </c>
    </row>
    <row r="36" spans="3:50">
      <c r="C36" s="217">
        <f>'50 кГЦ новый для ХК.01'!O30</f>
        <v>27</v>
      </c>
      <c r="D36" s="218">
        <f>'240 кГЦ '!P30</f>
        <v>10.050000000000001</v>
      </c>
      <c r="E36" s="221">
        <f>'240 кГЦ '!Y30</f>
        <v>11.506005194418453</v>
      </c>
      <c r="F36" s="251">
        <f t="shared" si="1"/>
        <v>11.506005194418453</v>
      </c>
      <c r="G36" s="241">
        <f>'240 кГЦ '!AA30</f>
        <v>12.201223959540876</v>
      </c>
      <c r="H36" s="234">
        <f>'240 кГЦ '!AB30</f>
        <v>115.63535220390541</v>
      </c>
      <c r="I36" s="153"/>
      <c r="J36" s="219">
        <f>'50 кГЦ новый для ХК.01'!AD30</f>
        <v>27</v>
      </c>
      <c r="K36" s="220">
        <f>'240 кГЦ '!AF30</f>
        <v>89</v>
      </c>
      <c r="L36" s="221">
        <f>'240 кГЦ '!AM30</f>
        <v>294.9435800916101</v>
      </c>
      <c r="M36" s="251">
        <f>'240 кГЦ '!AO30</f>
        <v>29.494358009160958</v>
      </c>
      <c r="N36" s="241">
        <f>'240 кГЦ '!AQ30</f>
        <v>31.276473592000642</v>
      </c>
      <c r="O36" s="234"/>
      <c r="P36" s="234"/>
      <c r="Q36" s="234"/>
      <c r="R36" s="153">
        <f t="shared" si="2"/>
        <v>136.54795374611578</v>
      </c>
      <c r="S36">
        <f t="shared" si="3"/>
        <v>11.685373496218073</v>
      </c>
      <c r="T36" s="261">
        <v>12.3</v>
      </c>
      <c r="U36" s="261">
        <v>22</v>
      </c>
      <c r="V36" s="261">
        <v>11</v>
      </c>
      <c r="W36" s="261">
        <v>25</v>
      </c>
      <c r="X36" s="261">
        <f t="shared" si="6"/>
        <v>135.30000000000001</v>
      </c>
      <c r="Y36" s="261">
        <f t="shared" si="0"/>
        <v>1.247953746115769</v>
      </c>
      <c r="Z36" s="263">
        <f t="shared" si="4"/>
        <v>292.24800000000005</v>
      </c>
      <c r="AA36">
        <f t="shared" si="5"/>
        <v>0.43924036017783052</v>
      </c>
    </row>
    <row r="37" spans="3:50">
      <c r="C37" s="217">
        <f>'50 кГЦ новый для ХК.01'!O31</f>
        <v>28</v>
      </c>
      <c r="D37" s="218">
        <f>'240 кГЦ '!P31</f>
        <v>10.425000000000001</v>
      </c>
      <c r="E37" s="221">
        <f>'240 кГЦ '!Y31</f>
        <v>11.995740138122505</v>
      </c>
      <c r="F37" s="251">
        <f t="shared" si="1"/>
        <v>11.995740138122505</v>
      </c>
      <c r="G37" s="241">
        <f>'240 кГЦ '!AA31</f>
        <v>12.720549792267331</v>
      </c>
      <c r="H37" s="234">
        <f>'240 кГЦ '!AB31</f>
        <v>125.05559093992711</v>
      </c>
      <c r="I37" s="153"/>
      <c r="J37" s="219">
        <f>'50 кГЦ новый для ХК.01'!AD31</f>
        <v>28</v>
      </c>
      <c r="K37" s="220">
        <f>'240 кГЦ '!AF31</f>
        <v>92</v>
      </c>
      <c r="L37" s="221">
        <f>'240 кГЦ '!AM31</f>
        <v>317.4509420123012</v>
      </c>
      <c r="M37" s="251">
        <f>'240 кГЦ '!AO31</f>
        <v>31.745094201230064</v>
      </c>
      <c r="N37" s="241">
        <f>'240 кГЦ '!AQ31</f>
        <v>33.663204337316266</v>
      </c>
      <c r="O37" s="234"/>
      <c r="P37" s="234"/>
      <c r="Q37" s="234"/>
      <c r="R37" s="153">
        <f t="shared" si="2"/>
        <v>146.96802870939868</v>
      </c>
      <c r="S37">
        <f t="shared" si="3"/>
        <v>12.123037107482542</v>
      </c>
      <c r="T37" s="261">
        <v>12.3</v>
      </c>
      <c r="U37" s="261">
        <v>22</v>
      </c>
      <c r="V37" s="261">
        <v>12</v>
      </c>
      <c r="W37" s="261">
        <v>23</v>
      </c>
      <c r="X37" s="261">
        <f t="shared" si="6"/>
        <v>147.60000000000002</v>
      </c>
      <c r="Y37" s="261">
        <f t="shared" si="0"/>
        <v>-0.63197129060134216</v>
      </c>
      <c r="Z37" s="263">
        <f t="shared" si="4"/>
        <v>318.81600000000009</v>
      </c>
      <c r="AA37">
        <f t="shared" si="5"/>
        <v>6.4652070757690412</v>
      </c>
    </row>
    <row r="38" spans="3:50">
      <c r="C38" s="217">
        <f>'50 кГЦ новый для ХК.01'!O32</f>
        <v>29</v>
      </c>
      <c r="D38" s="218">
        <f>'240 кГЦ '!P32</f>
        <v>10.8</v>
      </c>
      <c r="E38" s="221">
        <f>'240 кГЦ '!Y32</f>
        <v>12.490137587897255</v>
      </c>
      <c r="F38" s="251">
        <f t="shared" si="1"/>
        <v>12.490137587897255</v>
      </c>
      <c r="G38" s="241">
        <f>'240 кГЦ '!AA32</f>
        <v>13.244819850189243</v>
      </c>
      <c r="H38" s="234">
        <f>'240 кГЦ '!AB32</f>
        <v>134.89348594929029</v>
      </c>
      <c r="I38" s="153"/>
      <c r="J38" s="219">
        <f>'50 кГЦ новый для ХК.01'!AD32</f>
        <v>29</v>
      </c>
      <c r="K38" s="220">
        <f>'240 кГЦ '!AF32</f>
        <v>95</v>
      </c>
      <c r="L38" s="221">
        <f>'240 кГЦ '!AM32</f>
        <v>341.31254413000727</v>
      </c>
      <c r="M38" s="251">
        <f>'240 кГЦ '!AO32</f>
        <v>34.131254413000669</v>
      </c>
      <c r="N38" s="241">
        <f>'240 кГЦ '!AQ32</f>
        <v>36.193541726811041</v>
      </c>
      <c r="O38" s="234"/>
      <c r="P38" s="234"/>
      <c r="Q38" s="234"/>
      <c r="R38" s="153">
        <f t="shared" si="2"/>
        <v>158.0150667268552</v>
      </c>
      <c r="S38">
        <f t="shared" si="3"/>
        <v>12.570404397904436</v>
      </c>
      <c r="T38" s="261">
        <v>14</v>
      </c>
      <c r="U38" s="261">
        <v>19</v>
      </c>
      <c r="V38" s="261">
        <v>11.2</v>
      </c>
      <c r="W38" s="261">
        <v>24</v>
      </c>
      <c r="X38" s="261">
        <f t="shared" si="6"/>
        <v>156.79999999999998</v>
      </c>
      <c r="Y38" s="261">
        <f t="shared" si="0"/>
        <v>1.2150667268552127</v>
      </c>
      <c r="Z38" s="263">
        <f t="shared" si="4"/>
        <v>338.68799999999999</v>
      </c>
      <c r="AA38">
        <f t="shared" si="5"/>
        <v>0.48391379906985404</v>
      </c>
    </row>
    <row r="39" spans="3:50">
      <c r="C39" s="217">
        <f>'50 кГЦ новый для ХК.01'!O33</f>
        <v>30</v>
      </c>
      <c r="D39" s="218">
        <f>'240 кГЦ '!P33</f>
        <v>11.175000000000001</v>
      </c>
      <c r="E39" s="221">
        <f>'240 кГЦ '!Y33</f>
        <v>12.989232194305199</v>
      </c>
      <c r="F39" s="251">
        <f t="shared" si="1"/>
        <v>12.989232194305199</v>
      </c>
      <c r="G39" s="241">
        <f>'240 кГЦ '!AA33</f>
        <v>13.774070877534186</v>
      </c>
      <c r="H39" s="234">
        <f>'240 кГЦ '!AB33</f>
        <v>145.15466977136057</v>
      </c>
      <c r="I39" s="153"/>
      <c r="J39" s="219">
        <f>'50 кГЦ новый для ХК.01'!AD33</f>
        <v>30</v>
      </c>
      <c r="K39" s="220">
        <f>'240 кГЦ '!AF33</f>
        <v>98</v>
      </c>
      <c r="L39" s="221">
        <f>'240 кГЦ '!AM33</f>
        <v>366.60178258966619</v>
      </c>
      <c r="M39" s="251">
        <f>'240 кГЦ '!AO33</f>
        <v>36.660178258966553</v>
      </c>
      <c r="N39" s="241">
        <f>'240 кГЦ '!AQ33</f>
        <v>38.875268851028004</v>
      </c>
      <c r="O39" s="234"/>
      <c r="P39" s="234"/>
      <c r="Q39" s="234"/>
      <c r="R39" s="153">
        <f t="shared" si="2"/>
        <v>169.72304749521581</v>
      </c>
      <c r="S39">
        <f t="shared" si="3"/>
        <v>13.027779837532403</v>
      </c>
      <c r="T39" s="261">
        <v>13</v>
      </c>
      <c r="U39" s="261">
        <v>21</v>
      </c>
      <c r="V39" s="261">
        <v>13</v>
      </c>
      <c r="W39" s="261">
        <v>21</v>
      </c>
      <c r="X39" s="261">
        <f t="shared" si="6"/>
        <v>169</v>
      </c>
      <c r="Y39" s="261">
        <f t="shared" si="0"/>
        <v>0.72304749521580902</v>
      </c>
      <c r="Z39" s="263">
        <f t="shared" si="4"/>
        <v>365.04</v>
      </c>
      <c r="AA39">
        <f t="shared" si="5"/>
        <v>1.4105323837717223</v>
      </c>
    </row>
    <row r="40" spans="3:50">
      <c r="C40" s="217">
        <f>'50 кГЦ новый для ХК.01'!O34</f>
        <v>31</v>
      </c>
      <c r="D40" s="218">
        <f>'240 кГЦ '!P34</f>
        <v>11.55</v>
      </c>
      <c r="E40" s="221">
        <f>'240 кГЦ '!Y34</f>
        <v>13.493058839220788</v>
      </c>
      <c r="F40" s="251">
        <f t="shared" si="1"/>
        <v>13.493058839220788</v>
      </c>
      <c r="G40" s="241">
        <f>'240 кГЦ '!AA34</f>
        <v>14.308339863818082</v>
      </c>
      <c r="H40" s="234">
        <f>'240 кГЦ '!AB34</f>
        <v>155.84482959300027</v>
      </c>
      <c r="I40" s="153"/>
      <c r="J40" s="219">
        <f>'50 кГЦ новый для ХК.01'!AD34</f>
        <v>31</v>
      </c>
      <c r="K40" s="220">
        <f>'240 кГЦ '!AF34</f>
        <v>101</v>
      </c>
      <c r="L40" s="221">
        <f>'240 кГЦ '!AM34</f>
        <v>393.39580311726604</v>
      </c>
      <c r="M40" s="251">
        <f>'240 кГЦ '!AO34</f>
        <v>39.339580311726536</v>
      </c>
      <c r="N40" s="241">
        <f>'240 кГЦ '!AQ34</f>
        <v>41.716566414428804</v>
      </c>
      <c r="O40" s="234"/>
      <c r="P40" s="234"/>
      <c r="Q40" s="234"/>
      <c r="R40" s="153">
        <f t="shared" si="2"/>
        <v>182.1276866283639</v>
      </c>
      <c r="S40">
        <f t="shared" si="3"/>
        <v>13.49546911479419</v>
      </c>
      <c r="T40" s="261">
        <v>13.5</v>
      </c>
      <c r="U40" s="261">
        <v>20</v>
      </c>
      <c r="V40" s="261">
        <v>13.5</v>
      </c>
      <c r="W40" s="261">
        <v>20</v>
      </c>
      <c r="X40" s="261">
        <f t="shared" si="6"/>
        <v>182.25</v>
      </c>
      <c r="Y40" s="261">
        <f t="shared" si="0"/>
        <v>-0.12231337163609624</v>
      </c>
      <c r="Z40" s="263">
        <f t="shared" si="4"/>
        <v>393.66</v>
      </c>
      <c r="AA40">
        <f t="shared" si="5"/>
        <v>4.1331671830725769</v>
      </c>
    </row>
    <row r="41" spans="3:50">
      <c r="C41" s="217">
        <f>'50 кГЦ новый для ХК.01'!O35</f>
        <v>32</v>
      </c>
      <c r="D41" s="218">
        <f>'240 кГЦ '!P35</f>
        <v>11.925000000000001</v>
      </c>
      <c r="E41" s="221">
        <f>'240 кГЦ '!Y35</f>
        <v>14.00165263728425</v>
      </c>
      <c r="F41" s="251">
        <f t="shared" si="1"/>
        <v>14.00165263728425</v>
      </c>
      <c r="G41" s="241">
        <f>'240 кГЦ '!AA35</f>
        <v>14.847664045386857</v>
      </c>
      <c r="H41" s="234">
        <f>'240 кГЦ '!AB35</f>
        <v>166.96970769961482</v>
      </c>
      <c r="I41" s="153"/>
      <c r="J41" s="219">
        <f>'50 кГЦ новый для ХК.01'!AD35</f>
        <v>32</v>
      </c>
      <c r="K41" s="220">
        <f>'240 кГЦ '!AF35</f>
        <v>104</v>
      </c>
      <c r="L41" s="221">
        <f>'240 кГЦ '!AM35</f>
        <v>421.77568541955526</v>
      </c>
      <c r="M41" s="251">
        <f>'240 кГЦ '!AO35</f>
        <v>42.177568541955452</v>
      </c>
      <c r="N41" s="241">
        <f>'240 кГЦ '!AQ35</f>
        <v>44.726032289549565</v>
      </c>
      <c r="O41" s="234"/>
      <c r="P41" s="234"/>
      <c r="Q41" s="234"/>
      <c r="R41" s="153">
        <f t="shared" si="2"/>
        <v>195.26652102757186</v>
      </c>
      <c r="S41">
        <f t="shared" si="3"/>
        <v>13.973779768823174</v>
      </c>
      <c r="T41" s="261">
        <v>14</v>
      </c>
      <c r="U41" s="261">
        <v>19</v>
      </c>
      <c r="V41" s="261">
        <v>14</v>
      </c>
      <c r="W41" s="261">
        <v>19</v>
      </c>
      <c r="X41" s="261">
        <f t="shared" si="6"/>
        <v>196</v>
      </c>
      <c r="Y41" s="261">
        <f t="shared" si="0"/>
        <v>-0.73347897242814497</v>
      </c>
      <c r="Z41" s="263">
        <f t="shared" si="4"/>
        <v>423.36</v>
      </c>
      <c r="AA41">
        <f t="shared" si="5"/>
        <v>6.9917134109663808</v>
      </c>
    </row>
    <row r="42" spans="3:50">
      <c r="C42" s="217">
        <f>'50 кГЦ новый для ХК.01'!O36</f>
        <v>33</v>
      </c>
      <c r="D42" s="218">
        <f>'240 кГЦ '!P36</f>
        <v>12.3</v>
      </c>
      <c r="E42" s="221">
        <f>'240 кГЦ '!Y36</f>
        <v>14.515048937364231</v>
      </c>
      <c r="F42" s="251">
        <f t="shared" si="1"/>
        <v>14.515048937364231</v>
      </c>
      <c r="G42" s="241">
        <f>'240 кГЦ '!AA36</f>
        <v>15.392080906967468</v>
      </c>
      <c r="H42" s="234">
        <f>'240 кГЦ '!AB36</f>
        <v>178.53510192958024</v>
      </c>
      <c r="I42" s="153"/>
      <c r="J42" s="219">
        <f>'50 кГЦ новый для ХК.01'!AD36</f>
        <v>33</v>
      </c>
      <c r="K42" s="220">
        <f>'240 кГЦ '!AF36</f>
        <v>107</v>
      </c>
      <c r="L42" s="221">
        <f>'240 кГЦ '!AM36</f>
        <v>451.82663641443332</v>
      </c>
      <c r="M42" s="251">
        <f>'240 кГЦ '!AO36</f>
        <v>45.182663641443256</v>
      </c>
      <c r="N42" s="241">
        <f>'240 кГЦ '!AQ36</f>
        <v>47.912702007581238</v>
      </c>
      <c r="O42" s="234"/>
      <c r="P42" s="234"/>
      <c r="Q42" s="234"/>
      <c r="R42" s="153">
        <f t="shared" si="2"/>
        <v>209.17899834001543</v>
      </c>
      <c r="S42">
        <f t="shared" si="3"/>
        <v>14.463021756881078</v>
      </c>
      <c r="T42" s="261">
        <v>15</v>
      </c>
      <c r="U42" s="261">
        <v>18</v>
      </c>
      <c r="V42" s="261">
        <v>14</v>
      </c>
      <c r="W42" s="261">
        <v>19</v>
      </c>
      <c r="X42" s="261">
        <f t="shared" si="6"/>
        <v>210</v>
      </c>
      <c r="Y42" s="261">
        <f t="shared" ref="Y42:Y73" si="7">R42-X42</f>
        <v>-0.82100165998457442</v>
      </c>
      <c r="Z42" s="263">
        <f t="shared" si="4"/>
        <v>453.6</v>
      </c>
      <c r="AA42">
        <f t="shared" si="5"/>
        <v>7.4622259570983589</v>
      </c>
    </row>
    <row r="43" spans="3:50">
      <c r="C43" s="217">
        <f>'50 кГЦ новый для ХК.01'!O37</f>
        <v>34</v>
      </c>
      <c r="D43" s="218">
        <f>'240 кГЦ '!P37</f>
        <v>12.675000000000001</v>
      </c>
      <c r="E43" s="221">
        <f>'240 кГЦ '!Y37</f>
        <v>15.033283324029192</v>
      </c>
      <c r="F43" s="251">
        <f t="shared" si="1"/>
        <v>15.033283324029192</v>
      </c>
      <c r="G43" s="241">
        <f>'240 кГЦ '!AA37</f>
        <v>15.941628183228199</v>
      </c>
      <c r="H43" s="234">
        <f>'240 кГЦ '!AB37</f>
        <v>190.54686613206999</v>
      </c>
      <c r="I43" s="153"/>
      <c r="J43" s="219">
        <f>'50 кГЦ новый для ХК.01'!AD37</f>
        <v>34</v>
      </c>
      <c r="K43" s="220">
        <f>'240 кГЦ '!AF37</f>
        <v>110</v>
      </c>
      <c r="L43" s="221">
        <f>'240 кГЦ '!AM37</f>
        <v>483.63819270666556</v>
      </c>
      <c r="M43" s="251">
        <f>'240 кГЦ '!AO37</f>
        <v>48.363819270666468</v>
      </c>
      <c r="N43" s="241">
        <f>'240 кГЦ '!AQ37</f>
        <v>51.286070229345633</v>
      </c>
      <c r="O43" s="234"/>
      <c r="P43" s="234"/>
      <c r="Q43" s="234"/>
      <c r="R43" s="153">
        <f t="shared" si="2"/>
        <v>223.90657069753033</v>
      </c>
      <c r="S43">
        <f t="shared" si="3"/>
        <v>14.963507967636811</v>
      </c>
      <c r="T43" s="261">
        <v>15</v>
      </c>
      <c r="U43" s="261">
        <v>19</v>
      </c>
      <c r="V43" s="261">
        <v>15</v>
      </c>
      <c r="W43" s="261">
        <v>19</v>
      </c>
      <c r="X43" s="261">
        <f t="shared" si="6"/>
        <v>225</v>
      </c>
      <c r="Y43" s="261">
        <f t="shared" si="7"/>
        <v>-1.0934293024696728</v>
      </c>
      <c r="Z43" s="263">
        <f t="shared" si="4"/>
        <v>486.00000000000006</v>
      </c>
      <c r="AA43">
        <f t="shared" si="5"/>
        <v>9.0248280549853792</v>
      </c>
      <c r="AO43" s="270">
        <v>1</v>
      </c>
      <c r="AP43">
        <v>205</v>
      </c>
      <c r="AQ43" s="270">
        <v>55</v>
      </c>
      <c r="AR43">
        <v>4.9000000000000004</v>
      </c>
      <c r="AS43" s="270">
        <v>109</v>
      </c>
      <c r="AT43">
        <v>2.4</v>
      </c>
      <c r="AU43" s="270">
        <v>163</v>
      </c>
      <c r="AV43">
        <v>1.58</v>
      </c>
      <c r="AW43" s="270">
        <v>217</v>
      </c>
      <c r="AX43">
        <v>1.19</v>
      </c>
    </row>
    <row r="44" spans="3:50">
      <c r="C44" s="217">
        <f>'50 кГЦ новый для ХК.01'!O38</f>
        <v>35</v>
      </c>
      <c r="D44" s="218">
        <f>'240 кГЦ '!P38</f>
        <v>13.05</v>
      </c>
      <c r="E44" s="221">
        <f>'240 кГЦ '!Y38</f>
        <v>15.55639161902784</v>
      </c>
      <c r="F44" s="251">
        <f t="shared" si="1"/>
        <v>15.55639161902784</v>
      </c>
      <c r="G44" s="241">
        <f>'240 кГЦ '!AA38</f>
        <v>16.496343860348549</v>
      </c>
      <c r="H44" s="234">
        <f>'240 кГЦ '!AB38</f>
        <v>203.01091062831367</v>
      </c>
      <c r="I44" s="153"/>
      <c r="J44" s="219">
        <f>'50 кГЦ новый для ХК.01'!AD38</f>
        <v>35</v>
      </c>
      <c r="K44" s="220">
        <f>'240 кГЦ '!AF38</f>
        <v>113</v>
      </c>
      <c r="L44" s="221">
        <f>'240 кГЦ '!AM38</f>
        <v>517.30443274279526</v>
      </c>
      <c r="M44" s="251">
        <f>'240 кГЦ '!AO38</f>
        <v>51.730443274279438</v>
      </c>
      <c r="N44" s="241">
        <f>'240 кГЦ '!AQ38</f>
        <v>54.856113242673509</v>
      </c>
      <c r="O44" s="234"/>
      <c r="P44" s="234"/>
      <c r="Q44" s="234"/>
      <c r="R44" s="153">
        <f t="shared" si="2"/>
        <v>239.49279293647928</v>
      </c>
      <c r="S44">
        <f t="shared" si="3"/>
        <v>15.475554689137294</v>
      </c>
      <c r="T44" s="261">
        <v>20</v>
      </c>
      <c r="U44" s="261">
        <v>14</v>
      </c>
      <c r="V44" s="261">
        <v>12</v>
      </c>
      <c r="W44" s="261">
        <v>23</v>
      </c>
      <c r="X44" s="261">
        <f t="shared" si="6"/>
        <v>240</v>
      </c>
      <c r="Y44" s="261">
        <f t="shared" si="7"/>
        <v>-0.50720706352072398</v>
      </c>
      <c r="Z44" s="263">
        <f t="shared" si="4"/>
        <v>518.40000000000009</v>
      </c>
      <c r="AA44">
        <f t="shared" si="5"/>
        <v>5.8463028901131677</v>
      </c>
      <c r="AO44" s="270">
        <f>AO43+1</f>
        <v>2</v>
      </c>
      <c r="AP44">
        <v>125</v>
      </c>
      <c r="AQ44" s="270">
        <f>AQ43+1</f>
        <v>56</v>
      </c>
      <c r="AR44">
        <v>4.8</v>
      </c>
      <c r="AS44" s="270">
        <f>AS43+1</f>
        <v>110</v>
      </c>
      <c r="AT44">
        <v>2.38</v>
      </c>
      <c r="AU44" s="270">
        <f>AU43+1</f>
        <v>164</v>
      </c>
      <c r="AV44">
        <v>1.57</v>
      </c>
      <c r="AW44" s="270">
        <f>AW43+1</f>
        <v>218</v>
      </c>
      <c r="AX44">
        <v>1.19</v>
      </c>
    </row>
    <row r="45" spans="3:50">
      <c r="C45" s="217">
        <f>'50 кГЦ новый для ХК.01'!O39</f>
        <v>36</v>
      </c>
      <c r="D45" s="218">
        <f>'240 кГЦ '!P39</f>
        <v>13.425000000000001</v>
      </c>
      <c r="E45" s="221">
        <f>'240 кГЦ '!Y39</f>
        <v>16.084409882778381</v>
      </c>
      <c r="F45" s="251">
        <f t="shared" si="1"/>
        <v>16.084409882778381</v>
      </c>
      <c r="G45" s="241">
        <f>'240 кГЦ '!AA39</f>
        <v>17.056266177598456</v>
      </c>
      <c r="H45" s="234">
        <f>'240 кГЦ '!AB39</f>
        <v>215.93320267629963</v>
      </c>
      <c r="I45" s="153"/>
      <c r="J45" s="219">
        <f>'50 кГЦ новый для ХК.01'!AD39</f>
        <v>36</v>
      </c>
      <c r="K45" s="220">
        <f>'240 кГЦ '!AF39</f>
        <v>116</v>
      </c>
      <c r="L45" s="221">
        <f>'240 кГЦ '!AM39</f>
        <v>552.92419909915941</v>
      </c>
      <c r="M45" s="251">
        <f>'240 кГЦ '!AO39</f>
        <v>55.292419909915843</v>
      </c>
      <c r="N45" s="241">
        <f>'240 кГЦ '!AQ39</f>
        <v>58.633312534321071</v>
      </c>
      <c r="O45" s="234"/>
      <c r="P45" s="234"/>
      <c r="Q45" s="234"/>
      <c r="R45" s="153">
        <f t="shared" si="2"/>
        <v>255.98342550887008</v>
      </c>
      <c r="S45">
        <f t="shared" si="3"/>
        <v>15.999482038768321</v>
      </c>
      <c r="T45" s="261">
        <v>19</v>
      </c>
      <c r="U45" s="261">
        <v>15</v>
      </c>
      <c r="V45" s="261">
        <v>13.5</v>
      </c>
      <c r="W45" s="261">
        <v>20</v>
      </c>
      <c r="X45" s="261">
        <f t="shared" si="6"/>
        <v>256.5</v>
      </c>
      <c r="Y45" s="261">
        <f t="shared" si="7"/>
        <v>-0.51657449112991571</v>
      </c>
      <c r="Z45" s="263">
        <f t="shared" si="4"/>
        <v>554.04000000000008</v>
      </c>
      <c r="AA45">
        <f t="shared" si="5"/>
        <v>5.8916898873055032</v>
      </c>
      <c r="AO45" s="270">
        <f t="shared" ref="AO45:AO94" si="8">AO44+1</f>
        <v>3</v>
      </c>
      <c r="AP45">
        <v>79</v>
      </c>
      <c r="AQ45" s="270">
        <f t="shared" ref="AQ45:AQ96" si="9">AQ44+1</f>
        <v>57</v>
      </c>
      <c r="AR45">
        <v>4.7</v>
      </c>
      <c r="AS45" s="270">
        <f t="shared" ref="AS45:AS96" si="10">AS44+1</f>
        <v>111</v>
      </c>
      <c r="AT45">
        <v>2.35</v>
      </c>
      <c r="AU45" s="270">
        <f t="shared" ref="AU45:AU96" si="11">AU44+1</f>
        <v>165</v>
      </c>
      <c r="AV45">
        <v>1.56</v>
      </c>
      <c r="AW45" s="270">
        <f t="shared" ref="AW45:AW82" si="12">AW44+1</f>
        <v>219</v>
      </c>
      <c r="AX45">
        <v>1.18</v>
      </c>
    </row>
    <row r="46" spans="3:50">
      <c r="C46" s="217">
        <f>'50 кГЦ новый для ХК.01'!O40</f>
        <v>37</v>
      </c>
      <c r="D46" s="218">
        <f>'240 кГЦ '!P40</f>
        <v>13.8</v>
      </c>
      <c r="E46" s="221">
        <f>'240 кГЦ '!Y40</f>
        <v>16.617374415866792</v>
      </c>
      <c r="F46" s="251">
        <f t="shared" si="1"/>
        <v>16.617374415866792</v>
      </c>
      <c r="G46" s="241">
        <f>'240 кГЦ '!AA40</f>
        <v>17.621433628927118</v>
      </c>
      <c r="H46" s="234">
        <f>'240 кГЦ '!AB40</f>
        <v>229.31976693896164</v>
      </c>
      <c r="I46" s="153"/>
      <c r="J46" s="219">
        <f>'50 кГЦ новый для ХК.01'!AD40</f>
        <v>37</v>
      </c>
      <c r="K46" s="220">
        <f>'240 кГЦ '!AF40</f>
        <v>119</v>
      </c>
      <c r="L46" s="221">
        <f>'240 кГЦ '!AM40</f>
        <v>590.60133137787977</v>
      </c>
      <c r="M46" s="251">
        <f>'240 кГЦ '!AO40</f>
        <v>59.060133137787872</v>
      </c>
      <c r="N46" s="241">
        <f>'240 кГЦ '!AQ40</f>
        <v>62.628679486779284</v>
      </c>
      <c r="O46" s="234"/>
      <c r="P46" s="234"/>
      <c r="Q46" s="234"/>
      <c r="R46" s="153">
        <f t="shared" si="2"/>
        <v>273.42654230457396</v>
      </c>
      <c r="S46">
        <f t="shared" si="3"/>
        <v>16.535614361268042</v>
      </c>
      <c r="T46" s="261">
        <v>16.5</v>
      </c>
      <c r="U46" s="261">
        <v>16</v>
      </c>
      <c r="V46" s="261">
        <v>16.5</v>
      </c>
      <c r="W46" s="261">
        <v>16</v>
      </c>
      <c r="X46" s="261">
        <f t="shared" si="6"/>
        <v>272.25</v>
      </c>
      <c r="Y46" s="261">
        <f t="shared" si="7"/>
        <v>1.1765423045739567</v>
      </c>
      <c r="Z46" s="263">
        <f t="shared" si="4"/>
        <v>588.06000000000006</v>
      </c>
      <c r="AA46">
        <f t="shared" si="5"/>
        <v>0.53899612137443342</v>
      </c>
      <c r="AO46" s="270">
        <f t="shared" si="8"/>
        <v>4</v>
      </c>
      <c r="AP46">
        <v>69</v>
      </c>
      <c r="AQ46" s="270">
        <f t="shared" si="9"/>
        <v>58</v>
      </c>
      <c r="AR46">
        <v>4.5999999999999996</v>
      </c>
      <c r="AS46" s="270">
        <f t="shared" si="10"/>
        <v>112</v>
      </c>
      <c r="AT46">
        <v>2.3199999999999998</v>
      </c>
      <c r="AU46" s="270">
        <f t="shared" si="11"/>
        <v>166</v>
      </c>
      <c r="AV46">
        <v>1.55</v>
      </c>
      <c r="AW46" s="270">
        <f t="shared" si="12"/>
        <v>220</v>
      </c>
      <c r="AX46">
        <v>1.17</v>
      </c>
    </row>
    <row r="47" spans="3:50">
      <c r="C47" s="217">
        <f>'50 кГЦ новый для ХК.01'!O41</f>
        <v>38</v>
      </c>
      <c r="D47" s="218">
        <f>'240 кГЦ '!P41</f>
        <v>14.175000000000001</v>
      </c>
      <c r="E47" s="221">
        <f>'240 кГЦ '!Y41</f>
        <v>17.155321760554234</v>
      </c>
      <c r="F47" s="251">
        <f t="shared" si="1"/>
        <v>17.155321760554234</v>
      </c>
      <c r="G47" s="241">
        <f>'240 кГЦ '!AA41</f>
        <v>18.191884964561474</v>
      </c>
      <c r="H47" s="234">
        <f>'240 кГЦ '!AB41</f>
        <v>243.17668595585607</v>
      </c>
      <c r="I47" s="153"/>
      <c r="J47" s="219">
        <f>'50 кГЦ новый для ХК.01'!AD41</f>
        <v>38</v>
      </c>
      <c r="K47" s="220">
        <f>'240 кГЦ '!AF41</f>
        <v>122</v>
      </c>
      <c r="L47" s="221">
        <f>'240 кГЦ '!AM41</f>
        <v>630.44491020767816</v>
      </c>
      <c r="M47" s="251">
        <f>'240 кГЦ '!AO41</f>
        <v>63.044491020767708</v>
      </c>
      <c r="N47" s="241">
        <f>'240 кГЦ '!AQ41</f>
        <v>66.853781252662486</v>
      </c>
      <c r="O47" s="234"/>
      <c r="P47" s="234"/>
      <c r="Q47" s="234"/>
      <c r="R47" s="153">
        <f t="shared" si="2"/>
        <v>291.87264361466578</v>
      </c>
      <c r="S47">
        <f t="shared" si="3"/>
        <v>17.084280599857454</v>
      </c>
      <c r="T47" s="261">
        <v>26</v>
      </c>
      <c r="U47" s="261">
        <v>10</v>
      </c>
      <c r="V47" s="261">
        <v>11.2</v>
      </c>
      <c r="W47" s="261">
        <v>24</v>
      </c>
      <c r="X47" s="261">
        <f t="shared" si="6"/>
        <v>291.2</v>
      </c>
      <c r="Y47" s="261">
        <f t="shared" si="7"/>
        <v>0.67264361466578748</v>
      </c>
      <c r="Z47" s="263">
        <f t="shared" si="4"/>
        <v>628.99199999999996</v>
      </c>
      <c r="AA47">
        <f t="shared" si="5"/>
        <v>1.5327981153263375</v>
      </c>
      <c r="AO47" s="270">
        <f t="shared" si="8"/>
        <v>5</v>
      </c>
      <c r="AP47">
        <v>56</v>
      </c>
      <c r="AQ47" s="270">
        <f t="shared" si="9"/>
        <v>59</v>
      </c>
      <c r="AR47">
        <v>4.5</v>
      </c>
      <c r="AS47" s="270">
        <f t="shared" si="10"/>
        <v>113</v>
      </c>
      <c r="AT47">
        <v>2.2999999999999998</v>
      </c>
      <c r="AU47" s="270">
        <f t="shared" si="11"/>
        <v>167</v>
      </c>
      <c r="AV47">
        <v>1.55</v>
      </c>
      <c r="AW47" s="270">
        <f t="shared" si="12"/>
        <v>221</v>
      </c>
      <c r="AX47">
        <v>1.17</v>
      </c>
    </row>
    <row r="48" spans="3:50">
      <c r="C48" s="217">
        <f>'50 кГЦ новый для ХК.01'!O42</f>
        <v>39</v>
      </c>
      <c r="D48" s="218">
        <f>'240 кГЦ '!P42</f>
        <v>14.55</v>
      </c>
      <c r="E48" s="221">
        <f>'240 кГЦ '!Y42</f>
        <v>17.698288702293524</v>
      </c>
      <c r="F48" s="251">
        <f t="shared" si="1"/>
        <v>17.698288702293524</v>
      </c>
      <c r="G48" s="241">
        <f>'240 кГЦ '!AA42</f>
        <v>18.767659192614296</v>
      </c>
      <c r="H48" s="234">
        <f>'240 кГЦ '!AB42</f>
        <v>257.51010061837087</v>
      </c>
      <c r="I48" s="153"/>
      <c r="J48" s="219">
        <f>'50 кГЦ новый для ХК.01'!AD42</f>
        <v>39</v>
      </c>
      <c r="K48" s="220">
        <f>'240 кГЦ '!AF42</f>
        <v>125</v>
      </c>
      <c r="L48" s="221">
        <f>'240 кГЦ '!AM42</f>
        <v>672.5695128692256</v>
      </c>
      <c r="M48" s="251">
        <f>'240 кГЦ '!AO42</f>
        <v>67.256951286922444</v>
      </c>
      <c r="N48" s="241">
        <f>'240 кГЦ '!AQ42</f>
        <v>71.320767861790216</v>
      </c>
      <c r="O48" s="234"/>
      <c r="P48" s="234"/>
      <c r="Q48" s="234"/>
      <c r="R48" s="153">
        <f t="shared" si="2"/>
        <v>311.37477447649331</v>
      </c>
      <c r="S48">
        <f t="shared" si="3"/>
        <v>17.645814644739225</v>
      </c>
      <c r="T48" s="261">
        <v>26</v>
      </c>
      <c r="U48" s="261">
        <v>10</v>
      </c>
      <c r="V48" s="261">
        <v>12</v>
      </c>
      <c r="W48" s="261">
        <v>23</v>
      </c>
      <c r="X48" s="261">
        <f t="shared" si="6"/>
        <v>312</v>
      </c>
      <c r="Y48" s="261">
        <f t="shared" si="7"/>
        <v>-0.62522552350668548</v>
      </c>
      <c r="Z48" s="263">
        <f t="shared" si="4"/>
        <v>673.92000000000007</v>
      </c>
      <c r="AA48">
        <f t="shared" si="5"/>
        <v>6.4309479654765784</v>
      </c>
      <c r="AO48" s="270">
        <f t="shared" si="8"/>
        <v>6</v>
      </c>
      <c r="AP48">
        <v>47</v>
      </c>
      <c r="AQ48" s="270">
        <f t="shared" si="9"/>
        <v>60</v>
      </c>
      <c r="AR48">
        <v>4.4000000000000004</v>
      </c>
      <c r="AS48" s="270">
        <f t="shared" si="10"/>
        <v>114</v>
      </c>
      <c r="AT48">
        <v>2.2799999999999998</v>
      </c>
      <c r="AU48" s="270">
        <f t="shared" si="11"/>
        <v>168</v>
      </c>
      <c r="AV48">
        <v>1.54</v>
      </c>
      <c r="AW48" s="270">
        <f t="shared" si="12"/>
        <v>222</v>
      </c>
      <c r="AX48">
        <v>1.1599999999999999</v>
      </c>
    </row>
    <row r="49" spans="3:50">
      <c r="C49" s="217">
        <f>'50 кГЦ новый для ХК.01'!O43</f>
        <v>40</v>
      </c>
      <c r="D49" s="218">
        <f>'240 кГЦ '!P43</f>
        <v>14.925000000000001</v>
      </c>
      <c r="E49" s="221">
        <f>'240 кГЦ '!Y43</f>
        <v>18.246312271254666</v>
      </c>
      <c r="F49" s="251">
        <f t="shared" si="1"/>
        <v>18.246312271254666</v>
      </c>
      <c r="G49" s="241">
        <f>'240 кГЦ '!AA43</f>
        <v>19.348795580701921</v>
      </c>
      <c r="H49" s="234">
        <f>'240 кГЦ '!AB43</f>
        <v>272.32621064847575</v>
      </c>
      <c r="I49" s="153"/>
      <c r="J49" s="219">
        <f>'50 кГЦ новый для ХК.01'!AD43</f>
        <v>40</v>
      </c>
      <c r="K49" s="220">
        <f>'240 кГЦ '!AF43</f>
        <v>128</v>
      </c>
      <c r="L49" s="221">
        <f>'240 кГЦ '!AM43</f>
        <v>717.09548108879085</v>
      </c>
      <c r="M49" s="251">
        <f>'240 кГЦ '!AO43</f>
        <v>71.709548108878963</v>
      </c>
      <c r="N49" s="241">
        <f>'240 кГЦ '!AQ43</f>
        <v>76.042400618621116</v>
      </c>
      <c r="O49" s="234"/>
      <c r="P49" s="234"/>
      <c r="Q49" s="234"/>
      <c r="R49" s="153">
        <f t="shared" si="2"/>
        <v>331.98864865221799</v>
      </c>
      <c r="S49">
        <f t="shared" si="3"/>
        <v>18.220555662553707</v>
      </c>
      <c r="T49" s="261">
        <v>32</v>
      </c>
      <c r="U49" s="261">
        <v>8</v>
      </c>
      <c r="V49" s="261">
        <v>10.3</v>
      </c>
      <c r="W49" s="261">
        <v>26</v>
      </c>
      <c r="X49" s="261">
        <f t="shared" si="6"/>
        <v>329.6</v>
      </c>
      <c r="Y49" s="261">
        <f t="shared" si="7"/>
        <v>2.3886486522179666</v>
      </c>
      <c r="Z49" s="263">
        <f t="shared" si="4"/>
        <v>711.93600000000015</v>
      </c>
      <c r="AA49">
        <f t="shared" si="5"/>
        <v>0.22842931571975689</v>
      </c>
      <c r="AO49" s="270">
        <f t="shared" si="8"/>
        <v>7</v>
      </c>
      <c r="AP49">
        <v>38</v>
      </c>
      <c r="AQ49" s="270">
        <f t="shared" si="9"/>
        <v>61</v>
      </c>
      <c r="AR49">
        <v>4.3</v>
      </c>
      <c r="AS49" s="270">
        <f t="shared" si="10"/>
        <v>115</v>
      </c>
      <c r="AT49">
        <v>2.2599999999999998</v>
      </c>
      <c r="AU49" s="270">
        <f t="shared" si="11"/>
        <v>169</v>
      </c>
      <c r="AV49">
        <v>1.53</v>
      </c>
      <c r="AW49" s="270">
        <f t="shared" si="12"/>
        <v>223</v>
      </c>
      <c r="AX49">
        <v>1.1599999999999999</v>
      </c>
    </row>
    <row r="50" spans="3:50">
      <c r="C50" s="217">
        <f>'50 кГЦ новый для ХК.01'!O44</f>
        <v>41</v>
      </c>
      <c r="D50" s="218">
        <f>'240 кГЦ '!P44</f>
        <v>15.3</v>
      </c>
      <c r="E50" s="221">
        <f>'240 кГЦ '!Y44</f>
        <v>18.799429743859786</v>
      </c>
      <c r="F50" s="251">
        <f t="shared" si="1"/>
        <v>18.799429743859786</v>
      </c>
      <c r="G50" s="241">
        <f>'240 кГЦ '!AA44</f>
        <v>19.93533365757191</v>
      </c>
      <c r="H50" s="234">
        <f>'240 кГЦ '!AB44</f>
        <v>287.63127508105504</v>
      </c>
      <c r="I50" s="153"/>
      <c r="J50" s="219">
        <f>'50 кГЦ новый для ХК.01'!AD44</f>
        <v>41</v>
      </c>
      <c r="K50" s="220">
        <f>'240 кГЦ '!AF44</f>
        <v>131</v>
      </c>
      <c r="L50" s="221">
        <f>'240 кГЦ '!AM44</f>
        <v>764.14920156896437</v>
      </c>
      <c r="M50" s="251">
        <f>'240 кГЦ '!AO44</f>
        <v>76.414920156896301</v>
      </c>
      <c r="N50" s="241">
        <f>'240 кГЦ '!AQ44</f>
        <v>81.032081850354999</v>
      </c>
      <c r="O50" s="234"/>
      <c r="P50" s="234"/>
      <c r="Q50" s="234"/>
      <c r="R50" s="153">
        <f t="shared" si="2"/>
        <v>353.77277850415015</v>
      </c>
      <c r="S50">
        <f t="shared" si="3"/>
        <v>18.808848409834933</v>
      </c>
      <c r="T50" s="261">
        <v>32</v>
      </c>
      <c r="U50" s="261">
        <v>8</v>
      </c>
      <c r="V50" s="261">
        <v>11</v>
      </c>
      <c r="W50" s="261">
        <v>25</v>
      </c>
      <c r="X50" s="261">
        <f t="shared" si="6"/>
        <v>352</v>
      </c>
      <c r="Y50" s="261">
        <f t="shared" si="7"/>
        <v>1.7727785041501534</v>
      </c>
      <c r="Z50" s="263">
        <f t="shared" si="4"/>
        <v>760.32</v>
      </c>
      <c r="AA50">
        <f t="shared" si="5"/>
        <v>1.9023954600967688E-2</v>
      </c>
      <c r="AO50" s="270">
        <f t="shared" si="8"/>
        <v>8</v>
      </c>
      <c r="AP50">
        <v>32</v>
      </c>
      <c r="AQ50" s="270">
        <f t="shared" si="9"/>
        <v>62</v>
      </c>
      <c r="AR50">
        <v>4.2</v>
      </c>
      <c r="AS50" s="270">
        <f t="shared" si="10"/>
        <v>116</v>
      </c>
      <c r="AT50">
        <v>2.2400000000000002</v>
      </c>
      <c r="AU50" s="270">
        <f t="shared" si="11"/>
        <v>170</v>
      </c>
      <c r="AV50">
        <v>1.52</v>
      </c>
      <c r="AW50" s="270">
        <f t="shared" si="12"/>
        <v>224</v>
      </c>
      <c r="AX50">
        <v>1.1499999999999999</v>
      </c>
    </row>
    <row r="51" spans="3:50">
      <c r="C51" s="217">
        <f>'50 кГЦ новый для ХК.01'!O45</f>
        <v>42</v>
      </c>
      <c r="D51" s="218">
        <f>'240 кГЦ '!P45</f>
        <v>15.675000000000001</v>
      </c>
      <c r="E51" s="221">
        <f>'240 кГЦ '!Y45</f>
        <v>19.357678644327116</v>
      </c>
      <c r="F51" s="251">
        <f t="shared" si="1"/>
        <v>19.357678644327116</v>
      </c>
      <c r="G51" s="241">
        <f>'240 кГЦ '!AA45</f>
        <v>20.527313214740325</v>
      </c>
      <c r="H51" s="234">
        <f>'240 кГЦ '!AB45</f>
        <v>303.43161274982776</v>
      </c>
      <c r="I51" s="153"/>
      <c r="J51" s="219">
        <f>'50 кГЦ новый для ХК.01'!AD45</f>
        <v>42</v>
      </c>
      <c r="K51" s="220">
        <f>'240 кГЦ '!AF45</f>
        <v>134</v>
      </c>
      <c r="L51" s="221">
        <f>'240 кГЦ '!AM45</f>
        <v>813.86339985149789</v>
      </c>
      <c r="M51" s="251">
        <f>'240 кГЦ '!AO45</f>
        <v>81.386339985149647</v>
      </c>
      <c r="N51" s="241">
        <f>'240 кГЦ '!AQ45</f>
        <v>86.303886068803294</v>
      </c>
      <c r="O51" s="234"/>
      <c r="P51" s="234"/>
      <c r="Q51" s="234"/>
      <c r="R51" s="153">
        <f t="shared" si="2"/>
        <v>376.78861104236012</v>
      </c>
      <c r="S51">
        <f t="shared" si="3"/>
        <v>19.411043533060248</v>
      </c>
      <c r="T51" s="261">
        <v>25</v>
      </c>
      <c r="U51" s="261">
        <v>11</v>
      </c>
      <c r="V51" s="261">
        <v>15</v>
      </c>
      <c r="W51" s="261">
        <v>18</v>
      </c>
      <c r="X51" s="261">
        <f t="shared" si="6"/>
        <v>375</v>
      </c>
      <c r="Y51" s="261">
        <f t="shared" si="7"/>
        <v>1.7886110423601167</v>
      </c>
      <c r="Z51" s="263">
        <f t="shared" si="4"/>
        <v>810</v>
      </c>
      <c r="AA51">
        <f t="shared" si="5"/>
        <v>1.4907143706003535E-2</v>
      </c>
      <c r="AO51" s="270">
        <f t="shared" si="8"/>
        <v>9</v>
      </c>
      <c r="AP51">
        <v>28</v>
      </c>
      <c r="AQ51" s="270">
        <f t="shared" si="9"/>
        <v>63</v>
      </c>
      <c r="AR51">
        <v>4.0999999999999996</v>
      </c>
      <c r="AS51" s="270">
        <f t="shared" si="10"/>
        <v>117</v>
      </c>
      <c r="AT51">
        <v>2.23</v>
      </c>
      <c r="AU51" s="270">
        <f t="shared" si="11"/>
        <v>171</v>
      </c>
      <c r="AV51">
        <v>1.51</v>
      </c>
      <c r="AW51" s="270">
        <f t="shared" si="12"/>
        <v>225</v>
      </c>
      <c r="AX51">
        <v>1.1499999999999999</v>
      </c>
    </row>
    <row r="52" spans="3:50">
      <c r="C52" s="217">
        <f>'50 кГЦ новый для ХК.01'!O46</f>
        <v>43</v>
      </c>
      <c r="D52" s="218">
        <f>'240 кГЦ '!P46</f>
        <v>16.05</v>
      </c>
      <c r="E52" s="221">
        <f>'240 кГЦ '!Y46</f>
        <v>19.921096746224546</v>
      </c>
      <c r="F52" s="251">
        <f t="shared" si="1"/>
        <v>19.921096746224546</v>
      </c>
      <c r="G52" s="241">
        <f>'240 кГЦ '!AA46</f>
        <v>21.124774308139163</v>
      </c>
      <c r="H52" s="234">
        <f>'240 кГЦ '!AB46</f>
        <v>319.73360277690392</v>
      </c>
      <c r="I52" s="153"/>
      <c r="J52" s="219">
        <f>'50 кГЦ новый для ХК.01'!AD46</f>
        <v>43</v>
      </c>
      <c r="K52" s="220">
        <f>'240 кГЦ '!AF46</f>
        <v>137</v>
      </c>
      <c r="L52" s="221">
        <f>'240 кГЦ '!AM46</f>
        <v>866.37744813466622</v>
      </c>
      <c r="M52" s="251">
        <f>'240 кГЦ '!AO46</f>
        <v>86.637744813466469</v>
      </c>
      <c r="N52" s="241">
        <f>'240 кГЦ '!AQ46</f>
        <v>91.872592612025358</v>
      </c>
      <c r="O52" s="234"/>
      <c r="P52" s="234"/>
      <c r="Q52" s="234"/>
      <c r="R52" s="153">
        <f t="shared" si="2"/>
        <v>401.10067043271584</v>
      </c>
      <c r="S52">
        <f t="shared" si="3"/>
        <v>20.027497857513701</v>
      </c>
      <c r="T52" s="261">
        <v>20</v>
      </c>
      <c r="U52" s="261">
        <v>14</v>
      </c>
      <c r="V52" s="261">
        <v>20</v>
      </c>
      <c r="W52" s="261">
        <v>14</v>
      </c>
      <c r="X52" s="261">
        <f t="shared" si="6"/>
        <v>400</v>
      </c>
      <c r="Y52" s="261">
        <f t="shared" si="7"/>
        <v>1.1006704327158445</v>
      </c>
      <c r="Z52" s="263">
        <f t="shared" si="4"/>
        <v>864</v>
      </c>
      <c r="AA52">
        <f t="shared" si="5"/>
        <v>0.65615738822405301</v>
      </c>
      <c r="AO52" s="270">
        <f t="shared" si="8"/>
        <v>10</v>
      </c>
      <c r="AP52">
        <v>26</v>
      </c>
      <c r="AQ52" s="270">
        <f t="shared" si="9"/>
        <v>64</v>
      </c>
      <c r="AR52">
        <v>4</v>
      </c>
      <c r="AS52" s="270">
        <f t="shared" si="10"/>
        <v>118</v>
      </c>
      <c r="AT52">
        <v>2.2000000000000002</v>
      </c>
      <c r="AU52" s="270">
        <f t="shared" si="11"/>
        <v>172</v>
      </c>
      <c r="AV52">
        <v>1.5</v>
      </c>
      <c r="AW52" s="270">
        <f t="shared" si="12"/>
        <v>226</v>
      </c>
      <c r="AX52">
        <v>1.1399999999999999</v>
      </c>
    </row>
    <row r="53" spans="3:50">
      <c r="C53" s="217">
        <f>'50 кГЦ новый для ХК.01'!O47</f>
        <v>44</v>
      </c>
      <c r="D53" s="218">
        <f>'240 кГЦ '!P47</f>
        <v>16.425000000000001</v>
      </c>
      <c r="E53" s="221">
        <f>'240 кГЦ '!Y47</f>
        <v>20.489722074032304</v>
      </c>
      <c r="F53" s="251">
        <f t="shared" si="1"/>
        <v>20.489722074032304</v>
      </c>
      <c r="G53" s="241">
        <f>'240 кГЦ '!AA47</f>
        <v>21.727757259773444</v>
      </c>
      <c r="H53" s="234">
        <f>'240 кГЦ '!AB47</f>
        <v>336.54368506598092</v>
      </c>
      <c r="I53" s="153"/>
      <c r="J53" s="219">
        <f>'50 кГЦ новый для ХК.01'!AD47</f>
        <v>44</v>
      </c>
      <c r="K53" s="220">
        <f>'240 кГЦ '!AF47</f>
        <v>140</v>
      </c>
      <c r="L53" s="221">
        <f>'240 кГЦ '!AM47</f>
        <v>921.83768769627</v>
      </c>
      <c r="M53" s="251">
        <f>'240 кГЦ '!AO47</f>
        <v>92.183768769626838</v>
      </c>
      <c r="N53" s="241">
        <f>'240 кГЦ '!AQ47</f>
        <v>97.753719834783809</v>
      </c>
      <c r="O53" s="234"/>
      <c r="P53" s="234"/>
      <c r="Q53" s="234"/>
      <c r="R53" s="153">
        <f t="shared" si="2"/>
        <v>426.77670726679162</v>
      </c>
      <c r="S53">
        <f t="shared" si="3"/>
        <v>20.658574666873598</v>
      </c>
      <c r="T53" s="261">
        <v>26</v>
      </c>
      <c r="U53" s="261">
        <v>10</v>
      </c>
      <c r="V53" s="261">
        <v>16.5</v>
      </c>
      <c r="W53" s="261">
        <v>16</v>
      </c>
      <c r="X53" s="261">
        <f t="shared" si="6"/>
        <v>429</v>
      </c>
      <c r="Y53" s="261">
        <f t="shared" si="7"/>
        <v>-2.2232927332083818</v>
      </c>
      <c r="Z53" s="263">
        <f t="shared" si="4"/>
        <v>926.6400000000001</v>
      </c>
      <c r="AA53">
        <f t="shared" si="5"/>
        <v>17.089944341950687</v>
      </c>
      <c r="AO53" s="270">
        <f t="shared" si="8"/>
        <v>11</v>
      </c>
      <c r="AP53">
        <v>25</v>
      </c>
      <c r="AQ53" s="270">
        <f t="shared" si="9"/>
        <v>65</v>
      </c>
      <c r="AR53">
        <v>3.97</v>
      </c>
      <c r="AS53" s="270">
        <f t="shared" si="10"/>
        <v>119</v>
      </c>
      <c r="AT53">
        <v>2.1800000000000002</v>
      </c>
      <c r="AU53" s="270">
        <f t="shared" si="11"/>
        <v>173</v>
      </c>
      <c r="AV53">
        <v>1.49</v>
      </c>
      <c r="AW53" s="270">
        <f t="shared" si="12"/>
        <v>227</v>
      </c>
      <c r="AX53">
        <v>1.1399999999999999</v>
      </c>
    </row>
    <row r="54" spans="3:50">
      <c r="C54" s="217">
        <f>'50 кГЦ новый для ХК.01'!O48</f>
        <v>45</v>
      </c>
      <c r="D54" s="218">
        <f>'240 кГЦ '!P48</f>
        <v>16.8</v>
      </c>
      <c r="E54" s="221">
        <f>'240 кГЦ '!Y48</f>
        <v>21.063592904715289</v>
      </c>
      <c r="F54" s="251">
        <f t="shared" si="1"/>
        <v>21.063592904715289</v>
      </c>
      <c r="G54" s="241">
        <f>'240 кГЦ '!AA48</f>
        <v>22.336302659388551</v>
      </c>
      <c r="H54" s="234">
        <f>'240 кГЦ '!AB48</f>
        <v>353.86836079921699</v>
      </c>
      <c r="I54" s="153"/>
      <c r="J54" s="219">
        <f>'50 кГЦ новый для ХК.01'!AD48</f>
        <v>45</v>
      </c>
      <c r="K54" s="220">
        <f>'240 кГЦ '!AF48</f>
        <v>143</v>
      </c>
      <c r="L54" s="221">
        <f>'240 кГЦ '!AM48</f>
        <v>980.39776660329335</v>
      </c>
      <c r="M54" s="251">
        <f>'240 кГЦ '!AO48</f>
        <v>98.039776660329167</v>
      </c>
      <c r="N54" s="241">
        <f>'240 кГЦ '!AQ48</f>
        <v>103.96356092002478</v>
      </c>
      <c r="O54" s="234"/>
      <c r="P54" s="234"/>
      <c r="Q54" s="234"/>
      <c r="R54" s="153">
        <f t="shared" si="2"/>
        <v>453.88785490893207</v>
      </c>
      <c r="S54">
        <f t="shared" si="3"/>
        <v>21.304643975174333</v>
      </c>
      <c r="T54" s="261">
        <v>24</v>
      </c>
      <c r="U54" s="261">
        <v>12</v>
      </c>
      <c r="V54" s="261">
        <v>19</v>
      </c>
      <c r="W54" s="261">
        <v>15</v>
      </c>
      <c r="X54" s="261">
        <f t="shared" si="6"/>
        <v>456</v>
      </c>
      <c r="Y54" s="261">
        <f t="shared" si="7"/>
        <v>-2.11214509106793</v>
      </c>
      <c r="Z54" s="263">
        <f t="shared" si="4"/>
        <v>984.96</v>
      </c>
      <c r="AA54">
        <f t="shared" si="5"/>
        <v>16.183329748527772</v>
      </c>
      <c r="AO54" s="270">
        <f t="shared" si="8"/>
        <v>12</v>
      </c>
      <c r="AP54">
        <v>24</v>
      </c>
      <c r="AQ54" s="270">
        <f t="shared" si="9"/>
        <v>66</v>
      </c>
      <c r="AR54">
        <v>3.95</v>
      </c>
      <c r="AS54" s="270">
        <f t="shared" si="10"/>
        <v>120</v>
      </c>
      <c r="AT54">
        <v>2.16</v>
      </c>
      <c r="AU54" s="270">
        <f t="shared" si="11"/>
        <v>174</v>
      </c>
      <c r="AV54">
        <v>1.49</v>
      </c>
      <c r="AW54" s="270">
        <f t="shared" si="12"/>
        <v>228</v>
      </c>
      <c r="AX54">
        <v>1.1299999999999999</v>
      </c>
    </row>
    <row r="55" spans="3:50">
      <c r="C55" s="217">
        <f>'50 кГЦ новый для ХК.01'!O49</f>
        <v>46</v>
      </c>
      <c r="D55" s="218">
        <f>'240 кГЦ '!P49</f>
        <v>17.175000000000001</v>
      </c>
      <c r="E55" s="221">
        <f>'240 кГЦ '!Y49</f>
        <v>21.642747769304677</v>
      </c>
      <c r="F55" s="251">
        <f t="shared" si="1"/>
        <v>21.642747769304677</v>
      </c>
      <c r="G55" s="241">
        <f>'240 кГЦ '!AA49</f>
        <v>22.950451366147398</v>
      </c>
      <c r="H55" s="234">
        <f>'240 кГЦ '!AB49</f>
        <v>371.71419293780792</v>
      </c>
      <c r="I55" s="153"/>
      <c r="J55" s="219">
        <f>'50 кГЦ новый для ХК.01'!AD49</f>
        <v>46</v>
      </c>
      <c r="K55" s="220">
        <f>'240 кГЦ '!AF49</f>
        <v>146</v>
      </c>
      <c r="L55" s="221">
        <f>'240 кГЦ '!AM49</f>
        <v>1042.2189934206547</v>
      </c>
      <c r="M55" s="251">
        <f>'240 кГЦ '!AO49</f>
        <v>104.22189934206529</v>
      </c>
      <c r="N55" s="241">
        <f>'240 кГЦ '!AQ49</f>
        <v>110.51922138694417</v>
      </c>
      <c r="O55" s="234"/>
      <c r="P55" s="234"/>
      <c r="Q55" s="234"/>
      <c r="R55" s="153">
        <f t="shared" si="2"/>
        <v>482.50879325030303</v>
      </c>
      <c r="S55">
        <f t="shared" si="3"/>
        <v>21.966082792575989</v>
      </c>
      <c r="T55" s="261">
        <v>24</v>
      </c>
      <c r="U55" s="261">
        <v>12</v>
      </c>
      <c r="V55" s="261">
        <v>20</v>
      </c>
      <c r="W55" s="261">
        <v>14</v>
      </c>
      <c r="X55" s="261">
        <f t="shared" si="6"/>
        <v>480</v>
      </c>
      <c r="Y55" s="261">
        <f t="shared" si="7"/>
        <v>2.5087932503030288</v>
      </c>
      <c r="Z55" s="263">
        <f t="shared" si="4"/>
        <v>1036.8000000000002</v>
      </c>
      <c r="AA55">
        <f t="shared" si="5"/>
        <v>0.3577085303020559</v>
      </c>
      <c r="AO55" s="270">
        <f t="shared" si="8"/>
        <v>13</v>
      </c>
      <c r="AP55">
        <v>22</v>
      </c>
      <c r="AQ55" s="270">
        <f t="shared" si="9"/>
        <v>67</v>
      </c>
      <c r="AR55">
        <v>3.9</v>
      </c>
      <c r="AS55" s="270">
        <f t="shared" si="10"/>
        <v>121</v>
      </c>
      <c r="AT55">
        <v>2.15</v>
      </c>
      <c r="AU55" s="270">
        <f t="shared" si="11"/>
        <v>175</v>
      </c>
      <c r="AV55">
        <v>1.48</v>
      </c>
      <c r="AW55" s="270">
        <f t="shared" si="12"/>
        <v>229</v>
      </c>
      <c r="AX55">
        <v>1.1299999999999999</v>
      </c>
    </row>
    <row r="56" spans="3:50">
      <c r="C56" s="217">
        <f>'50 кГЦ новый для ХК.01'!O50</f>
        <v>47</v>
      </c>
      <c r="D56" s="218">
        <f>'240 кГЦ '!P50</f>
        <v>17.55</v>
      </c>
      <c r="E56" s="221">
        <f>'240 кГЦ '!Y50</f>
        <v>22.2272254544893</v>
      </c>
      <c r="F56" s="251">
        <f t="shared" si="1"/>
        <v>22.2272254544893</v>
      </c>
      <c r="G56" s="241">
        <f>'240 кГЦ '!AA50</f>
        <v>23.570244510317977</v>
      </c>
      <c r="H56" s="234">
        <f>'240 кГЦ '!AB50</f>
        <v>390.08780672628762</v>
      </c>
      <c r="I56" s="153"/>
      <c r="J56" s="219">
        <f>'50 кГЦ новый для ХК.01'!AD50</f>
        <v>47</v>
      </c>
      <c r="K56" s="220">
        <f>'240 кГЦ '!AF50</f>
        <v>149</v>
      </c>
      <c r="L56" s="221">
        <f>'240 кГЦ '!AM50</f>
        <v>1107.4707076641273</v>
      </c>
      <c r="M56" s="251">
        <f>'240 кГЦ '!AO50</f>
        <v>110.74707076641253</v>
      </c>
      <c r="N56" s="241">
        <f>'240 кГЦ '!AQ50</f>
        <v>117.43865837463809</v>
      </c>
      <c r="O56" s="234"/>
      <c r="P56" s="234"/>
      <c r="Q56" s="234"/>
      <c r="R56" s="153">
        <f t="shared" si="2"/>
        <v>512.71792021487374</v>
      </c>
      <c r="S56">
        <f t="shared" si="3"/>
        <v>22.64327538619079</v>
      </c>
      <c r="T56" s="261">
        <v>26</v>
      </c>
      <c r="U56" s="261">
        <v>10</v>
      </c>
      <c r="V56" s="261">
        <v>20</v>
      </c>
      <c r="W56" s="261">
        <v>14</v>
      </c>
      <c r="X56" s="261">
        <f t="shared" si="6"/>
        <v>520</v>
      </c>
      <c r="Y56" s="261">
        <f t="shared" si="7"/>
        <v>-7.2820797851262569</v>
      </c>
      <c r="Z56" s="263">
        <f t="shared" si="4"/>
        <v>1123.2</v>
      </c>
      <c r="AA56">
        <f t="shared" si="5"/>
        <v>84.507307857870515</v>
      </c>
      <c r="AO56" s="270">
        <f t="shared" si="8"/>
        <v>14</v>
      </c>
      <c r="AP56">
        <v>20</v>
      </c>
      <c r="AQ56" s="270">
        <f t="shared" si="9"/>
        <v>68</v>
      </c>
      <c r="AR56">
        <v>3.85</v>
      </c>
      <c r="AS56" s="270">
        <f t="shared" si="10"/>
        <v>122</v>
      </c>
      <c r="AT56">
        <v>2.13</v>
      </c>
      <c r="AU56" s="270">
        <f t="shared" si="11"/>
        <v>176</v>
      </c>
      <c r="AV56">
        <v>1.48</v>
      </c>
      <c r="AW56" s="270">
        <f t="shared" si="12"/>
        <v>230</v>
      </c>
      <c r="AX56">
        <v>1.1200000000000001</v>
      </c>
    </row>
    <row r="57" spans="3:50">
      <c r="C57" s="217">
        <f>'50 кГЦ новый для ХК.01'!O51</f>
        <v>48</v>
      </c>
      <c r="D57" s="218">
        <f>'240 кГЦ '!P51</f>
        <v>17.925000000000001</v>
      </c>
      <c r="E57" s="221">
        <f>'240 кГЦ '!Y51</f>
        <v>22.81706500421646</v>
      </c>
      <c r="F57" s="251">
        <f t="shared" si="1"/>
        <v>22.81706500421646</v>
      </c>
      <c r="G57" s="241">
        <f>'240 кГЦ '!AA51</f>
        <v>24.195723494970874</v>
      </c>
      <c r="H57" s="234">
        <f>'240 кГЦ '!AB51</f>
        <v>408.99589020058033</v>
      </c>
      <c r="I57" s="153"/>
      <c r="J57" s="219">
        <f>'50 кГЦ новый для ХК.01'!AD51</f>
        <v>48</v>
      </c>
      <c r="K57" s="220">
        <f>'240 кГЦ '!AF51</f>
        <v>152</v>
      </c>
      <c r="L57" s="221">
        <f>'240 кГЦ '!AM51</f>
        <v>1176.3306677768617</v>
      </c>
      <c r="M57" s="251">
        <f>'240 кГЦ '!AO51</f>
        <v>117.63306677768597</v>
      </c>
      <c r="N57" s="241">
        <f>'240 кГЦ '!AQ51</f>
        <v>124.74072178399673</v>
      </c>
      <c r="O57" s="234"/>
      <c r="P57" s="234"/>
      <c r="Q57" s="234"/>
      <c r="R57" s="153">
        <f t="shared" si="2"/>
        <v>544.59753137817665</v>
      </c>
      <c r="S57">
        <f t="shared" si="3"/>
        <v>23.336613537061812</v>
      </c>
      <c r="T57" s="261">
        <v>28</v>
      </c>
      <c r="U57" s="261">
        <v>9</v>
      </c>
      <c r="V57" s="261">
        <v>19</v>
      </c>
      <c r="W57" s="261">
        <v>14</v>
      </c>
      <c r="X57" s="261">
        <f t="shared" si="6"/>
        <v>532</v>
      </c>
      <c r="Y57" s="271">
        <f t="shared" si="7"/>
        <v>12.597531378176654</v>
      </c>
      <c r="Z57" s="263">
        <f t="shared" si="4"/>
        <v>1149.1200000000001</v>
      </c>
      <c r="AA57">
        <f t="shared" si="5"/>
        <v>114.20823972496939</v>
      </c>
      <c r="AO57" s="270">
        <f t="shared" si="8"/>
        <v>15</v>
      </c>
      <c r="AP57">
        <v>19</v>
      </c>
      <c r="AQ57" s="270">
        <f t="shared" si="9"/>
        <v>69</v>
      </c>
      <c r="AR57">
        <v>3.8</v>
      </c>
      <c r="AS57" s="270">
        <f t="shared" si="10"/>
        <v>123</v>
      </c>
      <c r="AT57">
        <v>2.12</v>
      </c>
      <c r="AU57" s="270">
        <f t="shared" si="11"/>
        <v>177</v>
      </c>
      <c r="AV57">
        <v>1.48</v>
      </c>
      <c r="AW57" s="270">
        <f t="shared" si="12"/>
        <v>231</v>
      </c>
      <c r="AX57">
        <v>1.1200000000000001</v>
      </c>
    </row>
    <row r="58" spans="3:50">
      <c r="C58" s="217">
        <f>'50 кГЦ новый для ХК.01'!O52</f>
        <v>49</v>
      </c>
      <c r="D58" s="218">
        <f>'240 кГЦ '!P52</f>
        <v>18.3</v>
      </c>
      <c r="E58" s="221">
        <f>'240 кГЦ '!Y52</f>
        <v>23.412305721302328</v>
      </c>
      <c r="F58" s="251">
        <f t="shared" si="1"/>
        <v>23.412305721302328</v>
      </c>
      <c r="G58" s="241">
        <f>'240 кГЦ '!AA52</f>
        <v>24.826929997686996</v>
      </c>
      <c r="H58" s="234">
        <f>'240 кГЦ '!AB52</f>
        <v>428.44519469983288</v>
      </c>
      <c r="I58" s="153"/>
      <c r="J58" s="219">
        <f>'50 кГЦ новый для ХК.01'!AD52</f>
        <v>49</v>
      </c>
      <c r="K58" s="220">
        <f>'240 кГЦ '!AF52</f>
        <v>155</v>
      </c>
      <c r="L58" s="221">
        <f>'240 кГЦ '!AM52</f>
        <v>1248.9854574446588</v>
      </c>
      <c r="M58" s="251">
        <f>'240 кГЦ '!AO52</f>
        <v>124.89854574446566</v>
      </c>
      <c r="N58" s="241">
        <f>'240 кГЦ '!AQ52</f>
        <v>132.44519736428055</v>
      </c>
      <c r="O58" s="234"/>
      <c r="P58" s="234"/>
      <c r="Q58" s="234"/>
      <c r="R58" s="153">
        <f t="shared" si="2"/>
        <v>578.23400807623091</v>
      </c>
      <c r="S58">
        <f t="shared" si="3"/>
        <v>24.04649679425739</v>
      </c>
      <c r="T58" s="261">
        <v>24</v>
      </c>
      <c r="U58" s="261">
        <v>12</v>
      </c>
      <c r="V58" s="261">
        <v>24</v>
      </c>
      <c r="W58" s="261">
        <v>12</v>
      </c>
      <c r="X58" s="261">
        <f t="shared" si="6"/>
        <v>576</v>
      </c>
      <c r="Y58" s="261">
        <f t="shared" si="7"/>
        <v>2.2340080762309071</v>
      </c>
      <c r="Z58" s="263">
        <f t="shared" si="4"/>
        <v>1244.1600000000001</v>
      </c>
      <c r="AA58">
        <f t="shared" si="5"/>
        <v>0.10452432510776684</v>
      </c>
      <c r="AO58" s="270">
        <f t="shared" si="8"/>
        <v>16</v>
      </c>
      <c r="AP58">
        <v>16.5</v>
      </c>
      <c r="AQ58" s="270">
        <f t="shared" si="9"/>
        <v>70</v>
      </c>
      <c r="AR58">
        <v>3.75</v>
      </c>
      <c r="AS58" s="270">
        <f t="shared" si="10"/>
        <v>124</v>
      </c>
      <c r="AT58">
        <v>2.1</v>
      </c>
      <c r="AU58" s="270">
        <f t="shared" si="11"/>
        <v>178</v>
      </c>
      <c r="AV58">
        <v>1.47</v>
      </c>
      <c r="AW58" s="270">
        <f t="shared" si="12"/>
        <v>232</v>
      </c>
      <c r="AX58">
        <v>1.1100000000000001</v>
      </c>
    </row>
    <row r="59" spans="3:50">
      <c r="C59" s="217">
        <f>'50 кГЦ новый для ХК.01'!O53</f>
        <v>50</v>
      </c>
      <c r="D59" s="218">
        <f>'240 кГЦ '!P53</f>
        <v>18.675000000000001</v>
      </c>
      <c r="E59" s="221">
        <f>'240 кГЦ '!Y53</f>
        <v>24.012987169052387</v>
      </c>
      <c r="F59" s="251">
        <f t="shared" si="1"/>
        <v>24.012987169052387</v>
      </c>
      <c r="G59" s="241">
        <f>'240 кГЦ '!AA53</f>
        <v>25.463905972275903</v>
      </c>
      <c r="H59" s="234">
        <f>'240 кГЦ '!AB53</f>
        <v>448.44253538205362</v>
      </c>
      <c r="I59" s="153"/>
      <c r="J59" s="219">
        <f>'50 кГЦ новый для ХК.01'!AD53</f>
        <v>50</v>
      </c>
      <c r="K59" s="220">
        <f>'240 кГЦ '!AF53</f>
        <v>158</v>
      </c>
      <c r="L59" s="221">
        <f>'240 кГЦ '!AM53</f>
        <v>1325.6309111026385</v>
      </c>
      <c r="M59" s="251">
        <f>'240 кГЦ '!AO53</f>
        <v>132.56309111026363</v>
      </c>
      <c r="N59" s="241">
        <f>'240 кГЦ '!AQ53</f>
        <v>140.57285183479343</v>
      </c>
      <c r="O59" s="234"/>
      <c r="P59" s="234"/>
      <c r="Q59" s="234"/>
      <c r="R59" s="153">
        <f t="shared" si="2"/>
        <v>613.71801439936962</v>
      </c>
      <c r="S59">
        <f t="shared" si="3"/>
        <v>24.773332726933806</v>
      </c>
      <c r="T59" s="261">
        <v>26</v>
      </c>
      <c r="U59" s="261">
        <v>10</v>
      </c>
      <c r="V59" s="261">
        <v>24</v>
      </c>
      <c r="W59" s="261">
        <v>12</v>
      </c>
      <c r="X59" s="261">
        <f t="shared" si="6"/>
        <v>624</v>
      </c>
      <c r="Y59" s="261">
        <f t="shared" si="7"/>
        <v>-10.281985600630378</v>
      </c>
      <c r="Z59" s="263">
        <f t="shared" si="4"/>
        <v>1347.8400000000001</v>
      </c>
      <c r="AA59">
        <f t="shared" si="5"/>
        <v>148.66172497538608</v>
      </c>
      <c r="AO59" s="270">
        <f t="shared" si="8"/>
        <v>17</v>
      </c>
      <c r="AP59">
        <v>15.6</v>
      </c>
      <c r="AQ59" s="270">
        <f t="shared" si="9"/>
        <v>71</v>
      </c>
      <c r="AR59">
        <v>3.7</v>
      </c>
      <c r="AS59" s="270">
        <f t="shared" si="10"/>
        <v>125</v>
      </c>
      <c r="AT59">
        <v>2.08</v>
      </c>
      <c r="AU59" s="270">
        <f t="shared" si="11"/>
        <v>179</v>
      </c>
      <c r="AV59">
        <v>1.46</v>
      </c>
      <c r="AW59" s="270">
        <f t="shared" si="12"/>
        <v>233</v>
      </c>
      <c r="AX59">
        <v>1.1100000000000001</v>
      </c>
    </row>
    <row r="60" spans="3:50">
      <c r="C60" s="217">
        <f>'50 кГЦ новый для ХК.01'!O54</f>
        <v>51</v>
      </c>
      <c r="D60" s="218">
        <f>'240 кГЦ '!P54</f>
        <v>19.05</v>
      </c>
      <c r="E60" s="221">
        <f>'240 кГЦ '!Y54</f>
        <v>24.619149172891305</v>
      </c>
      <c r="F60" s="251">
        <f t="shared" si="1"/>
        <v>24.619149172891305</v>
      </c>
      <c r="G60" s="241">
        <f>'240 кГЦ '!AA54</f>
        <v>26.106693650504177</v>
      </c>
      <c r="H60" s="234">
        <f>'240 кГЦ '!AB54</f>
        <v>468.99479174357958</v>
      </c>
      <c r="I60" s="153"/>
      <c r="J60" s="219">
        <f>'50 кГЦ новый для ХК.01'!AD54</f>
        <v>51</v>
      </c>
      <c r="K60" s="220">
        <f>'240 кГЦ '!AF54</f>
        <v>161</v>
      </c>
      <c r="L60" s="221">
        <f>'240 кГЦ '!AM54</f>
        <v>1406.4725595249934</v>
      </c>
      <c r="M60" s="251">
        <f>'240 кГЦ '!AO54</f>
        <v>140.64725595249908</v>
      </c>
      <c r="N60" s="241">
        <f>'240 кГЦ '!AQ54</f>
        <v>149.14548013621362</v>
      </c>
      <c r="O60" s="234"/>
      <c r="P60" s="234"/>
      <c r="Q60" s="234"/>
      <c r="R60" s="153">
        <f t="shared" si="2"/>
        <v>651.14470348379314</v>
      </c>
      <c r="S60">
        <f t="shared" si="3"/>
        <v>25.517537175123174</v>
      </c>
      <c r="T60" s="261">
        <v>25</v>
      </c>
      <c r="U60" s="261">
        <v>11</v>
      </c>
      <c r="V60" s="261">
        <v>26</v>
      </c>
      <c r="W60" s="261">
        <v>10</v>
      </c>
      <c r="X60" s="261">
        <f t="shared" si="6"/>
        <v>650</v>
      </c>
      <c r="Y60" s="261">
        <f t="shared" si="7"/>
        <v>1.1447034837931369</v>
      </c>
      <c r="Z60" s="263">
        <f t="shared" si="4"/>
        <v>1404</v>
      </c>
      <c r="AA60">
        <f t="shared" si="5"/>
        <v>0.5867596354075636</v>
      </c>
      <c r="AO60" s="270">
        <f t="shared" si="8"/>
        <v>18</v>
      </c>
      <c r="AP60">
        <v>15</v>
      </c>
      <c r="AQ60" s="270">
        <f t="shared" si="9"/>
        <v>72</v>
      </c>
      <c r="AR60">
        <v>3.65</v>
      </c>
      <c r="AS60" s="270">
        <f t="shared" si="10"/>
        <v>126</v>
      </c>
      <c r="AT60">
        <v>2.06</v>
      </c>
      <c r="AU60" s="270">
        <f t="shared" si="11"/>
        <v>180</v>
      </c>
      <c r="AV60">
        <v>1.45</v>
      </c>
      <c r="AW60" s="270">
        <f t="shared" si="12"/>
        <v>234</v>
      </c>
      <c r="AX60">
        <v>1.1000000000000001</v>
      </c>
    </row>
    <row r="61" spans="3:50">
      <c r="C61" s="217">
        <f>'50 кГЦ новый для ХК.01'!O55</f>
        <v>52</v>
      </c>
      <c r="D61" s="218">
        <f>'240 кГЦ '!P55</f>
        <v>19.425000000000001</v>
      </c>
      <c r="E61" s="221">
        <f>'240 кГЦ '!Y55</f>
        <v>25.230831822002699</v>
      </c>
      <c r="F61" s="251">
        <f t="shared" si="1"/>
        <v>25.230831822002699</v>
      </c>
      <c r="G61" s="241">
        <f>'240 кГЦ '!AA55</f>
        <v>26.755335543834263</v>
      </c>
      <c r="H61" s="234">
        <f>'240 кГЦ '!AB55</f>
        <v>490.10890814240264</v>
      </c>
      <c r="I61" s="153"/>
      <c r="J61" s="219">
        <f>'50 кГЦ новый для ХК.01'!AD55</f>
        <v>52</v>
      </c>
      <c r="K61" s="220">
        <f>'240 кГЦ '!AF55</f>
        <v>164</v>
      </c>
      <c r="L61" s="221">
        <f>'240 кГЦ '!AM55</f>
        <v>1491.7260964305472</v>
      </c>
      <c r="M61" s="251">
        <f>'240 кГЦ '!AO55</f>
        <v>149.17260964305444</v>
      </c>
      <c r="N61" s="241">
        <f>'240 кГЦ '!AQ55</f>
        <v>158.1859549104839</v>
      </c>
      <c r="O61" s="234"/>
      <c r="P61" s="234"/>
      <c r="Q61" s="234"/>
      <c r="R61" s="153">
        <f t="shared" si="2"/>
        <v>690.61393353266067</v>
      </c>
      <c r="S61">
        <f t="shared" si="3"/>
        <v>26.279534499923333</v>
      </c>
      <c r="T61" s="261">
        <v>28</v>
      </c>
      <c r="U61" s="261">
        <v>9</v>
      </c>
      <c r="V61" s="261">
        <v>25</v>
      </c>
      <c r="W61" s="261">
        <v>11</v>
      </c>
      <c r="X61" s="261">
        <f t="shared" si="6"/>
        <v>700</v>
      </c>
      <c r="Y61" s="261">
        <f t="shared" si="7"/>
        <v>-9.386066467339333</v>
      </c>
      <c r="Z61" s="263">
        <f t="shared" si="4"/>
        <v>1512</v>
      </c>
      <c r="AA61">
        <f t="shared" si="5"/>
        <v>127.6170649427829</v>
      </c>
      <c r="AO61" s="270">
        <f t="shared" si="8"/>
        <v>19</v>
      </c>
      <c r="AP61">
        <v>14</v>
      </c>
      <c r="AQ61" s="270">
        <f t="shared" si="9"/>
        <v>73</v>
      </c>
      <c r="AR61">
        <v>3.6</v>
      </c>
      <c r="AS61" s="270">
        <f t="shared" si="10"/>
        <v>127</v>
      </c>
      <c r="AT61">
        <v>2.04</v>
      </c>
      <c r="AU61" s="270">
        <f t="shared" si="11"/>
        <v>181</v>
      </c>
      <c r="AV61">
        <v>1.44</v>
      </c>
      <c r="AW61" s="270">
        <f t="shared" si="12"/>
        <v>235</v>
      </c>
      <c r="AX61">
        <v>1.1000000000000001</v>
      </c>
    </row>
    <row r="62" spans="3:50">
      <c r="C62" s="217">
        <f>'50 кГЦ новый для ХК.01'!O56</f>
        <v>53</v>
      </c>
      <c r="D62" s="218">
        <f>'240 кГЦ '!P56</f>
        <v>19.8</v>
      </c>
      <c r="E62" s="221">
        <f>'240 кГЦ '!Y56</f>
        <v>25.848075470979051</v>
      </c>
      <c r="F62" s="251">
        <f t="shared" si="1"/>
        <v>25.848075470979051</v>
      </c>
      <c r="G62" s="241">
        <f>'240 кГЦ '!AA56</f>
        <v>27.409874445174065</v>
      </c>
      <c r="H62" s="234">
        <f>'240 кГЦ '!AB56</f>
        <v>511.79189432538533</v>
      </c>
      <c r="I62" s="153"/>
      <c r="J62" s="219">
        <f>'50 кГЦ новый для ХК.01'!AD56</f>
        <v>53</v>
      </c>
      <c r="K62" s="220">
        <f>'240 кГЦ '!AF56</f>
        <v>167</v>
      </c>
      <c r="L62" s="221">
        <f>'240 кГЦ '!AM56</f>
        <v>1581.6178670794441</v>
      </c>
      <c r="M62" s="251">
        <f>'240 кГЦ '!AO56</f>
        <v>158.16178670794412</v>
      </c>
      <c r="N62" s="241">
        <f>'240 кГЦ '!AQ56</f>
        <v>167.71827831269266</v>
      </c>
      <c r="O62" s="234"/>
      <c r="P62" s="234"/>
      <c r="Q62" s="234"/>
      <c r="R62" s="153">
        <f t="shared" si="2"/>
        <v>732.23049401826108</v>
      </c>
      <c r="S62">
        <f t="shared" si="3"/>
        <v>27.059757833695798</v>
      </c>
      <c r="T62" s="261">
        <v>28</v>
      </c>
      <c r="U62" s="261">
        <v>9</v>
      </c>
      <c r="V62" s="261">
        <v>26</v>
      </c>
      <c r="W62" s="261">
        <v>10</v>
      </c>
      <c r="X62" s="261">
        <f t="shared" si="6"/>
        <v>728</v>
      </c>
      <c r="Y62" s="261">
        <f t="shared" si="7"/>
        <v>4.2304940182610835</v>
      </c>
      <c r="Z62" s="263">
        <f t="shared" si="4"/>
        <v>1572.48</v>
      </c>
      <c r="AA62">
        <f t="shared" si="5"/>
        <v>5.3814171141900076</v>
      </c>
      <c r="AO62" s="270">
        <f t="shared" si="8"/>
        <v>20</v>
      </c>
      <c r="AP62">
        <v>13.5</v>
      </c>
      <c r="AQ62" s="270">
        <f t="shared" si="9"/>
        <v>74</v>
      </c>
      <c r="AR62">
        <v>3.55</v>
      </c>
      <c r="AS62" s="270">
        <f t="shared" si="10"/>
        <v>128</v>
      </c>
      <c r="AT62">
        <v>2.02</v>
      </c>
      <c r="AU62" s="270">
        <f t="shared" si="11"/>
        <v>182</v>
      </c>
      <c r="AV62">
        <v>1.43</v>
      </c>
      <c r="AW62" s="270">
        <f t="shared" si="12"/>
        <v>236</v>
      </c>
      <c r="AX62">
        <v>1.0900000000000001</v>
      </c>
    </row>
    <row r="63" spans="3:50">
      <c r="C63" s="217">
        <f>'50 кГЦ новый для ХК.01'!O57</f>
        <v>54</v>
      </c>
      <c r="D63" s="218">
        <f>'240 кГЦ '!P57</f>
        <v>20.175000000000001</v>
      </c>
      <c r="E63" s="221">
        <f>'240 кГЦ '!Y57</f>
        <v>26.470920741481081</v>
      </c>
      <c r="F63" s="251">
        <f t="shared" si="1"/>
        <v>26.470920741481081</v>
      </c>
      <c r="G63" s="241">
        <f>'240 кГЦ '!AA57</f>
        <v>28.07035343063659</v>
      </c>
      <c r="H63" s="234">
        <f>'240 кГЦ '!AB57</f>
        <v>534.05082595938143</v>
      </c>
      <c r="I63" s="153"/>
      <c r="J63" s="219">
        <f>'50 кГЦ новый для ХК.01'!AD57</f>
        <v>54</v>
      </c>
      <c r="K63" s="220">
        <f>'240 кГЦ '!AF57</f>
        <v>170</v>
      </c>
      <c r="L63" s="221">
        <f>'240 кГЦ '!AM57</f>
        <v>1676.3853798811529</v>
      </c>
      <c r="M63" s="251">
        <f>'240 кГЦ '!AO57</f>
        <v>167.63853798811499</v>
      </c>
      <c r="N63" s="241">
        <f>'240 кГЦ '!AQ57</f>
        <v>177.76763626312359</v>
      </c>
      <c r="O63" s="234"/>
      <c r="P63" s="234"/>
      <c r="Q63" s="234"/>
      <c r="R63" s="153">
        <f t="shared" si="2"/>
        <v>776.10434253757069</v>
      </c>
      <c r="S63">
        <f t="shared" si="3"/>
        <v>27.858649330819517</v>
      </c>
      <c r="T63" s="261">
        <v>28</v>
      </c>
      <c r="U63" s="261">
        <v>9</v>
      </c>
      <c r="V63" s="261">
        <v>28</v>
      </c>
      <c r="W63" s="261">
        <v>9</v>
      </c>
      <c r="X63" s="261">
        <f t="shared" si="6"/>
        <v>784</v>
      </c>
      <c r="Y63" s="261">
        <f t="shared" si="7"/>
        <v>-7.8956574624293125</v>
      </c>
      <c r="Z63" s="263">
        <f t="shared" si="4"/>
        <v>1693.44</v>
      </c>
      <c r="AA63">
        <f t="shared" si="5"/>
        <v>96.164761548155397</v>
      </c>
      <c r="AO63" s="270">
        <f t="shared" si="8"/>
        <v>21</v>
      </c>
      <c r="AP63">
        <v>13</v>
      </c>
      <c r="AQ63" s="270">
        <f t="shared" si="9"/>
        <v>75</v>
      </c>
      <c r="AR63">
        <v>3.5</v>
      </c>
      <c r="AS63" s="270">
        <f t="shared" si="10"/>
        <v>129</v>
      </c>
      <c r="AT63">
        <v>2.0099999999999998</v>
      </c>
      <c r="AU63" s="270">
        <f t="shared" si="11"/>
        <v>183</v>
      </c>
      <c r="AV63">
        <v>1.42</v>
      </c>
      <c r="AW63" s="270">
        <f t="shared" si="12"/>
        <v>237</v>
      </c>
      <c r="AX63">
        <v>1.0900000000000001</v>
      </c>
    </row>
    <row r="64" spans="3:50">
      <c r="C64" s="217">
        <f>'50 кГЦ новый для ХК.01'!O58</f>
        <v>55</v>
      </c>
      <c r="D64" s="218">
        <f>'240 кГЦ '!P58</f>
        <v>20.55</v>
      </c>
      <c r="E64" s="221">
        <f>'240 кГЦ '!Y58</f>
        <v>27.099408523907695</v>
      </c>
      <c r="F64" s="251">
        <f t="shared" si="1"/>
        <v>27.099408523907695</v>
      </c>
      <c r="G64" s="241">
        <f>'240 кГЦ '!AA58</f>
        <v>28.736815861310809</v>
      </c>
      <c r="H64" s="234">
        <f>'240 кГЦ '!AB58</f>
        <v>556.89284516630369</v>
      </c>
      <c r="I64" s="153"/>
      <c r="J64" s="219">
        <f>'50 кГЦ новый для ХК.01'!AD58</f>
        <v>55</v>
      </c>
      <c r="K64" s="220">
        <f>'240 кГЦ '!AF58</f>
        <v>173</v>
      </c>
      <c r="L64" s="221">
        <f>'240 кГЦ '!AM58</f>
        <v>1776.2778420805862</v>
      </c>
      <c r="M64" s="251">
        <f>'240 кГЦ '!AO58</f>
        <v>177.6277842080583</v>
      </c>
      <c r="N64" s="241">
        <f>'240 кГЦ '!AQ58</f>
        <v>188.3604552526067</v>
      </c>
      <c r="O64" s="234"/>
      <c r="P64" s="234"/>
      <c r="Q64" s="234"/>
      <c r="R64" s="153">
        <f t="shared" si="2"/>
        <v>822.35085281508611</v>
      </c>
      <c r="S64">
        <f t="shared" si="3"/>
        <v>28.67666041949596</v>
      </c>
      <c r="T64" s="261">
        <v>32</v>
      </c>
      <c r="U64" s="261">
        <v>8</v>
      </c>
      <c r="V64" s="261">
        <v>26</v>
      </c>
      <c r="W64" s="261">
        <v>10</v>
      </c>
      <c r="X64" s="261">
        <f t="shared" si="6"/>
        <v>832</v>
      </c>
      <c r="Y64" s="261">
        <f t="shared" si="7"/>
        <v>-9.6491471849138861</v>
      </c>
      <c r="Z64" s="263">
        <f t="shared" si="4"/>
        <v>1797.1200000000001</v>
      </c>
      <c r="AA64">
        <f t="shared" si="5"/>
        <v>133.63020234534901</v>
      </c>
      <c r="AO64" s="270">
        <f t="shared" si="8"/>
        <v>22</v>
      </c>
      <c r="AP64">
        <v>12.3</v>
      </c>
      <c r="AQ64" s="270">
        <f t="shared" si="9"/>
        <v>76</v>
      </c>
      <c r="AR64">
        <v>3.45</v>
      </c>
      <c r="AS64" s="270">
        <f t="shared" si="10"/>
        <v>130</v>
      </c>
      <c r="AT64">
        <v>2</v>
      </c>
      <c r="AU64" s="270">
        <f t="shared" si="11"/>
        <v>184</v>
      </c>
      <c r="AV64">
        <v>1.41</v>
      </c>
      <c r="AW64" s="270">
        <f t="shared" si="12"/>
        <v>238</v>
      </c>
      <c r="AX64">
        <v>1.08</v>
      </c>
    </row>
    <row r="65" spans="3:50">
      <c r="C65" s="217">
        <f>'50 кГЦ новый для ХК.01'!O59</f>
        <v>56</v>
      </c>
      <c r="D65" s="218">
        <f>'240 кГЦ '!P59</f>
        <v>20.925000000000001</v>
      </c>
      <c r="E65" s="221">
        <f>'240 кГЦ '!Y59</f>
        <v>27.733579979075426</v>
      </c>
      <c r="F65" s="251">
        <f t="shared" si="1"/>
        <v>27.733579979075426</v>
      </c>
      <c r="G65" s="241">
        <f>'240 кГЦ '!AA59</f>
        <v>29.409305385042554</v>
      </c>
      <c r="H65" s="234">
        <f>'240 кГЦ '!AB59</f>
        <v>580.32516106215405</v>
      </c>
      <c r="I65" s="153"/>
      <c r="J65" s="219">
        <f>'50 кГЦ новый для ХК.01'!AD59</f>
        <v>56</v>
      </c>
      <c r="K65" s="220">
        <f>'240 кГЦ '!AF59</f>
        <v>176</v>
      </c>
      <c r="L65" s="221">
        <f>'240 кГЦ '!AM59</f>
        <v>1881.5567206380656</v>
      </c>
      <c r="M65" s="251">
        <f>'240 кГЦ '!AO59</f>
        <v>188.15567206380624</v>
      </c>
      <c r="N65" s="241">
        <f>'240 кГЦ '!AQ59</f>
        <v>199.52446181947488</v>
      </c>
      <c r="O65" s="234"/>
      <c r="P65" s="234"/>
      <c r="Q65" s="234"/>
      <c r="R65" s="153">
        <f t="shared" si="2"/>
        <v>871.09107436947477</v>
      </c>
      <c r="S65">
        <f t="shared" si="3"/>
        <v>29.51425205505765</v>
      </c>
      <c r="T65" s="261">
        <v>38</v>
      </c>
      <c r="U65" s="261">
        <v>7</v>
      </c>
      <c r="V65" s="261">
        <v>22</v>
      </c>
      <c r="W65" s="261">
        <v>13</v>
      </c>
      <c r="X65" s="261">
        <f t="shared" si="6"/>
        <v>836</v>
      </c>
      <c r="Y65" s="271">
        <f t="shared" si="7"/>
        <v>35.091074369474768</v>
      </c>
      <c r="Z65" s="263">
        <f t="shared" si="4"/>
        <v>1805.7600000000002</v>
      </c>
      <c r="AA65">
        <f t="shared" si="5"/>
        <v>1100.93685463883</v>
      </c>
      <c r="AO65" s="270">
        <f t="shared" si="8"/>
        <v>23</v>
      </c>
      <c r="AP65">
        <v>12</v>
      </c>
      <c r="AQ65" s="270">
        <f t="shared" si="9"/>
        <v>77</v>
      </c>
      <c r="AR65">
        <v>3.4</v>
      </c>
      <c r="AS65" s="270">
        <f t="shared" si="10"/>
        <v>131</v>
      </c>
      <c r="AT65">
        <v>1.99</v>
      </c>
      <c r="AU65" s="270">
        <f t="shared" si="11"/>
        <v>185</v>
      </c>
      <c r="AV65">
        <v>1.4</v>
      </c>
      <c r="AW65" s="270">
        <f t="shared" si="12"/>
        <v>239</v>
      </c>
      <c r="AX65">
        <v>1.08</v>
      </c>
    </row>
    <row r="66" spans="3:50">
      <c r="C66" s="217">
        <f>'50 кГЦ новый для ХК.01'!O60</f>
        <v>57</v>
      </c>
      <c r="D66" s="218">
        <f>'240 кГЦ '!P60</f>
        <v>21.3</v>
      </c>
      <c r="E66" s="221">
        <f>'240 кГЦ '!Y60</f>
        <v>28.373476539908445</v>
      </c>
      <c r="F66" s="251">
        <f t="shared" si="1"/>
        <v>28.373476539908445</v>
      </c>
      <c r="G66" s="241">
        <f>'240 кГЦ '!AA60</f>
        <v>30.087865938226649</v>
      </c>
      <c r="H66" s="234">
        <f>'240 кГЦ '!AB60</f>
        <v>604.35505030005049</v>
      </c>
      <c r="I66" s="153"/>
      <c r="J66" s="219">
        <f>'50 кГЦ новый для ХК.01'!AD60</f>
        <v>57</v>
      </c>
      <c r="K66" s="220">
        <f>'240 кГЦ '!AF60</f>
        <v>179</v>
      </c>
      <c r="L66" s="221">
        <f>'240 кГЦ '!AM60</f>
        <v>1992.4963294698334</v>
      </c>
      <c r="M66" s="251">
        <f>'240 кГЦ '!AO60</f>
        <v>199.24963294698298</v>
      </c>
      <c r="N66" s="241">
        <f>'240 кГЦ '!AQ60</f>
        <v>211.28874482185805</v>
      </c>
      <c r="O66" s="234"/>
      <c r="P66" s="234"/>
      <c r="Q66" s="234"/>
      <c r="R66" s="153">
        <f t="shared" si="2"/>
        <v>922.45200438418203</v>
      </c>
      <c r="S66">
        <f t="shared" si="3"/>
        <v>30.371894975193463</v>
      </c>
      <c r="T66" s="261">
        <v>38</v>
      </c>
      <c r="U66" s="261">
        <v>7</v>
      </c>
      <c r="V66" s="261">
        <v>24</v>
      </c>
      <c r="W66" s="261">
        <v>12</v>
      </c>
      <c r="X66" s="261">
        <f t="shared" si="6"/>
        <v>912</v>
      </c>
      <c r="Y66" s="261">
        <f t="shared" si="7"/>
        <v>10.452004384182032</v>
      </c>
      <c r="Z66" s="263">
        <f t="shared" si="4"/>
        <v>1969.92</v>
      </c>
      <c r="AA66">
        <f t="shared" si="5"/>
        <v>72.953780534355587</v>
      </c>
      <c r="AO66" s="270">
        <f t="shared" si="8"/>
        <v>24</v>
      </c>
      <c r="AP66">
        <v>11.2</v>
      </c>
      <c r="AQ66" s="270">
        <f t="shared" si="9"/>
        <v>78</v>
      </c>
      <c r="AR66">
        <v>3.35</v>
      </c>
      <c r="AS66" s="270">
        <f t="shared" si="10"/>
        <v>132</v>
      </c>
      <c r="AT66">
        <v>1.97</v>
      </c>
      <c r="AU66" s="270">
        <f t="shared" si="11"/>
        <v>186</v>
      </c>
      <c r="AV66">
        <v>1.4</v>
      </c>
      <c r="AW66" s="270">
        <f t="shared" si="12"/>
        <v>240</v>
      </c>
      <c r="AX66">
        <v>1.07</v>
      </c>
    </row>
    <row r="67" spans="3:50">
      <c r="C67" s="217">
        <f>'50 кГЦ новый для ХК.01'!O61</f>
        <v>58</v>
      </c>
      <c r="D67" s="218">
        <f>'240 кГЦ '!P61</f>
        <v>21.675000000000001</v>
      </c>
      <c r="E67" s="221">
        <f>'240 кГЦ '!Y61</f>
        <v>29.019139913138478</v>
      </c>
      <c r="F67" s="251">
        <f t="shared" si="1"/>
        <v>29.019139913138478</v>
      </c>
      <c r="G67" s="241">
        <f>'240 кГЦ '!AA61</f>
        <v>30.772541747609544</v>
      </c>
      <c r="H67" s="234">
        <f>'240 кГЦ '!AB61</f>
        <v>628.98985761727681</v>
      </c>
      <c r="I67" s="153"/>
      <c r="J67" s="219">
        <f>'50 кГЦ новый для ХК.01'!AD61</f>
        <v>58</v>
      </c>
      <c r="K67" s="220">
        <f>'240 кГЦ '!AF61</f>
        <v>182</v>
      </c>
      <c r="L67" s="221">
        <f>'240 кГЦ '!AM61</f>
        <v>2109.3844442693444</v>
      </c>
      <c r="M67" s="251">
        <f>'240 кГЦ '!AO61</f>
        <v>210.93844442693407</v>
      </c>
      <c r="N67" s="241">
        <f>'240 кГЦ '!AQ61</f>
        <v>223.68382063469662</v>
      </c>
      <c r="O67" s="234"/>
      <c r="P67" s="234"/>
      <c r="Q67" s="234"/>
      <c r="R67" s="153">
        <f t="shared" si="2"/>
        <v>976.56687234691867</v>
      </c>
      <c r="S67">
        <f t="shared" si="3"/>
        <v>31.250069957472395</v>
      </c>
      <c r="T67" s="261">
        <v>47</v>
      </c>
      <c r="U67" s="261">
        <v>6</v>
      </c>
      <c r="V67" s="261">
        <v>20</v>
      </c>
      <c r="W67" s="261">
        <v>14</v>
      </c>
      <c r="X67" s="261">
        <f t="shared" si="6"/>
        <v>940</v>
      </c>
      <c r="Y67" s="271">
        <f t="shared" si="7"/>
        <v>36.566872346918672</v>
      </c>
      <c r="Z67" s="263">
        <f t="shared" si="4"/>
        <v>2030.4</v>
      </c>
      <c r="AA67">
        <f t="shared" si="5"/>
        <v>1201.049875792841</v>
      </c>
      <c r="AO67" s="270">
        <f t="shared" si="8"/>
        <v>25</v>
      </c>
      <c r="AP67">
        <v>11</v>
      </c>
      <c r="AQ67" s="270">
        <f t="shared" si="9"/>
        <v>79</v>
      </c>
      <c r="AR67">
        <v>3.3</v>
      </c>
      <c r="AS67" s="270">
        <f t="shared" si="10"/>
        <v>133</v>
      </c>
      <c r="AT67">
        <v>1.95</v>
      </c>
      <c r="AU67" s="270">
        <f t="shared" si="11"/>
        <v>187</v>
      </c>
      <c r="AV67">
        <v>1.39</v>
      </c>
      <c r="AW67" s="270">
        <f t="shared" si="12"/>
        <v>241</v>
      </c>
      <c r="AX67">
        <v>1.07</v>
      </c>
    </row>
    <row r="68" spans="3:50">
      <c r="C68" s="217">
        <f>'50 кГЦ новый для ХК.01'!O62</f>
        <v>59</v>
      </c>
      <c r="D68" s="218">
        <f>'240 кГЦ '!P62</f>
        <v>22.05</v>
      </c>
      <c r="E68" s="221">
        <f>'240 кГЦ '!Y62</f>
        <v>29.670612081015172</v>
      </c>
      <c r="F68" s="251">
        <f t="shared" si="1"/>
        <v>29.670612081015172</v>
      </c>
      <c r="G68" s="241">
        <f>'240 кГЦ '!AA62</f>
        <v>31.463377332103029</v>
      </c>
      <c r="H68" s="234">
        <f>'240 кГЦ '!AB62</f>
        <v>654.23699638638527</v>
      </c>
      <c r="I68" s="153"/>
      <c r="J68" s="219">
        <f>'50 кГЦ новый для ХК.01'!AD62</f>
        <v>59</v>
      </c>
      <c r="K68" s="220">
        <f>'240 кГЦ '!AF62</f>
        <v>185</v>
      </c>
      <c r="L68" s="221">
        <f>'240 кГЦ '!AM62</f>
        <v>2232.5229461852018</v>
      </c>
      <c r="M68" s="251">
        <f>'240 кГЦ '!AO62</f>
        <v>223.25229461851978</v>
      </c>
      <c r="N68" s="241">
        <f>'240 кГЦ '!AQ62</f>
        <v>236.74170140678729</v>
      </c>
      <c r="R68" s="153">
        <f t="shared" si="2"/>
        <v>1033.5754380487044</v>
      </c>
      <c r="S68">
        <f t="shared" si="3"/>
        <v>32.149268079517839</v>
      </c>
      <c r="T68" s="261">
        <v>32</v>
      </c>
      <c r="U68" s="261">
        <v>8</v>
      </c>
      <c r="V68" s="261">
        <v>32</v>
      </c>
      <c r="W68" s="261">
        <v>8</v>
      </c>
      <c r="X68" s="261">
        <f t="shared" si="6"/>
        <v>1024</v>
      </c>
      <c r="Y68" s="261">
        <f t="shared" si="7"/>
        <v>9.5754380487044273</v>
      </c>
      <c r="Z68" s="263">
        <f t="shared" si="4"/>
        <v>2211.84</v>
      </c>
      <c r="AA68">
        <f t="shared" si="5"/>
        <v>58.748119574062137</v>
      </c>
      <c r="AO68" s="270">
        <f t="shared" si="8"/>
        <v>26</v>
      </c>
      <c r="AP68">
        <v>10.3</v>
      </c>
      <c r="AQ68" s="270">
        <f t="shared" si="9"/>
        <v>80</v>
      </c>
      <c r="AR68">
        <v>3.25</v>
      </c>
      <c r="AS68" s="270">
        <f t="shared" si="10"/>
        <v>134</v>
      </c>
      <c r="AT68">
        <v>1.93</v>
      </c>
      <c r="AU68" s="270">
        <f t="shared" si="11"/>
        <v>188</v>
      </c>
      <c r="AV68">
        <v>1.38</v>
      </c>
      <c r="AW68" s="270">
        <f t="shared" si="12"/>
        <v>242</v>
      </c>
      <c r="AX68">
        <v>1.06</v>
      </c>
    </row>
    <row r="69" spans="3:50">
      <c r="C69" s="217">
        <f>'50 кГЦ новый для ХК.01'!O63</f>
        <v>60</v>
      </c>
      <c r="D69" s="218">
        <f>'240 кГЦ '!P63</f>
        <v>22.425000000000001</v>
      </c>
      <c r="E69" s="221">
        <f>'240 кГЦ '!Y63</f>
        <v>30.327935303026461</v>
      </c>
      <c r="F69" s="251">
        <f t="shared" si="1"/>
        <v>30.327935303026461</v>
      </c>
      <c r="G69" s="241">
        <f>'240 кГЦ '!AA63</f>
        <v>32.160417504608539</v>
      </c>
      <c r="H69" s="234">
        <f>'240 кГЦ '!AB63</f>
        <v>680.10394917036865</v>
      </c>
      <c r="I69" s="153"/>
      <c r="J69" s="219">
        <f>'50 кГЦ новый для ХК.01'!AD63</f>
        <v>60</v>
      </c>
      <c r="K69" s="220">
        <f>'240 кГЦ '!AF63</f>
        <v>188</v>
      </c>
      <c r="L69" s="221">
        <f>'240 кГЦ '!AM63</f>
        <v>2362.2284956899975</v>
      </c>
      <c r="M69" s="251">
        <f>'240 кГЦ '!AO63</f>
        <v>236.22284956899935</v>
      </c>
      <c r="N69" s="241">
        <f>'240 кГЦ '!AQ63</f>
        <v>250.49596651933084</v>
      </c>
      <c r="R69" s="153">
        <f t="shared" si="2"/>
        <v>1093.624303560184</v>
      </c>
      <c r="S69">
        <f t="shared" si="3"/>
        <v>33.069990982160611</v>
      </c>
      <c r="T69" s="261">
        <v>47</v>
      </c>
      <c r="U69" s="261">
        <v>6</v>
      </c>
      <c r="V69" s="261">
        <v>24</v>
      </c>
      <c r="W69" s="261">
        <v>12</v>
      </c>
      <c r="X69" s="261">
        <f t="shared" si="6"/>
        <v>1128</v>
      </c>
      <c r="Y69" s="271">
        <f t="shared" si="7"/>
        <v>-34.375696439816011</v>
      </c>
      <c r="Z69" s="263">
        <f t="shared" si="4"/>
        <v>2436.48</v>
      </c>
      <c r="AA69">
        <f t="shared" si="5"/>
        <v>1316.7029916297481</v>
      </c>
      <c r="AO69" s="270">
        <f t="shared" si="8"/>
        <v>27</v>
      </c>
      <c r="AP69">
        <v>10</v>
      </c>
      <c r="AQ69" s="270">
        <f t="shared" si="9"/>
        <v>81</v>
      </c>
      <c r="AR69">
        <v>3.2</v>
      </c>
      <c r="AS69" s="270">
        <f t="shared" si="10"/>
        <v>135</v>
      </c>
      <c r="AT69">
        <v>1.92</v>
      </c>
      <c r="AU69" s="270">
        <f t="shared" si="11"/>
        <v>189</v>
      </c>
      <c r="AV69">
        <v>1.37</v>
      </c>
      <c r="AW69" s="270">
        <f t="shared" si="12"/>
        <v>243</v>
      </c>
      <c r="AX69">
        <v>1.06</v>
      </c>
    </row>
    <row r="70" spans="3:50">
      <c r="C70" s="217">
        <f>'50 кГЦ новый для ХК.01'!O64</f>
        <v>61</v>
      </c>
      <c r="D70" s="218">
        <f>'240 кГЦ '!P64</f>
        <v>22.8</v>
      </c>
      <c r="E70" s="221">
        <f>'240 кГЦ '!Y64</f>
        <v>30.991152117629593</v>
      </c>
      <c r="F70" s="251">
        <f t="shared" si="1"/>
        <v>30.991152117629593</v>
      </c>
      <c r="G70" s="241">
        <f>'240 кГЦ '!AA64</f>
        <v>32.863707373852783</v>
      </c>
      <c r="H70" s="234">
        <f>'240 кГЦ '!AB64</f>
        <v>706.59826828195537</v>
      </c>
      <c r="I70" s="153"/>
      <c r="J70" s="219">
        <f>'50 кГЦ новый для ХК.01'!AD64</f>
        <v>61</v>
      </c>
      <c r="K70" s="220">
        <f>'240 кГЦ '!AF64</f>
        <v>191</v>
      </c>
      <c r="L70" s="221">
        <f>'240 кГЦ '!AM64</f>
        <v>2498.8332380353681</v>
      </c>
      <c r="M70" s="251">
        <f>'240 кГЦ '!AO64</f>
        <v>249.88332380353637</v>
      </c>
      <c r="N70" s="241">
        <f>'240 кГЦ '!AQ64</f>
        <v>264.98183739395728</v>
      </c>
      <c r="R70" s="153">
        <f t="shared" si="2"/>
        <v>1156.867239831189</v>
      </c>
      <c r="S70">
        <f t="shared" si="3"/>
        <v>34.012751135878275</v>
      </c>
      <c r="T70" s="261">
        <v>47</v>
      </c>
      <c r="U70" s="261">
        <v>6</v>
      </c>
      <c r="V70" s="261">
        <v>24</v>
      </c>
      <c r="W70" s="261">
        <v>12</v>
      </c>
      <c r="X70" s="261">
        <f t="shared" si="6"/>
        <v>1128</v>
      </c>
      <c r="Y70" s="271">
        <f t="shared" si="7"/>
        <v>28.867239831188954</v>
      </c>
      <c r="Z70" s="263">
        <f t="shared" si="4"/>
        <v>2436.48</v>
      </c>
      <c r="AA70">
        <f t="shared" si="5"/>
        <v>726.65472391395485</v>
      </c>
      <c r="AO70" s="270">
        <f t="shared" si="8"/>
        <v>28</v>
      </c>
      <c r="AP70">
        <v>9.5</v>
      </c>
      <c r="AQ70" s="270">
        <f t="shared" si="9"/>
        <v>82</v>
      </c>
      <c r="AR70">
        <v>3.15</v>
      </c>
      <c r="AS70" s="270">
        <f t="shared" si="10"/>
        <v>136</v>
      </c>
      <c r="AT70">
        <v>1.9</v>
      </c>
      <c r="AU70" s="270">
        <f t="shared" si="11"/>
        <v>190</v>
      </c>
      <c r="AV70">
        <v>1.36</v>
      </c>
      <c r="AW70" s="270">
        <f t="shared" si="12"/>
        <v>244</v>
      </c>
      <c r="AX70">
        <v>1.06</v>
      </c>
    </row>
    <row r="71" spans="3:50">
      <c r="C71" s="217">
        <f>'50 кГЦ новый для ХК.01'!O65</f>
        <v>62</v>
      </c>
      <c r="D71" s="218">
        <f>'240 кГЦ '!P65</f>
        <v>23.175000000000001</v>
      </c>
      <c r="E71" s="221">
        <f>'240 кГЦ '!Y65</f>
        <v>31.660305343992484</v>
      </c>
      <c r="F71" s="251">
        <f t="shared" si="1"/>
        <v>31.660305343992484</v>
      </c>
      <c r="G71" s="241">
        <f>'240 кГЦ '!AA65</f>
        <v>33.573292346234297</v>
      </c>
      <c r="H71" s="234">
        <f>'240 кГЦ '!AB65</f>
        <v>733.72757634702577</v>
      </c>
      <c r="I71" s="153"/>
      <c r="J71" s="219">
        <f>'50 кГЦ новый для ХК.01'!AD65</f>
        <v>62</v>
      </c>
      <c r="K71" s="220">
        <f>'240 кГЦ '!AF65</f>
        <v>194</v>
      </c>
      <c r="L71" s="221">
        <f>'240 кГЦ '!AM65</f>
        <v>2642.6855417521097</v>
      </c>
      <c r="M71" s="251">
        <f>'240 кГЦ '!AO65</f>
        <v>264.26855417521051</v>
      </c>
      <c r="N71" s="241">
        <f>'240 кГЦ '!AQ65</f>
        <v>280.23625580492109</v>
      </c>
      <c r="R71" s="153">
        <f t="shared" si="2"/>
        <v>1223.4655285889396</v>
      </c>
      <c r="S71">
        <f t="shared" si="3"/>
        <v>34.978072110808789</v>
      </c>
      <c r="T71" s="261">
        <v>38</v>
      </c>
      <c r="U71" s="261">
        <v>7</v>
      </c>
      <c r="V71" s="261">
        <v>32</v>
      </c>
      <c r="W71" s="261">
        <v>8</v>
      </c>
      <c r="X71" s="261">
        <f t="shared" si="6"/>
        <v>1216</v>
      </c>
      <c r="Y71" s="261">
        <f t="shared" si="7"/>
        <v>7.4655285889396055</v>
      </c>
      <c r="Z71" s="263">
        <f t="shared" si="4"/>
        <v>2626.5600000000004</v>
      </c>
      <c r="AA71">
        <f t="shared" si="5"/>
        <v>30.856055585818204</v>
      </c>
      <c r="AO71" s="270">
        <f t="shared" si="8"/>
        <v>29</v>
      </c>
      <c r="AP71">
        <v>9.3000000000000007</v>
      </c>
      <c r="AQ71" s="270">
        <f t="shared" si="9"/>
        <v>83</v>
      </c>
      <c r="AR71">
        <v>3.1</v>
      </c>
      <c r="AS71" s="270">
        <f t="shared" si="10"/>
        <v>137</v>
      </c>
      <c r="AT71">
        <v>1.89</v>
      </c>
      <c r="AU71" s="270">
        <f t="shared" si="11"/>
        <v>191</v>
      </c>
      <c r="AV71">
        <v>1.36</v>
      </c>
      <c r="AW71" s="270">
        <f t="shared" si="12"/>
        <v>245</v>
      </c>
      <c r="AX71">
        <v>1.05</v>
      </c>
    </row>
    <row r="72" spans="3:50">
      <c r="C72" s="217">
        <f>'50 кГЦ новый для ХК.01'!O66</f>
        <v>63</v>
      </c>
      <c r="D72" s="218">
        <f>'240 кГЦ '!P66</f>
        <v>23.55</v>
      </c>
      <c r="E72" s="221">
        <f>'240 кГЦ '!Y66</f>
        <v>32.335438083745352</v>
      </c>
      <c r="F72" s="251">
        <f t="shared" si="1"/>
        <v>32.335438083745352</v>
      </c>
      <c r="G72" s="241">
        <f>'240 кГЦ '!AA66</f>
        <v>34.28921812768094</v>
      </c>
      <c r="H72" s="234">
        <f>'240 кГЦ '!AB66</f>
        <v>761.49956687220345</v>
      </c>
      <c r="I72" s="153"/>
      <c r="J72" s="219">
        <f>'50 кГЦ новый для ХК.01'!AD66</f>
        <v>63</v>
      </c>
      <c r="K72" s="220">
        <f>'240 кГЦ '!AF66</f>
        <v>197</v>
      </c>
      <c r="L72" s="221">
        <f>'240 кГЦ '!AM66</f>
        <v>2794.1507717209961</v>
      </c>
      <c r="M72" s="251">
        <f>'240 кГЦ '!AO66</f>
        <v>279.41507717209913</v>
      </c>
      <c r="N72" s="241">
        <f>'240 кГЦ '!AQ66</f>
        <v>296.29796585725359</v>
      </c>
      <c r="R72" s="153">
        <f t="shared" si="2"/>
        <v>1293.5883202412017</v>
      </c>
      <c r="S72">
        <f t="shared" si="3"/>
        <v>35.966488850612059</v>
      </c>
      <c r="T72" s="261">
        <v>69</v>
      </c>
      <c r="U72" s="261">
        <v>4</v>
      </c>
      <c r="V72" s="261">
        <v>19</v>
      </c>
      <c r="W72" s="261">
        <v>15</v>
      </c>
      <c r="X72" s="261">
        <f t="shared" si="6"/>
        <v>1311</v>
      </c>
      <c r="Y72" s="261">
        <f t="shared" si="7"/>
        <v>-17.4116797587983</v>
      </c>
      <c r="Z72" s="263">
        <f t="shared" si="4"/>
        <v>2831.76</v>
      </c>
      <c r="AA72">
        <f t="shared" si="5"/>
        <v>373.35458587675555</v>
      </c>
      <c r="AO72" s="270">
        <f t="shared" si="8"/>
        <v>30</v>
      </c>
      <c r="AP72">
        <v>9</v>
      </c>
      <c r="AQ72" s="270">
        <f t="shared" si="9"/>
        <v>84</v>
      </c>
      <c r="AR72">
        <v>3.05</v>
      </c>
      <c r="AS72" s="270">
        <f t="shared" si="10"/>
        <v>138</v>
      </c>
      <c r="AT72">
        <v>1.88</v>
      </c>
      <c r="AU72" s="270">
        <f t="shared" si="11"/>
        <v>192</v>
      </c>
      <c r="AV72">
        <v>1.35</v>
      </c>
      <c r="AW72" s="270">
        <f t="shared" si="12"/>
        <v>246</v>
      </c>
      <c r="AX72">
        <v>1.05</v>
      </c>
    </row>
    <row r="73" spans="3:50">
      <c r="C73" s="217">
        <f>'50 кГЦ новый для ХК.01'!O67</f>
        <v>64</v>
      </c>
      <c r="D73" s="218">
        <f>'240 кГЦ '!P67</f>
        <v>23.925000000000001</v>
      </c>
      <c r="E73" s="221">
        <f>'240 кГЦ '!Y67</f>
        <v>33.016593722743259</v>
      </c>
      <c r="F73" s="251">
        <f t="shared" si="1"/>
        <v>33.016593722743259</v>
      </c>
      <c r="G73" s="241">
        <f>'240 кГЦ '!AA67</f>
        <v>35.011530725518917</v>
      </c>
      <c r="H73" s="234">
        <f>'240 кГЦ '!AB67</f>
        <v>789.92200481663235</v>
      </c>
      <c r="I73" s="153"/>
      <c r="J73" s="219">
        <f>'50 кГЦ новый для ХК.01'!AD67</f>
        <v>64</v>
      </c>
      <c r="K73" s="220">
        <f>'240 кГЦ '!AF67</f>
        <v>200</v>
      </c>
      <c r="L73" s="221">
        <f>'240 кГЦ '!AM67</f>
        <v>2953.6120984094296</v>
      </c>
      <c r="M73" s="251">
        <f>'240 кГЦ '!AO67</f>
        <v>295.36120984094242</v>
      </c>
      <c r="N73" s="241">
        <f>'240 кГЦ '!AQ67</f>
        <v>313.2075998000131</v>
      </c>
      <c r="R73" s="153">
        <f t="shared" si="2"/>
        <v>1367.413008522884</v>
      </c>
      <c r="S73">
        <f t="shared" si="3"/>
        <v>36.978547950438561</v>
      </c>
      <c r="T73" s="261">
        <v>69</v>
      </c>
      <c r="U73" s="261">
        <v>4</v>
      </c>
      <c r="V73" s="261">
        <v>20</v>
      </c>
      <c r="W73" s="261">
        <v>14</v>
      </c>
      <c r="X73" s="261">
        <f t="shared" si="6"/>
        <v>1380</v>
      </c>
      <c r="Y73" s="261">
        <f t="shared" si="7"/>
        <v>-12.586991477116044</v>
      </c>
      <c r="Z73" s="263">
        <f t="shared" si="4"/>
        <v>2980.8</v>
      </c>
      <c r="AA73">
        <f t="shared" si="5"/>
        <v>210.18322798499258</v>
      </c>
      <c r="AO73" s="270">
        <f t="shared" si="8"/>
        <v>31</v>
      </c>
      <c r="AP73">
        <v>8.5</v>
      </c>
      <c r="AQ73" s="270">
        <f t="shared" si="9"/>
        <v>85</v>
      </c>
      <c r="AR73">
        <v>3</v>
      </c>
      <c r="AS73" s="270">
        <f t="shared" si="10"/>
        <v>139</v>
      </c>
      <c r="AT73">
        <v>1.87</v>
      </c>
      <c r="AU73" s="270">
        <f t="shared" si="11"/>
        <v>193</v>
      </c>
      <c r="AV73">
        <v>1.34</v>
      </c>
      <c r="AW73" s="270">
        <f t="shared" si="12"/>
        <v>247</v>
      </c>
      <c r="AX73">
        <v>1.04</v>
      </c>
    </row>
    <row r="74" spans="3:50">
      <c r="C74" s="217">
        <f>'50 кГЦ новый для ХК.01'!O68</f>
        <v>65</v>
      </c>
      <c r="D74" s="218">
        <f>'240 кГЦ '!P68</f>
        <v>24.3</v>
      </c>
      <c r="E74" s="221">
        <f>'240 кГЦ '!Y68</f>
        <v>33.703815932838957</v>
      </c>
      <c r="F74" s="251">
        <f t="shared" si="1"/>
        <v>33.703815932838957</v>
      </c>
      <c r="G74" s="241">
        <f>'240 кГЦ '!AA68</f>
        <v>35.740276450352745</v>
      </c>
      <c r="H74" s="234">
        <f>'240 кГЦ '!AB68</f>
        <v>819.00272716798736</v>
      </c>
      <c r="I74" s="153"/>
      <c r="J74" s="219">
        <f>'50 кГЦ новый для ХК.01'!AD68</f>
        <v>65</v>
      </c>
      <c r="K74" s="220">
        <f>'240 кГЦ '!AF68</f>
        <v>203</v>
      </c>
      <c r="L74" s="221">
        <f>'240 кГЦ '!AM68</f>
        <v>3121.4713449418591</v>
      </c>
      <c r="M74" s="251">
        <f>'240 кГЦ '!AO68</f>
        <v>312.14713449418537</v>
      </c>
      <c r="N74" s="241">
        <f>'240 кГЦ '!AQ68</f>
        <v>331.00776785152215</v>
      </c>
      <c r="R74" s="153">
        <f t="shared" si="2"/>
        <v>1445.125622658268</v>
      </c>
      <c r="S74">
        <f t="shared" si="3"/>
        <v>38.01480793925267</v>
      </c>
      <c r="T74" s="261">
        <v>38</v>
      </c>
      <c r="U74" s="261">
        <v>7</v>
      </c>
      <c r="V74" s="261">
        <v>38</v>
      </c>
      <c r="W74" s="261">
        <v>7</v>
      </c>
      <c r="X74" s="261">
        <f t="shared" si="6"/>
        <v>1444</v>
      </c>
      <c r="Y74" s="261">
        <f t="shared" ref="Y74:Y95" si="13">R74-X74</f>
        <v>1.1256226582679574</v>
      </c>
      <c r="Z74" s="263">
        <f t="shared" si="4"/>
        <v>3119.0400000000004</v>
      </c>
      <c r="AA74">
        <f t="shared" si="5"/>
        <v>0.6163556285716103</v>
      </c>
      <c r="AO74" s="270">
        <f t="shared" si="8"/>
        <v>32</v>
      </c>
      <c r="AP74">
        <v>8.1</v>
      </c>
      <c r="AQ74" s="270">
        <f t="shared" si="9"/>
        <v>86</v>
      </c>
      <c r="AR74">
        <v>2.95</v>
      </c>
      <c r="AS74" s="270">
        <f t="shared" si="10"/>
        <v>140</v>
      </c>
      <c r="AT74">
        <v>1.85</v>
      </c>
      <c r="AU74" s="270">
        <f t="shared" si="11"/>
        <v>194</v>
      </c>
      <c r="AV74">
        <v>1.34</v>
      </c>
      <c r="AW74" s="270">
        <f t="shared" si="12"/>
        <v>248</v>
      </c>
      <c r="AX74">
        <v>1.04</v>
      </c>
    </row>
    <row r="75" spans="3:50">
      <c r="C75" s="217">
        <f>'50 кГЦ новый для ХК.01'!O69</f>
        <v>66</v>
      </c>
      <c r="D75" s="218">
        <f>'240 кГЦ '!P69</f>
        <v>24.675000000000001</v>
      </c>
      <c r="E75" s="221">
        <f>'240 кГЦ '!Y69</f>
        <v>34.397148673666479</v>
      </c>
      <c r="F75" s="251">
        <f t="shared" ref="F75:F94" si="14">E75</f>
        <v>34.397148673666479</v>
      </c>
      <c r="G75" s="241">
        <f>'240 кГЦ '!AA69</f>
        <v>36.475501917956613</v>
      </c>
      <c r="H75" s="234">
        <f>'240 кГЦ '!AB69</f>
        <v>848.74964352272059</v>
      </c>
      <c r="I75" s="153"/>
      <c r="J75" s="219">
        <f>'50 кГЦ новый для ХК.01'!AD69</f>
        <v>66</v>
      </c>
      <c r="K75" s="220">
        <f>'240 кГЦ '!AF69</f>
        <v>206</v>
      </c>
      <c r="L75" s="221">
        <f>'240 кГЦ '!AM69</f>
        <v>3298.1498737480292</v>
      </c>
      <c r="M75" s="251">
        <f>'240 кГЦ '!AO69</f>
        <v>329.81498737480234</v>
      </c>
      <c r="N75" s="241">
        <f>'240 кГЦ '!AQ69</f>
        <v>349.74315222152046</v>
      </c>
      <c r="R75" s="153">
        <f t="shared" ref="R75:R95" si="15">L75/$R$7</f>
        <v>1526.9212378463096</v>
      </c>
      <c r="S75">
        <f t="shared" ref="S75:S95" si="16">POWER(R75,0.5)</f>
        <v>39.075839566749039</v>
      </c>
      <c r="T75" s="261">
        <v>69</v>
      </c>
      <c r="U75" s="261">
        <v>4</v>
      </c>
      <c r="V75" s="261">
        <v>22</v>
      </c>
      <c r="W75" s="261">
        <v>13</v>
      </c>
      <c r="X75" s="261">
        <f t="shared" si="6"/>
        <v>1518</v>
      </c>
      <c r="Y75" s="261">
        <f t="shared" si="13"/>
        <v>8.9212378463096229</v>
      </c>
      <c r="Z75" s="263">
        <f t="shared" ref="Z75:Z95" si="17">X75*$R$7</f>
        <v>3278.88</v>
      </c>
      <c r="AA75">
        <f t="shared" ref="AA75:AA95" si="18">POWER(($Y$96-Y75),2)</f>
        <v>49.147558776345768</v>
      </c>
      <c r="AO75" s="270">
        <f t="shared" si="8"/>
        <v>33</v>
      </c>
      <c r="AP75">
        <v>7.8</v>
      </c>
      <c r="AQ75" s="270">
        <f t="shared" si="9"/>
        <v>87</v>
      </c>
      <c r="AR75">
        <v>2.9</v>
      </c>
      <c r="AS75" s="270">
        <f t="shared" si="10"/>
        <v>141</v>
      </c>
      <c r="AT75">
        <v>1.83</v>
      </c>
      <c r="AU75" s="270">
        <f t="shared" si="11"/>
        <v>195</v>
      </c>
      <c r="AV75">
        <v>1.33</v>
      </c>
      <c r="AW75" s="270">
        <f t="shared" si="12"/>
        <v>249</v>
      </c>
      <c r="AX75">
        <v>1.03</v>
      </c>
    </row>
    <row r="76" spans="3:50">
      <c r="C76" s="217">
        <f>'50 кГЦ новый для ХК.01'!O70</f>
        <v>67</v>
      </c>
      <c r="D76" s="218">
        <f>'240 кГЦ '!P70</f>
        <v>25.05</v>
      </c>
      <c r="E76" s="221">
        <f>'240 кГЦ '!Y70</f>
        <v>35.096636194435533</v>
      </c>
      <c r="F76" s="251">
        <f t="shared" si="14"/>
        <v>35.096636194435533</v>
      </c>
      <c r="G76" s="241">
        <f>'240 кГЦ '!AA70</f>
        <v>37.217254051177221</v>
      </c>
      <c r="H76" s="234">
        <f>'240 кГЦ '!AB70</f>
        <v>879.17073667061027</v>
      </c>
      <c r="I76" s="153"/>
      <c r="J76" s="219">
        <f>'50 кГЦ новый для ХК.01'!AD70</f>
        <v>67</v>
      </c>
      <c r="K76" s="220">
        <f>'240 кГЦ '!AF70</f>
        <v>209</v>
      </c>
      <c r="L76" s="221">
        <f>'240 кГЦ '!AM70</f>
        <v>3484.0895146124544</v>
      </c>
      <c r="M76" s="251">
        <f>'240 кГЦ '!AO70</f>
        <v>348.40895146124484</v>
      </c>
      <c r="N76" s="241">
        <f>'240 кГЦ '!AQ70</f>
        <v>369.46060552359319</v>
      </c>
      <c r="R76" s="153">
        <f t="shared" si="15"/>
        <v>1613.0044049131732</v>
      </c>
      <c r="S76">
        <f t="shared" si="16"/>
        <v>40.16222609509056</v>
      </c>
      <c r="T76" s="261">
        <v>79</v>
      </c>
      <c r="U76" s="261">
        <v>3</v>
      </c>
      <c r="V76" s="261">
        <v>20</v>
      </c>
      <c r="W76" s="261">
        <v>14</v>
      </c>
      <c r="X76" s="261">
        <f t="shared" si="6"/>
        <v>1580</v>
      </c>
      <c r="Y76" s="271">
        <f t="shared" si="13"/>
        <v>33.004404913173175</v>
      </c>
      <c r="Z76" s="263">
        <f t="shared" si="17"/>
        <v>3412.8</v>
      </c>
      <c r="AA76">
        <f t="shared" si="18"/>
        <v>966.81812101011178</v>
      </c>
      <c r="AO76" s="270">
        <f t="shared" si="8"/>
        <v>34</v>
      </c>
      <c r="AP76">
        <v>7.6</v>
      </c>
      <c r="AQ76" s="270">
        <f t="shared" si="9"/>
        <v>88</v>
      </c>
      <c r="AR76">
        <v>2.88</v>
      </c>
      <c r="AS76" s="270">
        <f t="shared" si="10"/>
        <v>142</v>
      </c>
      <c r="AT76">
        <v>1.82</v>
      </c>
      <c r="AU76" s="270">
        <f t="shared" si="11"/>
        <v>196</v>
      </c>
      <c r="AV76">
        <v>1.32</v>
      </c>
      <c r="AW76" s="270">
        <f t="shared" si="12"/>
        <v>250</v>
      </c>
      <c r="AX76">
        <v>1.03</v>
      </c>
    </row>
    <row r="77" spans="3:50">
      <c r="C77" s="217">
        <f>'50 кГЦ новый для ХК.01'!O71</f>
        <v>68</v>
      </c>
      <c r="D77" s="218">
        <f>'240 кГЦ '!P71</f>
        <v>25.425000000000001</v>
      </c>
      <c r="E77" s="221">
        <f>'240 кГЦ '!Y71</f>
        <v>35.802323035736656</v>
      </c>
      <c r="F77" s="251">
        <f t="shared" si="14"/>
        <v>35.802323035736656</v>
      </c>
      <c r="G77" s="241">
        <f>'240 кГЦ '!AA71</f>
        <v>37.965580081847953</v>
      </c>
      <c r="H77" s="234">
        <f>'240 кГЦ '!AB71</f>
        <v>910.27406318360534</v>
      </c>
      <c r="I77" s="153"/>
      <c r="J77" s="219">
        <f>'50 кГЦ новый для ХК.01'!AD71</f>
        <v>68</v>
      </c>
      <c r="K77" s="220">
        <f>'240 кГЦ '!AF71</f>
        <v>212</v>
      </c>
      <c r="L77" s="221">
        <f>'240 кГЦ '!AM71</f>
        <v>3679.7535360317406</v>
      </c>
      <c r="M77" s="251">
        <f>'240 кГЦ '!AO71</f>
        <v>367.9753536031734</v>
      </c>
      <c r="N77" s="241">
        <f>'240 кГЦ '!AQ71</f>
        <v>390.20925378006302</v>
      </c>
      <c r="R77" s="153">
        <f t="shared" si="15"/>
        <v>1703.5896000146947</v>
      </c>
      <c r="S77">
        <f t="shared" si="16"/>
        <v>41.274563595690445</v>
      </c>
      <c r="T77" s="261">
        <v>69</v>
      </c>
      <c r="U77" s="261">
        <v>4</v>
      </c>
      <c r="V77" s="261">
        <v>25</v>
      </c>
      <c r="W77" s="261">
        <v>11</v>
      </c>
      <c r="X77" s="261">
        <f t="shared" ref="X77:X95" si="19">T77*V77</f>
        <v>1725</v>
      </c>
      <c r="Y77" s="261">
        <f t="shared" si="13"/>
        <v>-21.410399985305276</v>
      </c>
      <c r="Z77" s="263">
        <f t="shared" si="17"/>
        <v>3726.0000000000005</v>
      </c>
      <c r="AA77">
        <f t="shared" si="18"/>
        <v>543.87397769731956</v>
      </c>
      <c r="AO77" s="270">
        <f t="shared" si="8"/>
        <v>35</v>
      </c>
      <c r="AP77">
        <v>7.5</v>
      </c>
      <c r="AQ77" s="270">
        <f t="shared" si="9"/>
        <v>89</v>
      </c>
      <c r="AR77">
        <v>2.85</v>
      </c>
      <c r="AS77" s="270">
        <f t="shared" si="10"/>
        <v>143</v>
      </c>
      <c r="AT77">
        <v>1.81</v>
      </c>
      <c r="AU77" s="270">
        <f t="shared" si="11"/>
        <v>197</v>
      </c>
      <c r="AV77">
        <v>1.31</v>
      </c>
      <c r="AW77" s="270">
        <f t="shared" si="12"/>
        <v>251</v>
      </c>
      <c r="AX77">
        <v>1.02</v>
      </c>
    </row>
    <row r="78" spans="3:50">
      <c r="C78" s="217">
        <f>'50 кГЦ новый для ХК.01'!O72</f>
        <v>69</v>
      </c>
      <c r="D78" s="218">
        <f>'240 кГЦ '!P72</f>
        <v>25.8</v>
      </c>
      <c r="E78" s="221">
        <f>'240 кГЦ '!Y72</f>
        <v>36.514254031357119</v>
      </c>
      <c r="F78" s="251">
        <f t="shared" si="14"/>
        <v>36.514254031357119</v>
      </c>
      <c r="G78" s="241">
        <f>'240 кГЦ '!AA72</f>
        <v>38.72052755271455</v>
      </c>
      <c r="H78" s="234">
        <f>'240 кГЦ '!AB72</f>
        <v>942.0677540090137</v>
      </c>
      <c r="I78" s="153"/>
      <c r="J78" s="219">
        <f>'50 кГЦ новый для ХК.01'!AD72</f>
        <v>69</v>
      </c>
      <c r="K78" s="220">
        <f>'240 кГЦ '!AF72</f>
        <v>215</v>
      </c>
      <c r="L78" s="221">
        <f>'240 кГЦ '!AM72</f>
        <v>3885.6276618731549</v>
      </c>
      <c r="M78" s="251">
        <f>'240 кГЦ '!AO72</f>
        <v>388.56276618731482</v>
      </c>
      <c r="N78" s="241">
        <f>'240 кГЦ '!AQ72</f>
        <v>412.04060423073452</v>
      </c>
      <c r="R78" s="153">
        <f t="shared" si="15"/>
        <v>1798.9016953116457</v>
      </c>
      <c r="S78">
        <f t="shared" si="16"/>
        <v>42.413461251254247</v>
      </c>
      <c r="T78" s="261">
        <v>56</v>
      </c>
      <c r="U78" s="261">
        <v>5</v>
      </c>
      <c r="V78" s="261">
        <v>32</v>
      </c>
      <c r="W78" s="261">
        <v>8</v>
      </c>
      <c r="X78" s="261">
        <f t="shared" si="19"/>
        <v>1792</v>
      </c>
      <c r="Y78" s="261">
        <f t="shared" si="13"/>
        <v>6.9016953116456534</v>
      </c>
      <c r="Z78" s="263">
        <f t="shared" si="17"/>
        <v>3870.7200000000003</v>
      </c>
      <c r="AA78">
        <f t="shared" si="18"/>
        <v>24.90997573867099</v>
      </c>
      <c r="AO78" s="270">
        <f t="shared" si="8"/>
        <v>36</v>
      </c>
      <c r="AP78">
        <v>7.4</v>
      </c>
      <c r="AQ78" s="270">
        <f t="shared" si="9"/>
        <v>90</v>
      </c>
      <c r="AR78">
        <v>2.82</v>
      </c>
      <c r="AS78" s="270">
        <f t="shared" si="10"/>
        <v>144</v>
      </c>
      <c r="AT78">
        <v>1.8</v>
      </c>
      <c r="AU78" s="270">
        <f t="shared" si="11"/>
        <v>198</v>
      </c>
      <c r="AV78">
        <v>1.31</v>
      </c>
      <c r="AW78" s="270">
        <f t="shared" si="12"/>
        <v>252</v>
      </c>
      <c r="AX78">
        <v>1.02</v>
      </c>
    </row>
    <row r="79" spans="3:50">
      <c r="C79" s="244">
        <f>'50 кГЦ новый для ХК.01'!O73</f>
        <v>70</v>
      </c>
      <c r="D79" s="218">
        <f>'240 кГЦ '!P73</f>
        <v>26.175000000000001</v>
      </c>
      <c r="E79" s="221">
        <f>'240 кГЦ '!Y73</f>
        <v>37.232474310107904</v>
      </c>
      <c r="F79" s="251">
        <f t="shared" si="14"/>
        <v>37.232474310107904</v>
      </c>
      <c r="G79" s="241">
        <f>'240 кГЦ '!AA73</f>
        <v>39.482144319372473</v>
      </c>
      <c r="H79" s="234">
        <f>'240 кГЦ '!AB73</f>
        <v>974.56001506707537</v>
      </c>
      <c r="I79" s="103"/>
      <c r="J79" s="246">
        <f>'50 кГЦ новый для ХК.01'!AD73</f>
        <v>70</v>
      </c>
      <c r="K79" s="220">
        <f>'240 кГЦ '!AF73</f>
        <v>218</v>
      </c>
      <c r="L79" s="221">
        <f>'240 кГЦ '!AM73</f>
        <v>4102.2211354185256</v>
      </c>
      <c r="M79" s="251">
        <f>'240 кГЦ '!AO73</f>
        <v>410.22211354185185</v>
      </c>
      <c r="N79" s="241">
        <f>'240 кГЦ '!AQ73</f>
        <v>435.00865816646467</v>
      </c>
      <c r="R79" s="153">
        <f t="shared" si="15"/>
        <v>1899.1764515826505</v>
      </c>
      <c r="S79">
        <f t="shared" si="16"/>
        <v>43.579541663292545</v>
      </c>
      <c r="T79" s="261">
        <v>79</v>
      </c>
      <c r="U79" s="261">
        <v>3</v>
      </c>
      <c r="V79" s="261">
        <v>24</v>
      </c>
      <c r="W79" s="261">
        <v>12</v>
      </c>
      <c r="X79" s="261">
        <f t="shared" si="19"/>
        <v>1896</v>
      </c>
      <c r="Y79" s="261">
        <f t="shared" si="13"/>
        <v>3.1764515826505431</v>
      </c>
      <c r="Z79" s="263">
        <f t="shared" si="17"/>
        <v>4095.36</v>
      </c>
      <c r="AA79">
        <f t="shared" si="18"/>
        <v>1.6021122425825853</v>
      </c>
      <c r="AO79" s="270">
        <f t="shared" si="8"/>
        <v>37</v>
      </c>
      <c r="AP79">
        <v>7.2</v>
      </c>
      <c r="AQ79" s="270">
        <f t="shared" si="9"/>
        <v>91</v>
      </c>
      <c r="AR79">
        <v>2.8</v>
      </c>
      <c r="AS79" s="270">
        <f t="shared" si="10"/>
        <v>145</v>
      </c>
      <c r="AT79">
        <v>1.79</v>
      </c>
      <c r="AU79" s="270">
        <f t="shared" si="11"/>
        <v>199</v>
      </c>
      <c r="AV79">
        <v>1.3</v>
      </c>
      <c r="AW79" s="270">
        <f t="shared" si="12"/>
        <v>253</v>
      </c>
      <c r="AX79">
        <v>1.02</v>
      </c>
    </row>
    <row r="80" spans="3:50">
      <c r="C80" s="244">
        <f>'50 кГЦ новый для ХК.01'!O74</f>
        <v>71</v>
      </c>
      <c r="D80" s="218">
        <f>'240 кГЦ '!P74</f>
        <v>26.55</v>
      </c>
      <c r="E80" s="221">
        <f>'240 кГЦ '!Y74</f>
        <v>37.957029297661585</v>
      </c>
      <c r="F80" s="251">
        <f t="shared" si="14"/>
        <v>37.957029297661585</v>
      </c>
      <c r="G80" s="241">
        <f>'240 кГЦ '!AA74</f>
        <v>40.250478552215796</v>
      </c>
      <c r="H80" s="234">
        <f>'240 кГЦ '!AB74</f>
        <v>1007.7591278529158</v>
      </c>
      <c r="I80" s="103"/>
      <c r="J80" s="246">
        <f>'50 кГЦ новый для ХК.01'!AD74</f>
        <v>71</v>
      </c>
      <c r="K80" s="220">
        <f>'240 кГЦ '!AF74</f>
        <v>221</v>
      </c>
      <c r="L80" s="221">
        <f>'240 кГЦ '!AM74</f>
        <v>4330.0678329725906</v>
      </c>
      <c r="M80" s="251">
        <f>'240 кГЦ '!AO74</f>
        <v>433.00678329725832</v>
      </c>
      <c r="N80" s="241">
        <f>'240 кГЦ '!AQ74</f>
        <v>459.17002901868273</v>
      </c>
      <c r="R80" s="153">
        <f t="shared" si="15"/>
        <v>2004.6610337836066</v>
      </c>
      <c r="S80">
        <f t="shared" si="16"/>
        <v>44.773441165311461</v>
      </c>
      <c r="T80" s="261">
        <v>69</v>
      </c>
      <c r="U80" s="261">
        <v>4</v>
      </c>
      <c r="V80" s="261">
        <v>28</v>
      </c>
      <c r="W80" s="261">
        <v>9</v>
      </c>
      <c r="X80" s="261">
        <f t="shared" si="19"/>
        <v>1932</v>
      </c>
      <c r="Y80" s="271">
        <f t="shared" si="13"/>
        <v>72.661033783606626</v>
      </c>
      <c r="Z80" s="263">
        <f t="shared" si="17"/>
        <v>4173.12</v>
      </c>
      <c r="AA80">
        <f t="shared" si="18"/>
        <v>5005.6089017547911</v>
      </c>
      <c r="AO80" s="270">
        <f t="shared" si="8"/>
        <v>38</v>
      </c>
      <c r="AP80">
        <v>7</v>
      </c>
      <c r="AQ80" s="270">
        <f t="shared" si="9"/>
        <v>92</v>
      </c>
      <c r="AR80">
        <v>2.79</v>
      </c>
      <c r="AS80" s="270">
        <f t="shared" si="10"/>
        <v>146</v>
      </c>
      <c r="AT80">
        <v>1.78</v>
      </c>
      <c r="AU80" s="270">
        <f t="shared" si="11"/>
        <v>200</v>
      </c>
      <c r="AV80">
        <v>1.29</v>
      </c>
      <c r="AW80" s="270">
        <f t="shared" si="12"/>
        <v>254</v>
      </c>
      <c r="AX80">
        <v>1.01</v>
      </c>
    </row>
    <row r="81" spans="3:50">
      <c r="C81" s="244">
        <f>'50 кГЦ новый для ХК.01'!O75</f>
        <v>72</v>
      </c>
      <c r="D81" s="218">
        <f>'240 кГЦ '!P75</f>
        <v>26.925000000000001</v>
      </c>
      <c r="E81" s="221">
        <f>'240 кГЦ '!Y75</f>
        <v>38.687964718401219</v>
      </c>
      <c r="F81" s="251">
        <f t="shared" si="14"/>
        <v>38.687964718401219</v>
      </c>
      <c r="G81" s="241">
        <f>'240 кГЦ '!AA75</f>
        <v>41.025578738397854</v>
      </c>
      <c r="H81" s="234">
        <f>'240 кГЦ '!AB75</f>
        <v>1041.6734500429534</v>
      </c>
      <c r="I81" s="103"/>
      <c r="J81" s="272">
        <f>'50 кГЦ новый для ХК.01'!AD75</f>
        <v>72</v>
      </c>
      <c r="K81" s="273">
        <f>'240 кГЦ '!AF75</f>
        <v>224</v>
      </c>
      <c r="L81" s="274">
        <f>'240 кГЦ '!AM75</f>
        <v>4569.7274293136425</v>
      </c>
      <c r="M81" s="275">
        <f>'240 кГЦ '!AO75</f>
        <v>456.97274293136343</v>
      </c>
      <c r="N81" s="276">
        <f>'240 кГЦ '!AQ75</f>
        <v>484.58406594636313</v>
      </c>
      <c r="O81" s="277"/>
      <c r="P81" s="277"/>
      <c r="Q81" s="277"/>
      <c r="R81" s="278">
        <f t="shared" si="15"/>
        <v>2115.6145506081675</v>
      </c>
      <c r="S81" s="278">
        <f t="shared" si="16"/>
        <v>45.995810141883226</v>
      </c>
      <c r="T81" s="139">
        <v>56</v>
      </c>
      <c r="U81" s="139">
        <v>5</v>
      </c>
      <c r="V81" s="139">
        <v>38</v>
      </c>
      <c r="W81" s="139">
        <v>7</v>
      </c>
      <c r="X81" s="139">
        <f t="shared" si="19"/>
        <v>2128</v>
      </c>
      <c r="Y81" s="139">
        <f t="shared" si="13"/>
        <v>-12.385449391832481</v>
      </c>
      <c r="Z81" s="139">
        <f t="shared" si="17"/>
        <v>4596.4800000000005</v>
      </c>
      <c r="AA81">
        <f t="shared" si="18"/>
        <v>204.38005489216997</v>
      </c>
      <c r="AO81" s="270">
        <f t="shared" si="8"/>
        <v>39</v>
      </c>
      <c r="AP81">
        <v>6.9</v>
      </c>
      <c r="AQ81" s="270">
        <f t="shared" si="9"/>
        <v>93</v>
      </c>
      <c r="AR81">
        <v>2.78</v>
      </c>
      <c r="AS81" s="270">
        <f t="shared" si="10"/>
        <v>147</v>
      </c>
      <c r="AT81">
        <v>1.77</v>
      </c>
      <c r="AU81" s="270">
        <f t="shared" si="11"/>
        <v>201</v>
      </c>
      <c r="AV81">
        <v>1.29</v>
      </c>
      <c r="AW81" s="270">
        <f t="shared" si="12"/>
        <v>255</v>
      </c>
      <c r="AX81">
        <v>1.01</v>
      </c>
    </row>
    <row r="82" spans="3:50">
      <c r="C82" s="244">
        <f>'50 кГЦ новый для ХК.01'!O76</f>
        <v>73</v>
      </c>
      <c r="D82" s="218">
        <f>'240 кГЦ '!P76</f>
        <v>27.3</v>
      </c>
      <c r="E82" s="221">
        <f>'240 кГЦ '!Y76</f>
        <v>39.425326597280453</v>
      </c>
      <c r="F82" s="251">
        <f t="shared" si="14"/>
        <v>39.425326597280453</v>
      </c>
      <c r="G82" s="241">
        <f>'240 кГЦ '!AA76</f>
        <v>41.807493683803727</v>
      </c>
      <c r="H82" s="234">
        <f>'240 кГЦ '!AB76</f>
        <v>1076.3114161057563</v>
      </c>
      <c r="I82" s="103"/>
      <c r="J82" s="246">
        <f>'50 кГЦ новый для ХК.01'!AD76</f>
        <v>73</v>
      </c>
      <c r="K82" s="220">
        <f>'240 кГЦ '!AF76</f>
        <v>227</v>
      </c>
      <c r="L82" s="221">
        <f>'240 кГЦ '!AM76</f>
        <v>4821.7866173686134</v>
      </c>
      <c r="M82" s="251">
        <f>'240 кГЦ '!AO76</f>
        <v>482.17866173686048</v>
      </c>
      <c r="N82" s="241" t="e">
        <f>'240 кГЦ '!AQ76</f>
        <v>#VALUE!</v>
      </c>
      <c r="R82" s="153">
        <f t="shared" si="15"/>
        <v>2232.3086191521356</v>
      </c>
      <c r="S82">
        <f t="shared" si="16"/>
        <v>47.247313353799662</v>
      </c>
      <c r="T82" s="261">
        <v>47</v>
      </c>
      <c r="U82" s="261">
        <v>6</v>
      </c>
      <c r="V82" s="261">
        <v>47</v>
      </c>
      <c r="W82" s="261">
        <v>6</v>
      </c>
      <c r="X82" s="261">
        <f t="shared" si="19"/>
        <v>2209</v>
      </c>
      <c r="Y82" s="261">
        <f t="shared" si="13"/>
        <v>23.308619152135634</v>
      </c>
      <c r="Z82" s="263">
        <f t="shared" si="17"/>
        <v>4771.4400000000005</v>
      </c>
      <c r="AA82">
        <f t="shared" si="18"/>
        <v>457.87069339594689</v>
      </c>
      <c r="AO82" s="270">
        <f t="shared" si="8"/>
        <v>40</v>
      </c>
      <c r="AP82">
        <v>6.7</v>
      </c>
      <c r="AQ82" s="270">
        <f t="shared" si="9"/>
        <v>94</v>
      </c>
      <c r="AR82">
        <v>2.76</v>
      </c>
      <c r="AS82" s="270">
        <f t="shared" si="10"/>
        <v>148</v>
      </c>
      <c r="AT82">
        <v>1.75</v>
      </c>
      <c r="AU82" s="270">
        <f t="shared" si="11"/>
        <v>202</v>
      </c>
      <c r="AV82">
        <v>1.28</v>
      </c>
      <c r="AW82" s="270">
        <f t="shared" si="12"/>
        <v>256</v>
      </c>
      <c r="AX82">
        <v>1</v>
      </c>
    </row>
    <row r="83" spans="3:50">
      <c r="C83" s="244">
        <f>'50 кГЦ новый для ХК.01'!O77</f>
        <v>74</v>
      </c>
      <c r="D83" s="218">
        <f>'240 кГЦ '!P77</f>
        <v>27.675000000000001</v>
      </c>
      <c r="E83" s="221">
        <f>'240 кГЦ '!Y77</f>
        <v>40.169161261694711</v>
      </c>
      <c r="F83" s="251">
        <f t="shared" si="14"/>
        <v>40.169161261694711</v>
      </c>
      <c r="G83" s="241">
        <f>'240 кГЦ '!AA77</f>
        <v>42.596272515034478</v>
      </c>
      <c r="H83" s="234">
        <f>'240 кГЦ '!AB77</f>
        <v>1111.6815379174025</v>
      </c>
      <c r="I83" s="103"/>
      <c r="J83" s="246">
        <f>'50 кГЦ новый для ХК.01'!AD77</f>
        <v>74</v>
      </c>
      <c r="K83" s="220">
        <f>'240 кГЦ '!AF77</f>
        <v>230</v>
      </c>
      <c r="L83" s="221">
        <f>'240 кГЦ '!AM77</f>
        <v>5086.8603846020251</v>
      </c>
      <c r="M83" s="251">
        <f>'240 кГЦ '!AO77</f>
        <v>508.68603846020164</v>
      </c>
      <c r="N83" s="241">
        <f>'240 кГЦ '!AQ77</f>
        <v>539.42199533816779</v>
      </c>
      <c r="R83" s="153">
        <f t="shared" si="15"/>
        <v>2355.0279558342709</v>
      </c>
      <c r="S83">
        <f t="shared" si="16"/>
        <v>48.528630269504525</v>
      </c>
      <c r="T83" s="261">
        <v>47</v>
      </c>
      <c r="U83" s="261">
        <v>6</v>
      </c>
      <c r="V83" s="261">
        <v>47</v>
      </c>
      <c r="W83" s="261">
        <v>6</v>
      </c>
      <c r="X83" s="261">
        <f t="shared" si="19"/>
        <v>2209</v>
      </c>
      <c r="Y83" s="261">
        <f t="shared" si="13"/>
        <v>146.02795583427087</v>
      </c>
      <c r="Z83" s="263">
        <f t="shared" si="17"/>
        <v>4771.4400000000005</v>
      </c>
      <c r="AA83">
        <f t="shared" si="18"/>
        <v>20769.781741077215</v>
      </c>
      <c r="AO83" s="270">
        <f t="shared" si="8"/>
        <v>41</v>
      </c>
      <c r="AP83">
        <v>6.5</v>
      </c>
      <c r="AQ83" s="270">
        <f t="shared" si="9"/>
        <v>95</v>
      </c>
      <c r="AR83">
        <v>2.74</v>
      </c>
      <c r="AS83" s="270">
        <f t="shared" si="10"/>
        <v>149</v>
      </c>
      <c r="AT83">
        <v>1.74</v>
      </c>
      <c r="AU83" s="270">
        <f t="shared" si="11"/>
        <v>203</v>
      </c>
      <c r="AV83">
        <v>1.27</v>
      </c>
      <c r="AW83" s="270" t="s">
        <v>9</v>
      </c>
    </row>
    <row r="84" spans="3:50">
      <c r="C84" s="244">
        <f>'50 кГЦ новый для ХК.01'!O78</f>
        <v>75</v>
      </c>
      <c r="D84" s="218">
        <f>'240 кГЦ '!P78</f>
        <v>28.05</v>
      </c>
      <c r="E84" s="221">
        <f>'240 кГЦ '!Y78</f>
        <v>40.919515343363607</v>
      </c>
      <c r="F84" s="251">
        <f t="shared" si="14"/>
        <v>40.919515343363607</v>
      </c>
      <c r="G84" s="241">
        <f>'240 кГЦ '!AA78</f>
        <v>43.391964681403309</v>
      </c>
      <c r="H84" s="234">
        <f>'240 кГЦ '!AB78</f>
        <v>1147.7924053813499</v>
      </c>
      <c r="I84" s="103"/>
      <c r="J84" s="246">
        <f>'50 кГЦ новый для ХК.01'!AD78</f>
        <v>75</v>
      </c>
      <c r="K84" s="220">
        <f>'240 кГЦ '!AF78</f>
        <v>233</v>
      </c>
      <c r="L84" s="221">
        <f>'240 кГЦ '!AM78</f>
        <v>5365.5933487222646</v>
      </c>
      <c r="M84" s="251">
        <f>'240 кГЦ '!AO78</f>
        <v>536.55933487222558</v>
      </c>
      <c r="N84" s="241">
        <f>'240 кГЦ '!AQ78</f>
        <v>568.97945913791978</v>
      </c>
      <c r="R84" s="153">
        <f t="shared" si="15"/>
        <v>2484.0709947788259</v>
      </c>
      <c r="S84">
        <f t="shared" si="16"/>
        <v>49.840455403003951</v>
      </c>
      <c r="T84" s="261">
        <v>79</v>
      </c>
      <c r="U84" s="261">
        <v>3</v>
      </c>
      <c r="V84" s="261">
        <v>32</v>
      </c>
      <c r="W84" s="261">
        <v>8</v>
      </c>
      <c r="X84" s="261">
        <f t="shared" si="19"/>
        <v>2528</v>
      </c>
      <c r="Y84" s="261">
        <f t="shared" si="13"/>
        <v>-43.929005221174066</v>
      </c>
      <c r="Z84" s="263">
        <f t="shared" si="17"/>
        <v>5460.4800000000005</v>
      </c>
      <c r="AA84">
        <f t="shared" si="18"/>
        <v>2101.2791117094707</v>
      </c>
      <c r="AO84" s="270">
        <f t="shared" si="8"/>
        <v>42</v>
      </c>
      <c r="AP84">
        <v>6.4</v>
      </c>
      <c r="AQ84" s="270">
        <f t="shared" si="9"/>
        <v>96</v>
      </c>
      <c r="AR84">
        <v>2.72</v>
      </c>
      <c r="AS84" s="270">
        <f t="shared" si="10"/>
        <v>150</v>
      </c>
      <c r="AT84">
        <v>1.73</v>
      </c>
      <c r="AU84" s="270">
        <f t="shared" si="11"/>
        <v>204</v>
      </c>
      <c r="AV84">
        <v>1.27</v>
      </c>
    </row>
    <row r="85" spans="3:50">
      <c r="C85" s="244">
        <f>'50 кГЦ новый для ХК.01'!O79</f>
        <v>76</v>
      </c>
      <c r="D85" s="218">
        <f>'240 кГЦ '!P79</f>
        <v>28.425000000000001</v>
      </c>
      <c r="E85" s="221">
        <f>'240 кГЦ '!Y79</f>
        <v>41.676435780224899</v>
      </c>
      <c r="F85" s="251">
        <f t="shared" si="14"/>
        <v>41.676435780224899</v>
      </c>
      <c r="G85" s="241">
        <f>'240 кГЦ '!AA79</f>
        <v>44.19461995694396</v>
      </c>
      <c r="H85" s="234">
        <f>'240 кГЦ '!AB79</f>
        <v>1184.652687052893</v>
      </c>
      <c r="I85" s="103"/>
      <c r="J85" s="246">
        <f>'50 кГЦ новый для ХК.01'!AD79</f>
        <v>76</v>
      </c>
      <c r="K85" s="220">
        <f>'240 кГЦ '!AF79</f>
        <v>236</v>
      </c>
      <c r="L85" s="221">
        <f>'240 кГЦ '!AM79</f>
        <v>5658.6611554264955</v>
      </c>
      <c r="M85" s="251">
        <f>'240 кГЦ '!AO79</f>
        <v>565.86611554264857</v>
      </c>
      <c r="N85" s="241">
        <f>'240 кГЦ '!AQ79</f>
        <v>600.05702154562982</v>
      </c>
      <c r="R85" s="153">
        <f t="shared" si="15"/>
        <v>2619.7505349196736</v>
      </c>
      <c r="S85">
        <f t="shared" si="16"/>
        <v>51.183498658451178</v>
      </c>
      <c r="T85" s="261">
        <v>69</v>
      </c>
      <c r="U85" s="261">
        <v>4</v>
      </c>
      <c r="V85" s="261">
        <v>38</v>
      </c>
      <c r="W85" s="261">
        <v>7</v>
      </c>
      <c r="X85" s="261">
        <f t="shared" si="19"/>
        <v>2622</v>
      </c>
      <c r="Y85" s="261">
        <f t="shared" si="13"/>
        <v>-2.2494650803264449</v>
      </c>
      <c r="Z85" s="263">
        <f t="shared" si="17"/>
        <v>5663.52</v>
      </c>
      <c r="AA85">
        <f t="shared" si="18"/>
        <v>17.3070222258694</v>
      </c>
      <c r="AO85" s="270">
        <f t="shared" si="8"/>
        <v>43</v>
      </c>
      <c r="AP85">
        <v>6.3</v>
      </c>
      <c r="AQ85" s="270">
        <f t="shared" si="9"/>
        <v>97</v>
      </c>
      <c r="AR85">
        <v>2.71</v>
      </c>
      <c r="AS85" s="270">
        <f t="shared" si="10"/>
        <v>151</v>
      </c>
      <c r="AT85">
        <v>1.71</v>
      </c>
      <c r="AU85" s="270">
        <f t="shared" si="11"/>
        <v>205</v>
      </c>
      <c r="AV85">
        <v>1.26</v>
      </c>
    </row>
    <row r="86" spans="3:50">
      <c r="C86" s="244">
        <f>'50 кГЦ новый для ХК.01'!O80</f>
        <v>77</v>
      </c>
      <c r="D86" s="218">
        <f>'240 кГЦ '!P80</f>
        <v>28.8</v>
      </c>
      <c r="E86" s="221">
        <f>'240 кГЦ '!Y80</f>
        <v>42.439969818339364</v>
      </c>
      <c r="F86" s="251">
        <f t="shared" si="14"/>
        <v>42.439969818339364</v>
      </c>
      <c r="G86" s="241">
        <f>'240 кГЦ '!AA80</f>
        <v>45.004288442430685</v>
      </c>
      <c r="H86" s="234">
        <f>'240 кГЦ '!AB80</f>
        <v>1222.2711307681736</v>
      </c>
      <c r="I86" s="103"/>
      <c r="J86" s="246">
        <f>'50 кГЦ новый для ХК.01'!AD80</f>
        <v>77</v>
      </c>
      <c r="K86" s="220">
        <f>'240 кГЦ '!AF80</f>
        <v>239</v>
      </c>
      <c r="L86" s="221">
        <f>'240 кГЦ '!AM80</f>
        <v>5966.7719410288473</v>
      </c>
      <c r="M86" s="251">
        <f>'240 кГЦ '!AO80</f>
        <v>596.67719410288373</v>
      </c>
      <c r="N86" s="241">
        <f>'240 кГЦ '!AQ80</f>
        <v>632.72977491191568</v>
      </c>
      <c r="R86" s="153">
        <f t="shared" si="15"/>
        <v>2762.3944171429848</v>
      </c>
      <c r="S86">
        <f t="shared" si="16"/>
        <v>52.55848568160031</v>
      </c>
      <c r="T86" s="261">
        <v>56</v>
      </c>
      <c r="U86" s="261">
        <v>5</v>
      </c>
      <c r="V86" s="261">
        <v>47</v>
      </c>
      <c r="W86" s="261">
        <v>6</v>
      </c>
      <c r="X86" s="261">
        <f t="shared" si="19"/>
        <v>2632</v>
      </c>
      <c r="Y86" s="271">
        <f t="shared" si="13"/>
        <v>130.39441714298482</v>
      </c>
      <c r="Z86" s="263">
        <f t="shared" si="17"/>
        <v>5685.1200000000008</v>
      </c>
      <c r="AA86">
        <f t="shared" si="18"/>
        <v>16508.064065879174</v>
      </c>
      <c r="AO86" s="270">
        <f t="shared" si="8"/>
        <v>44</v>
      </c>
      <c r="AP86">
        <v>6.1</v>
      </c>
      <c r="AQ86" s="270">
        <f t="shared" si="9"/>
        <v>98</v>
      </c>
      <c r="AR86">
        <v>2.7</v>
      </c>
      <c r="AS86" s="270">
        <f t="shared" si="10"/>
        <v>152</v>
      </c>
      <c r="AT86">
        <v>1.7</v>
      </c>
      <c r="AU86" s="270">
        <f t="shared" si="11"/>
        <v>206</v>
      </c>
      <c r="AV86">
        <v>1.26</v>
      </c>
    </row>
    <row r="87" spans="3:50">
      <c r="C87" s="244">
        <f>'50 кГЦ новый для ХК.01'!O81</f>
        <v>78</v>
      </c>
      <c r="D87" s="218">
        <f>'240 кГЦ '!P81</f>
        <v>29.175000000000001</v>
      </c>
      <c r="E87" s="221">
        <f>'240 кГЦ '!Y81</f>
        <v>43.210165013807696</v>
      </c>
      <c r="F87" s="251">
        <f t="shared" si="14"/>
        <v>43.210165013807696</v>
      </c>
      <c r="G87" s="241">
        <f>'240 кГЦ '!AA81</f>
        <v>45.821020567410962</v>
      </c>
      <c r="H87" s="234">
        <f>'240 кГЦ '!AB81</f>
        <v>1260.6565642778405</v>
      </c>
      <c r="I87" s="103"/>
      <c r="J87" s="246">
        <f>'50 кГЦ новый для ХК.01'!AD81</f>
        <v>78</v>
      </c>
      <c r="K87" s="220">
        <f>'240 кГЦ '!AF81</f>
        <v>242</v>
      </c>
      <c r="L87" s="221">
        <f>'240 кГЦ '!AM81</f>
        <v>6290.6678629461976</v>
      </c>
      <c r="M87" s="251">
        <f>'240 кГЦ '!AO81</f>
        <v>629.06678629461862</v>
      </c>
      <c r="N87" s="241">
        <f>'240 кГЦ '!AQ81</f>
        <v>667.07641926083988</v>
      </c>
      <c r="R87" s="153">
        <f t="shared" si="15"/>
        <v>2912.3462328454616</v>
      </c>
      <c r="S87">
        <f t="shared" si="16"/>
        <v>53.966158218326619</v>
      </c>
      <c r="T87" s="261">
        <v>79</v>
      </c>
      <c r="U87" s="261">
        <v>3</v>
      </c>
      <c r="V87" s="261">
        <v>38</v>
      </c>
      <c r="W87" s="261">
        <v>7</v>
      </c>
      <c r="X87" s="261">
        <f t="shared" si="19"/>
        <v>3002</v>
      </c>
      <c r="Y87" s="271">
        <f t="shared" si="13"/>
        <v>-89.6537671545384</v>
      </c>
      <c r="Z87" s="263">
        <f t="shared" si="17"/>
        <v>6484.3200000000006</v>
      </c>
      <c r="AA87">
        <f t="shared" si="18"/>
        <v>8384.0527178387892</v>
      </c>
      <c r="AO87" s="270">
        <f t="shared" si="8"/>
        <v>45</v>
      </c>
      <c r="AP87">
        <v>6</v>
      </c>
      <c r="AQ87" s="270">
        <f t="shared" si="9"/>
        <v>99</v>
      </c>
      <c r="AR87">
        <v>2.69</v>
      </c>
      <c r="AS87" s="270">
        <f t="shared" si="10"/>
        <v>153</v>
      </c>
      <c r="AT87">
        <v>1.69</v>
      </c>
      <c r="AU87" s="270">
        <f t="shared" si="11"/>
        <v>207</v>
      </c>
      <c r="AV87">
        <v>1.25</v>
      </c>
    </row>
    <row r="88" spans="3:50">
      <c r="C88" s="244">
        <f>'50 кГЦ новый для ХК.01'!O82</f>
        <v>79</v>
      </c>
      <c r="D88" s="218">
        <f>'240 кГЦ '!P82</f>
        <v>29.55</v>
      </c>
      <c r="E88" s="221">
        <f>'240 кГЦ '!Y82</f>
        <v>43.987069234698232</v>
      </c>
      <c r="F88" s="251">
        <f t="shared" si="14"/>
        <v>43.987069234698232</v>
      </c>
      <c r="G88" s="241">
        <f>'240 кГЦ '!AA82</f>
        <v>46.644867092249697</v>
      </c>
      <c r="H88" s="234">
        <f>'240 кГЦ '!AB82</f>
        <v>1299.8178958853334</v>
      </c>
      <c r="I88" s="103"/>
      <c r="J88" s="246">
        <f>'50 кГЦ новый для ХК.01'!AD82</f>
        <v>79</v>
      </c>
      <c r="K88" s="220">
        <f>'240 кГЦ '!AF82</f>
        <v>245</v>
      </c>
      <c r="L88" s="221">
        <f>'240 кГЦ '!AM82</f>
        <v>6631.1267011502114</v>
      </c>
      <c r="M88" s="251">
        <f>'240 кГЦ '!AO82</f>
        <v>663.11267011502002</v>
      </c>
      <c r="N88" s="241">
        <f>'240 кГЦ '!AQ82</f>
        <v>703.17943211144438</v>
      </c>
      <c r="R88" s="153">
        <f t="shared" si="15"/>
        <v>3069.9660653473197</v>
      </c>
      <c r="S88">
        <f t="shared" si="16"/>
        <v>55.407274480408432</v>
      </c>
      <c r="T88" s="261">
        <v>79</v>
      </c>
      <c r="U88" s="261">
        <v>3</v>
      </c>
      <c r="V88" s="261">
        <v>38</v>
      </c>
      <c r="W88" s="261">
        <v>7</v>
      </c>
      <c r="X88" s="261">
        <f t="shared" si="19"/>
        <v>3002</v>
      </c>
      <c r="Y88" s="271">
        <f t="shared" si="13"/>
        <v>67.966065347319727</v>
      </c>
      <c r="Z88" s="263">
        <f t="shared" si="17"/>
        <v>6484.3200000000006</v>
      </c>
      <c r="AA88">
        <f t="shared" si="18"/>
        <v>4363.3105174256389</v>
      </c>
      <c r="AO88" s="270">
        <f t="shared" si="8"/>
        <v>46</v>
      </c>
      <c r="AP88">
        <v>5.8</v>
      </c>
      <c r="AQ88" s="270">
        <f t="shared" si="9"/>
        <v>100</v>
      </c>
      <c r="AR88">
        <v>2.68</v>
      </c>
      <c r="AS88" s="270">
        <f t="shared" si="10"/>
        <v>154</v>
      </c>
      <c r="AT88">
        <v>1.68</v>
      </c>
      <c r="AU88" s="270">
        <f t="shared" si="11"/>
        <v>208</v>
      </c>
      <c r="AV88">
        <v>1.24</v>
      </c>
    </row>
    <row r="89" spans="3:50">
      <c r="C89" s="244">
        <f>'50 кГЦ новый для ХК.01'!O83</f>
        <v>80</v>
      </c>
      <c r="D89" s="218">
        <f>'240 кГЦ '!P83</f>
        <v>29.925000000000001</v>
      </c>
      <c r="E89" s="221">
        <f>'240 кГЦ '!Y83</f>
        <v>44.770730662987077</v>
      </c>
      <c r="F89" s="251">
        <f t="shared" si="14"/>
        <v>44.770730662987077</v>
      </c>
      <c r="G89" s="241">
        <f>'240 кГЦ '!AA83</f>
        <v>47.475879110186575</v>
      </c>
      <c r="H89" s="234">
        <f>'240 кГЦ '!AB83</f>
        <v>1339.7641150898878</v>
      </c>
      <c r="I89" s="103"/>
      <c r="J89" s="246">
        <f>'50 кГЦ новый для ХК.01'!AD83</f>
        <v>80</v>
      </c>
      <c r="K89" s="220">
        <f>'240 кГЦ '!AF83</f>
        <v>248</v>
      </c>
      <c r="L89" s="221">
        <f>'240 кГЦ '!AM83</f>
        <v>6988.9635338358012</v>
      </c>
      <c r="M89" s="251">
        <f>'240 кГЦ '!AO83</f>
        <v>698.89635338357891</v>
      </c>
      <c r="N89" s="241">
        <f>'240 кГЦ '!AQ83</f>
        <v>741.1252461693731</v>
      </c>
      <c r="R89" s="153">
        <f t="shared" si="15"/>
        <v>3235.6312656647224</v>
      </c>
      <c r="S89">
        <f t="shared" si="16"/>
        <v>56.88260951876876</v>
      </c>
      <c r="T89" s="261">
        <v>69</v>
      </c>
      <c r="U89" s="261">
        <v>4</v>
      </c>
      <c r="V89" s="261">
        <v>47</v>
      </c>
      <c r="W89" s="261">
        <v>6</v>
      </c>
      <c r="X89" s="261">
        <f t="shared" si="19"/>
        <v>3243</v>
      </c>
      <c r="Y89" s="261">
        <f t="shared" si="13"/>
        <v>-7.3687343352776224</v>
      </c>
      <c r="Z89" s="263">
        <f t="shared" si="17"/>
        <v>7004.88</v>
      </c>
      <c r="AA89">
        <f t="shared" si="18"/>
        <v>86.108010277805519</v>
      </c>
      <c r="AO89" s="270">
        <f t="shared" si="8"/>
        <v>47</v>
      </c>
      <c r="AP89">
        <v>5.7</v>
      </c>
      <c r="AQ89" s="270">
        <f t="shared" si="9"/>
        <v>101</v>
      </c>
      <c r="AR89">
        <v>2.64</v>
      </c>
      <c r="AS89" s="270">
        <f t="shared" si="10"/>
        <v>155</v>
      </c>
      <c r="AT89">
        <v>1.67</v>
      </c>
      <c r="AU89" s="270">
        <f t="shared" si="11"/>
        <v>209</v>
      </c>
      <c r="AV89">
        <v>1.24</v>
      </c>
    </row>
    <row r="90" spans="3:50">
      <c r="C90" s="244">
        <f>'50 кГЦ новый для ХК.01'!O84</f>
        <v>81</v>
      </c>
      <c r="D90" s="218">
        <f>'240 кГЦ '!P84</f>
        <v>30.3</v>
      </c>
      <c r="E90" s="221">
        <f>'240 кГЦ '!Y84</f>
        <v>45.561197796508871</v>
      </c>
      <c r="F90" s="251">
        <f t="shared" si="14"/>
        <v>45.561197796508871</v>
      </c>
      <c r="G90" s="241">
        <f>'240 кГЦ '!AA84</f>
        <v>48.314108049404709</v>
      </c>
      <c r="H90" s="234">
        <f>'240 кГЦ '!AB84</f>
        <v>1380.5042932342212</v>
      </c>
      <c r="I90" s="103"/>
      <c r="J90" s="246">
        <f>'50 кГЦ новый для ХК.01'!AD84</f>
        <v>81</v>
      </c>
      <c r="K90" s="220">
        <f>'240 кГЦ '!AF84</f>
        <v>251</v>
      </c>
      <c r="L90" s="221">
        <f>'240 кГЦ '!AM84</f>
        <v>7365.032490703099</v>
      </c>
      <c r="M90" s="251">
        <f>'240 кГЦ '!AO84</f>
        <v>736.50324907030858</v>
      </c>
      <c r="N90" s="241">
        <f>'240 кГЦ '!AQ84</f>
        <v>781.00443524878244</v>
      </c>
      <c r="R90" s="153">
        <f t="shared" si="15"/>
        <v>3409.7372642143973</v>
      </c>
      <c r="S90">
        <f t="shared" si="16"/>
        <v>58.392955604374038</v>
      </c>
      <c r="T90" s="261">
        <v>69</v>
      </c>
      <c r="U90" s="261">
        <v>4</v>
      </c>
      <c r="V90" s="261">
        <v>47</v>
      </c>
      <c r="W90" s="261">
        <v>6</v>
      </c>
      <c r="X90" s="261">
        <f t="shared" si="19"/>
        <v>3243</v>
      </c>
      <c r="Y90" s="271">
        <f t="shared" si="13"/>
        <v>166.73726421439733</v>
      </c>
      <c r="Z90" s="263">
        <f t="shared" si="17"/>
        <v>7004.88</v>
      </c>
      <c r="AA90">
        <f t="shared" si="18"/>
        <v>27167.794340020031</v>
      </c>
      <c r="AO90" s="270">
        <f t="shared" si="8"/>
        <v>48</v>
      </c>
      <c r="AP90">
        <v>5.6</v>
      </c>
      <c r="AQ90" s="270">
        <f t="shared" si="9"/>
        <v>102</v>
      </c>
      <c r="AR90">
        <v>2.6</v>
      </c>
      <c r="AS90" s="270">
        <f t="shared" si="10"/>
        <v>156</v>
      </c>
      <c r="AT90">
        <v>1.66</v>
      </c>
      <c r="AU90" s="270">
        <f t="shared" si="11"/>
        <v>210</v>
      </c>
      <c r="AV90">
        <v>1.23</v>
      </c>
    </row>
    <row r="91" spans="3:50">
      <c r="C91" s="244">
        <f>'50 кГЦ новый для ХК.01'!O85</f>
        <v>82</v>
      </c>
      <c r="D91" s="218">
        <f>'240 кГЦ '!P85</f>
        <v>30.675000000000001</v>
      </c>
      <c r="E91" s="221">
        <f>'240 кГЦ '!Y85</f>
        <v>46.35851945092044</v>
      </c>
      <c r="F91" s="251">
        <f t="shared" si="14"/>
        <v>46.35851945092044</v>
      </c>
      <c r="G91" s="241">
        <f>'240 кГЦ '!AA85</f>
        <v>49.159605675112921</v>
      </c>
      <c r="H91" s="234">
        <f>'240 кГЦ '!AB85</f>
        <v>1422.0475841569855</v>
      </c>
      <c r="I91" s="103"/>
      <c r="J91" s="246">
        <f>'50 кГЦ новый для ХК.01'!AD85</f>
        <v>82</v>
      </c>
      <c r="K91" s="220">
        <f>'240 кГЦ '!AF85</f>
        <v>254</v>
      </c>
      <c r="L91" s="221">
        <f>'240 кГЦ '!AM85</f>
        <v>7760.2285874043791</v>
      </c>
      <c r="M91" s="251">
        <f>'240 кГЦ '!AO85</f>
        <v>776.0228587404365</v>
      </c>
      <c r="N91" s="241">
        <f>'240 кГЦ '!AQ85</f>
        <v>822.91190880118245</v>
      </c>
      <c r="R91" s="153">
        <f t="shared" si="15"/>
        <v>3592.6984200946199</v>
      </c>
      <c r="S91">
        <f t="shared" si="16"/>
        <v>59.939122616990481</v>
      </c>
      <c r="T91" s="261">
        <v>79</v>
      </c>
      <c r="U91" s="261">
        <v>3</v>
      </c>
      <c r="V91" s="261">
        <v>47</v>
      </c>
      <c r="W91" s="261">
        <v>6</v>
      </c>
      <c r="X91" s="261">
        <f t="shared" si="19"/>
        <v>3713</v>
      </c>
      <c r="Y91" s="261">
        <f t="shared" si="13"/>
        <v>-120.30157990538009</v>
      </c>
      <c r="Z91" s="263">
        <f t="shared" si="17"/>
        <v>8020.0800000000008</v>
      </c>
      <c r="AA91">
        <f t="shared" si="18"/>
        <v>14935.842791209656</v>
      </c>
      <c r="AO91" s="270">
        <f t="shared" si="8"/>
        <v>49</v>
      </c>
      <c r="AP91">
        <v>5.5</v>
      </c>
      <c r="AQ91" s="270">
        <f t="shared" si="9"/>
        <v>103</v>
      </c>
      <c r="AR91">
        <v>2.57</v>
      </c>
      <c r="AS91" s="270">
        <f t="shared" si="10"/>
        <v>157</v>
      </c>
      <c r="AT91">
        <v>1.65</v>
      </c>
      <c r="AU91" s="270">
        <f t="shared" si="11"/>
        <v>211</v>
      </c>
      <c r="AV91">
        <v>1.23</v>
      </c>
    </row>
    <row r="92" spans="3:50">
      <c r="C92" s="244">
        <f>'50 кГЦ новый для ХК.01'!O86</f>
        <v>83</v>
      </c>
      <c r="D92" s="218">
        <f>'240 кГЦ '!P86</f>
        <v>31.05</v>
      </c>
      <c r="E92" s="221">
        <f>'240 кГЦ '!Y86</f>
        <v>47.162744761674972</v>
      </c>
      <c r="F92" s="251">
        <f t="shared" si="14"/>
        <v>47.162744761674972</v>
      </c>
      <c r="G92" s="241">
        <f>'240 кГЦ '!AA86</f>
        <v>50.012424091639232</v>
      </c>
      <c r="H92" s="234">
        <f>'240 кГЦ '!AB86</f>
        <v>1464.4032248500087</v>
      </c>
      <c r="I92" s="103"/>
      <c r="J92" s="246">
        <f>'50 кГЦ новый для ХК.01'!AD86</f>
        <v>83</v>
      </c>
      <c r="K92" s="220">
        <f>'240 кГЦ '!AF86</f>
        <v>257</v>
      </c>
      <c r="L92" s="221">
        <f>'240 кГЦ '!AM86</f>
        <v>8175.4896448678155</v>
      </c>
      <c r="M92" s="251">
        <f>'240 кГЦ '!AO86</f>
        <v>817.54896448678016</v>
      </c>
      <c r="N92" s="241">
        <f>'240 кГЦ '!AQ86</f>
        <v>866.9471154447981</v>
      </c>
      <c r="R92" s="153">
        <f t="shared" si="15"/>
        <v>3784.9489096610255</v>
      </c>
      <c r="S92">
        <f t="shared" si="16"/>
        <v>61.52193844199828</v>
      </c>
      <c r="T92" s="261">
        <v>69</v>
      </c>
      <c r="U92" s="261">
        <v>4</v>
      </c>
      <c r="V92" s="261">
        <v>56</v>
      </c>
      <c r="W92" s="261">
        <v>5</v>
      </c>
      <c r="X92" s="261">
        <f t="shared" si="19"/>
        <v>3864</v>
      </c>
      <c r="Y92" s="261">
        <f t="shared" si="13"/>
        <v>-79.051090338974518</v>
      </c>
      <c r="Z92" s="263">
        <f t="shared" si="17"/>
        <v>8346.24</v>
      </c>
      <c r="AA92">
        <f t="shared" si="18"/>
        <v>6554.8124432414179</v>
      </c>
      <c r="AO92" s="270">
        <f>AO91+1</f>
        <v>50</v>
      </c>
      <c r="AP92">
        <v>5.4</v>
      </c>
      <c r="AQ92" s="270">
        <f t="shared" si="9"/>
        <v>104</v>
      </c>
      <c r="AR92">
        <v>2.5299999999999998</v>
      </c>
      <c r="AS92" s="270">
        <f t="shared" si="10"/>
        <v>158</v>
      </c>
      <c r="AT92">
        <v>1.63</v>
      </c>
      <c r="AU92" s="270">
        <f t="shared" si="11"/>
        <v>212</v>
      </c>
      <c r="AV92">
        <v>1.22</v>
      </c>
    </row>
    <row r="93" spans="3:50">
      <c r="C93" s="244">
        <f>'50 кГЦ новый для ХК.01'!O87</f>
        <v>84</v>
      </c>
      <c r="D93" s="218">
        <f>'240 кГЦ '!P87</f>
        <v>31.425000000000001</v>
      </c>
      <c r="E93" s="221">
        <f>'240 кГЦ '!Y87</f>
        <v>47.973923186009173</v>
      </c>
      <c r="F93" s="251">
        <f t="shared" si="14"/>
        <v>47.973923186009173</v>
      </c>
      <c r="G93" s="241">
        <f>'240 кГЦ '!AA87</f>
        <v>50.872615744538038</v>
      </c>
      <c r="H93" s="234">
        <f>'240 кГЦ '!AB87</f>
        <v>1507.580536120339</v>
      </c>
      <c r="I93" s="103"/>
      <c r="J93" s="246">
        <f>'50 кГЦ новый для ХК.01'!AD87</f>
        <v>84</v>
      </c>
      <c r="K93" s="220">
        <f>'240 кГЦ '!AF87</f>
        <v>260</v>
      </c>
      <c r="L93" s="221">
        <f>'240 кГЦ '!AM87</f>
        <v>8611.7982973786275</v>
      </c>
      <c r="M93" s="251">
        <f>'240 кГЦ '!AO87</f>
        <v>861.17982973786127</v>
      </c>
      <c r="N93" s="241">
        <f>'240 кГЦ '!AQ87</f>
        <v>913.21425590595959</v>
      </c>
      <c r="R93" s="153">
        <f t="shared" si="15"/>
        <v>3986.9436561938087</v>
      </c>
      <c r="S93">
        <f t="shared" si="16"/>
        <v>63.142249375468154</v>
      </c>
      <c r="T93" s="261">
        <v>69</v>
      </c>
      <c r="U93" s="261">
        <v>4</v>
      </c>
      <c r="V93" s="261">
        <v>56</v>
      </c>
      <c r="W93" s="261">
        <v>5</v>
      </c>
      <c r="X93" s="261">
        <f t="shared" si="19"/>
        <v>3864</v>
      </c>
      <c r="Y93" s="271">
        <f t="shared" si="13"/>
        <v>122.94365619380869</v>
      </c>
      <c r="Z93" s="263">
        <f t="shared" si="17"/>
        <v>8346.24</v>
      </c>
      <c r="AA93">
        <f t="shared" si="18"/>
        <v>14648.975067287856</v>
      </c>
      <c r="AO93" s="270">
        <f t="shared" si="8"/>
        <v>51</v>
      </c>
      <c r="AP93">
        <v>5.3</v>
      </c>
      <c r="AQ93" s="270">
        <f t="shared" si="9"/>
        <v>105</v>
      </c>
      <c r="AR93">
        <v>2.5</v>
      </c>
      <c r="AS93" s="270">
        <f t="shared" si="10"/>
        <v>159</v>
      </c>
      <c r="AT93">
        <v>1.62</v>
      </c>
      <c r="AU93" s="270">
        <f t="shared" si="11"/>
        <v>213</v>
      </c>
      <c r="AV93">
        <v>1.21</v>
      </c>
    </row>
    <row r="94" spans="3:50">
      <c r="C94" s="244">
        <f>'50 кГЦ новый для ХК.01'!O88</f>
        <v>85</v>
      </c>
      <c r="D94" s="218">
        <f>'240 кГЦ '!P88</f>
        <v>31.8</v>
      </c>
      <c r="E94" s="221">
        <f>'240 кГЦ '!Y88</f>
        <v>48.792104504941491</v>
      </c>
      <c r="F94" s="251">
        <f t="shared" si="14"/>
        <v>48.792104504941491</v>
      </c>
      <c r="G94" s="241">
        <f>'240 кГЦ '!AA88</f>
        <v>51.740233422709117</v>
      </c>
      <c r="H94" s="234">
        <f>'240 кГЦ '!AB88</f>
        <v>1551.5889232571406</v>
      </c>
      <c r="I94" s="103"/>
      <c r="J94" s="246">
        <f>'50 кГЦ новый для ХК.01'!AD88</f>
        <v>85</v>
      </c>
      <c r="K94" s="220">
        <f>'240 кГЦ '!AF88</f>
        <v>263</v>
      </c>
      <c r="L94" s="221">
        <f>'240 кГЦ '!AM88</f>
        <v>9070.1840934733609</v>
      </c>
      <c r="M94" s="251">
        <f>'240 кГЦ '!AO88</f>
        <v>907.01840934733445</v>
      </c>
      <c r="N94" s="241">
        <f>'240 кГЦ '!AQ88</f>
        <v>961.8225058026045</v>
      </c>
      <c r="R94" s="153">
        <f t="shared" si="15"/>
        <v>4199.1593025339635</v>
      </c>
      <c r="S94">
        <f t="shared" si="16"/>
        <v>64.800920537705039</v>
      </c>
      <c r="T94" s="261">
        <v>79</v>
      </c>
      <c r="U94" s="261">
        <v>4</v>
      </c>
      <c r="V94" s="261">
        <v>56</v>
      </c>
      <c r="W94" s="261">
        <v>5</v>
      </c>
      <c r="X94" s="261">
        <f t="shared" si="19"/>
        <v>4424</v>
      </c>
      <c r="Y94" s="261">
        <f t="shared" si="13"/>
        <v>-224.84069746603654</v>
      </c>
      <c r="Z94" s="263">
        <f t="shared" si="17"/>
        <v>9555.84</v>
      </c>
      <c r="AA94">
        <f t="shared" si="18"/>
        <v>51416.19890886249</v>
      </c>
      <c r="AO94" s="270">
        <f t="shared" si="8"/>
        <v>52</v>
      </c>
      <c r="AP94">
        <v>5.2</v>
      </c>
      <c r="AQ94" s="270">
        <f t="shared" si="9"/>
        <v>106</v>
      </c>
      <c r="AR94">
        <v>2.4700000000000002</v>
      </c>
      <c r="AS94" s="270">
        <f t="shared" si="10"/>
        <v>160</v>
      </c>
      <c r="AT94">
        <v>1.61</v>
      </c>
      <c r="AU94" s="270">
        <f t="shared" si="11"/>
        <v>214</v>
      </c>
      <c r="AV94">
        <v>1.21</v>
      </c>
    </row>
    <row r="95" spans="3:50">
      <c r="C95" s="62"/>
      <c r="D95" s="62"/>
      <c r="E95" s="62"/>
      <c r="F95" s="62"/>
      <c r="G95" s="62"/>
      <c r="I95" s="237"/>
      <c r="J95" s="246">
        <f>'50 кГЦ новый для ХК.01'!AD89</f>
        <v>86</v>
      </c>
      <c r="K95" s="220">
        <f>'240 кГЦ '!AF89</f>
        <v>266</v>
      </c>
      <c r="L95" s="221">
        <f>'240 кГЦ '!AM89</f>
        <v>9551.7256938865885</v>
      </c>
      <c r="M95" s="251">
        <f>'240 кГЦ '!AO89</f>
        <v>955.17256938865717</v>
      </c>
      <c r="N95" s="241">
        <f>'240 кГЦ '!AQ89</f>
        <v>1012.8862487194571</v>
      </c>
      <c r="R95" s="153">
        <f t="shared" si="15"/>
        <v>4422.0952286511983</v>
      </c>
      <c r="S95">
        <f t="shared" si="16"/>
        <v>66.498836295466091</v>
      </c>
      <c r="T95" s="261">
        <v>79</v>
      </c>
      <c r="U95" s="261">
        <v>3</v>
      </c>
      <c r="V95" s="261">
        <v>56</v>
      </c>
      <c r="W95" s="261">
        <v>5</v>
      </c>
      <c r="X95" s="261">
        <f t="shared" si="19"/>
        <v>4424</v>
      </c>
      <c r="Y95" s="261">
        <f t="shared" si="13"/>
        <v>-1.9047713488016598</v>
      </c>
      <c r="Z95" s="263">
        <f t="shared" si="17"/>
        <v>9555.84</v>
      </c>
      <c r="AA95">
        <f t="shared" si="18"/>
        <v>14.557866306243787</v>
      </c>
      <c r="AO95" s="270">
        <f>AO94+1</f>
        <v>53</v>
      </c>
      <c r="AP95">
        <v>5.0999999999999996</v>
      </c>
      <c r="AQ95" s="270">
        <f t="shared" si="9"/>
        <v>107</v>
      </c>
      <c r="AR95">
        <v>2.44</v>
      </c>
      <c r="AS95" s="270">
        <f t="shared" si="10"/>
        <v>161</v>
      </c>
      <c r="AT95">
        <v>1.6</v>
      </c>
      <c r="AU95" s="270">
        <f t="shared" si="11"/>
        <v>215</v>
      </c>
      <c r="AV95">
        <v>1.2</v>
      </c>
    </row>
    <row r="96" spans="3:50">
      <c r="Y96" s="263">
        <f>AVERAGE(Y10:Y81)</f>
        <v>1.9107058567708997</v>
      </c>
      <c r="AA96">
        <f>SUM(AA10:AA81)</f>
        <v>12783.414500903351</v>
      </c>
      <c r="AB96">
        <f>POWER(AA96/J81,0.5)</f>
        <v>13.324692252493401</v>
      </c>
      <c r="AC96">
        <f>AB96/Y96</f>
        <v>6.9737014754391256</v>
      </c>
      <c r="AO96" s="270">
        <f>AO95+1</f>
        <v>54</v>
      </c>
      <c r="AP96">
        <v>5</v>
      </c>
      <c r="AQ96" s="270">
        <f t="shared" si="9"/>
        <v>108</v>
      </c>
      <c r="AR96">
        <v>2.42</v>
      </c>
      <c r="AS96" s="270">
        <f t="shared" si="10"/>
        <v>162</v>
      </c>
      <c r="AT96">
        <v>1.59</v>
      </c>
      <c r="AU96" s="270">
        <f t="shared" si="11"/>
        <v>216</v>
      </c>
      <c r="AV96">
        <v>1.2</v>
      </c>
    </row>
  </sheetData>
  <mergeCells count="8">
    <mergeCell ref="D7:G7"/>
    <mergeCell ref="K7:N7"/>
    <mergeCell ref="C8:G8"/>
    <mergeCell ref="J8:N8"/>
    <mergeCell ref="D5:G5"/>
    <mergeCell ref="K5:N5"/>
    <mergeCell ref="D6:G6"/>
    <mergeCell ref="K6:N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C258"/>
  <sheetViews>
    <sheetView tabSelected="1" topLeftCell="A226" zoomScale="70" zoomScaleNormal="70" workbookViewId="0">
      <selection activeCell="E7" sqref="E7"/>
    </sheetView>
  </sheetViews>
  <sheetFormatPr defaultRowHeight="14.4"/>
  <sheetData>
    <row r="3" spans="2:3">
      <c r="B3" s="270">
        <v>1</v>
      </c>
      <c r="C3">
        <v>205</v>
      </c>
    </row>
    <row r="4" spans="2:3">
      <c r="B4" s="270">
        <f>B3+1</f>
        <v>2</v>
      </c>
      <c r="C4">
        <v>125</v>
      </c>
    </row>
    <row r="5" spans="2:3">
      <c r="B5" s="270">
        <f t="shared" ref="B5:B54" si="0">B4+1</f>
        <v>3</v>
      </c>
      <c r="C5">
        <v>79</v>
      </c>
    </row>
    <row r="6" spans="2:3">
      <c r="B6" s="270">
        <f t="shared" si="0"/>
        <v>4</v>
      </c>
      <c r="C6">
        <v>69</v>
      </c>
    </row>
    <row r="7" spans="2:3">
      <c r="B7" s="270">
        <f t="shared" si="0"/>
        <v>5</v>
      </c>
      <c r="C7">
        <v>56</v>
      </c>
    </row>
    <row r="8" spans="2:3">
      <c r="B8" s="270">
        <f t="shared" si="0"/>
        <v>6</v>
      </c>
      <c r="C8">
        <v>47</v>
      </c>
    </row>
    <row r="9" spans="2:3">
      <c r="B9" s="270">
        <f t="shared" si="0"/>
        <v>7</v>
      </c>
      <c r="C9">
        <v>38</v>
      </c>
    </row>
    <row r="10" spans="2:3">
      <c r="B10" s="270">
        <f t="shared" si="0"/>
        <v>8</v>
      </c>
      <c r="C10">
        <v>32</v>
      </c>
    </row>
    <row r="11" spans="2:3">
      <c r="B11" s="270">
        <f t="shared" si="0"/>
        <v>9</v>
      </c>
      <c r="C11">
        <v>28</v>
      </c>
    </row>
    <row r="12" spans="2:3">
      <c r="B12" s="270">
        <f t="shared" si="0"/>
        <v>10</v>
      </c>
      <c r="C12">
        <v>26</v>
      </c>
    </row>
    <row r="13" spans="2:3">
      <c r="B13" s="270">
        <f t="shared" si="0"/>
        <v>11</v>
      </c>
      <c r="C13">
        <v>25</v>
      </c>
    </row>
    <row r="14" spans="2:3">
      <c r="B14" s="270">
        <f t="shared" si="0"/>
        <v>12</v>
      </c>
      <c r="C14">
        <v>24</v>
      </c>
    </row>
    <row r="15" spans="2:3">
      <c r="B15" s="270">
        <f t="shared" si="0"/>
        <v>13</v>
      </c>
      <c r="C15">
        <v>22</v>
      </c>
    </row>
    <row r="16" spans="2:3">
      <c r="B16" s="270">
        <f t="shared" si="0"/>
        <v>14</v>
      </c>
      <c r="C16">
        <v>20</v>
      </c>
    </row>
    <row r="17" spans="2:3">
      <c r="B17" s="270">
        <f t="shared" si="0"/>
        <v>15</v>
      </c>
      <c r="C17">
        <v>19</v>
      </c>
    </row>
    <row r="18" spans="2:3">
      <c r="B18" s="270">
        <f t="shared" si="0"/>
        <v>16</v>
      </c>
      <c r="C18">
        <v>16.5</v>
      </c>
    </row>
    <row r="19" spans="2:3">
      <c r="B19" s="270">
        <f t="shared" si="0"/>
        <v>17</v>
      </c>
      <c r="C19">
        <v>15.6</v>
      </c>
    </row>
    <row r="20" spans="2:3">
      <c r="B20" s="270">
        <f t="shared" si="0"/>
        <v>18</v>
      </c>
      <c r="C20">
        <v>15</v>
      </c>
    </row>
    <row r="21" spans="2:3">
      <c r="B21" s="270">
        <f t="shared" si="0"/>
        <v>19</v>
      </c>
      <c r="C21">
        <v>14</v>
      </c>
    </row>
    <row r="22" spans="2:3">
      <c r="B22" s="270">
        <f t="shared" si="0"/>
        <v>20</v>
      </c>
      <c r="C22">
        <v>13.5</v>
      </c>
    </row>
    <row r="23" spans="2:3">
      <c r="B23" s="270">
        <f t="shared" si="0"/>
        <v>21</v>
      </c>
      <c r="C23">
        <v>13</v>
      </c>
    </row>
    <row r="24" spans="2:3">
      <c r="B24" s="270">
        <f t="shared" si="0"/>
        <v>22</v>
      </c>
      <c r="C24">
        <v>12.3</v>
      </c>
    </row>
    <row r="25" spans="2:3">
      <c r="B25" s="270">
        <f t="shared" si="0"/>
        <v>23</v>
      </c>
      <c r="C25">
        <v>12</v>
      </c>
    </row>
    <row r="26" spans="2:3">
      <c r="B26" s="270">
        <f t="shared" si="0"/>
        <v>24</v>
      </c>
      <c r="C26">
        <v>11.2</v>
      </c>
    </row>
    <row r="27" spans="2:3">
      <c r="B27" s="270">
        <f t="shared" si="0"/>
        <v>25</v>
      </c>
      <c r="C27">
        <v>11</v>
      </c>
    </row>
    <row r="28" spans="2:3">
      <c r="B28" s="270">
        <f t="shared" si="0"/>
        <v>26</v>
      </c>
      <c r="C28">
        <v>10.3</v>
      </c>
    </row>
    <row r="29" spans="2:3">
      <c r="B29" s="270">
        <f t="shared" si="0"/>
        <v>27</v>
      </c>
      <c r="C29">
        <v>10</v>
      </c>
    </row>
    <row r="30" spans="2:3">
      <c r="B30" s="270">
        <f t="shared" si="0"/>
        <v>28</v>
      </c>
      <c r="C30">
        <v>9.5</v>
      </c>
    </row>
    <row r="31" spans="2:3">
      <c r="B31" s="270">
        <f t="shared" si="0"/>
        <v>29</v>
      </c>
      <c r="C31">
        <v>9.3000000000000007</v>
      </c>
    </row>
    <row r="32" spans="2:3">
      <c r="B32" s="270">
        <f t="shared" si="0"/>
        <v>30</v>
      </c>
      <c r="C32">
        <v>9</v>
      </c>
    </row>
    <row r="33" spans="2:3">
      <c r="B33" s="270">
        <f t="shared" si="0"/>
        <v>31</v>
      </c>
      <c r="C33">
        <v>8.5</v>
      </c>
    </row>
    <row r="34" spans="2:3">
      <c r="B34" s="270">
        <f t="shared" si="0"/>
        <v>32</v>
      </c>
      <c r="C34">
        <v>8.1</v>
      </c>
    </row>
    <row r="35" spans="2:3">
      <c r="B35" s="270">
        <f t="shared" si="0"/>
        <v>33</v>
      </c>
      <c r="C35">
        <v>7.8</v>
      </c>
    </row>
    <row r="36" spans="2:3">
      <c r="B36" s="270">
        <f t="shared" si="0"/>
        <v>34</v>
      </c>
      <c r="C36">
        <v>7.6</v>
      </c>
    </row>
    <row r="37" spans="2:3">
      <c r="B37" s="270">
        <f t="shared" si="0"/>
        <v>35</v>
      </c>
      <c r="C37">
        <v>7.5</v>
      </c>
    </row>
    <row r="38" spans="2:3">
      <c r="B38" s="270">
        <f t="shared" si="0"/>
        <v>36</v>
      </c>
      <c r="C38">
        <v>7.4</v>
      </c>
    </row>
    <row r="39" spans="2:3">
      <c r="B39" s="270">
        <f t="shared" si="0"/>
        <v>37</v>
      </c>
      <c r="C39">
        <v>7.2</v>
      </c>
    </row>
    <row r="40" spans="2:3">
      <c r="B40" s="270">
        <f t="shared" si="0"/>
        <v>38</v>
      </c>
      <c r="C40">
        <v>7</v>
      </c>
    </row>
    <row r="41" spans="2:3">
      <c r="B41" s="270">
        <f t="shared" si="0"/>
        <v>39</v>
      </c>
      <c r="C41">
        <v>6.9</v>
      </c>
    </row>
    <row r="42" spans="2:3">
      <c r="B42" s="270">
        <f t="shared" si="0"/>
        <v>40</v>
      </c>
      <c r="C42">
        <v>6.7</v>
      </c>
    </row>
    <row r="43" spans="2:3">
      <c r="B43" s="270">
        <f t="shared" si="0"/>
        <v>41</v>
      </c>
      <c r="C43">
        <v>6.5</v>
      </c>
    </row>
    <row r="44" spans="2:3">
      <c r="B44" s="270">
        <f t="shared" si="0"/>
        <v>42</v>
      </c>
      <c r="C44">
        <v>6.4</v>
      </c>
    </row>
    <row r="45" spans="2:3">
      <c r="B45" s="270">
        <f t="shared" si="0"/>
        <v>43</v>
      </c>
      <c r="C45">
        <v>6.3</v>
      </c>
    </row>
    <row r="46" spans="2:3">
      <c r="B46" s="270">
        <f t="shared" si="0"/>
        <v>44</v>
      </c>
      <c r="C46">
        <v>6.1</v>
      </c>
    </row>
    <row r="47" spans="2:3">
      <c r="B47" s="270">
        <f t="shared" si="0"/>
        <v>45</v>
      </c>
      <c r="C47">
        <v>6</v>
      </c>
    </row>
    <row r="48" spans="2:3">
      <c r="B48" s="270">
        <f t="shared" si="0"/>
        <v>46</v>
      </c>
      <c r="C48">
        <v>5.8</v>
      </c>
    </row>
    <row r="49" spans="2:3">
      <c r="B49" s="270">
        <f t="shared" si="0"/>
        <v>47</v>
      </c>
      <c r="C49">
        <v>5.7</v>
      </c>
    </row>
    <row r="50" spans="2:3">
      <c r="B50" s="270">
        <f t="shared" si="0"/>
        <v>48</v>
      </c>
      <c r="C50">
        <v>5.6</v>
      </c>
    </row>
    <row r="51" spans="2:3">
      <c r="B51" s="270">
        <f t="shared" si="0"/>
        <v>49</v>
      </c>
      <c r="C51">
        <v>5.5</v>
      </c>
    </row>
    <row r="52" spans="2:3">
      <c r="B52" s="270">
        <f>B51+1</f>
        <v>50</v>
      </c>
      <c r="C52">
        <v>5.4</v>
      </c>
    </row>
    <row r="53" spans="2:3">
      <c r="B53" s="270">
        <f t="shared" si="0"/>
        <v>51</v>
      </c>
      <c r="C53">
        <v>5.3</v>
      </c>
    </row>
    <row r="54" spans="2:3">
      <c r="B54" s="270">
        <f t="shared" si="0"/>
        <v>52</v>
      </c>
      <c r="C54">
        <v>5.2</v>
      </c>
    </row>
    <row r="55" spans="2:3">
      <c r="B55" s="270">
        <f>B54+1</f>
        <v>53</v>
      </c>
      <c r="C55">
        <v>5.0999999999999996</v>
      </c>
    </row>
    <row r="56" spans="2:3">
      <c r="B56" s="270">
        <f>B55+1</f>
        <v>54</v>
      </c>
      <c r="C56">
        <v>5</v>
      </c>
    </row>
    <row r="57" spans="2:3">
      <c r="B57" s="270">
        <v>55</v>
      </c>
      <c r="C57">
        <v>4.9000000000000004</v>
      </c>
    </row>
    <row r="58" spans="2:3">
      <c r="B58" s="270">
        <f>B57+1</f>
        <v>56</v>
      </c>
      <c r="C58">
        <v>4.8</v>
      </c>
    </row>
    <row r="59" spans="2:3">
      <c r="B59" s="270">
        <f t="shared" ref="B59:B110" si="1">B58+1</f>
        <v>57</v>
      </c>
      <c r="C59">
        <v>4.7</v>
      </c>
    </row>
    <row r="60" spans="2:3">
      <c r="B60" s="270">
        <f t="shared" si="1"/>
        <v>58</v>
      </c>
      <c r="C60">
        <v>4.5999999999999996</v>
      </c>
    </row>
    <row r="61" spans="2:3">
      <c r="B61" s="270">
        <f t="shared" si="1"/>
        <v>59</v>
      </c>
      <c r="C61">
        <v>4.5</v>
      </c>
    </row>
    <row r="62" spans="2:3">
      <c r="B62" s="270">
        <f t="shared" si="1"/>
        <v>60</v>
      </c>
      <c r="C62">
        <v>4.4000000000000004</v>
      </c>
    </row>
    <row r="63" spans="2:3">
      <c r="B63" s="270">
        <f t="shared" si="1"/>
        <v>61</v>
      </c>
      <c r="C63">
        <v>4.3</v>
      </c>
    </row>
    <row r="64" spans="2:3">
      <c r="B64" s="270">
        <f t="shared" si="1"/>
        <v>62</v>
      </c>
      <c r="C64">
        <v>4.2</v>
      </c>
    </row>
    <row r="65" spans="2:3">
      <c r="B65" s="270">
        <f t="shared" si="1"/>
        <v>63</v>
      </c>
      <c r="C65">
        <v>4.0999999999999996</v>
      </c>
    </row>
    <row r="66" spans="2:3">
      <c r="B66" s="270">
        <f t="shared" si="1"/>
        <v>64</v>
      </c>
      <c r="C66">
        <v>4</v>
      </c>
    </row>
    <row r="67" spans="2:3">
      <c r="B67" s="270">
        <f t="shared" si="1"/>
        <v>65</v>
      </c>
      <c r="C67">
        <v>3.97</v>
      </c>
    </row>
    <row r="68" spans="2:3">
      <c r="B68" s="270">
        <f t="shared" si="1"/>
        <v>66</v>
      </c>
      <c r="C68">
        <v>3.95</v>
      </c>
    </row>
    <row r="69" spans="2:3">
      <c r="B69" s="270">
        <f t="shared" si="1"/>
        <v>67</v>
      </c>
      <c r="C69">
        <v>3.9</v>
      </c>
    </row>
    <row r="70" spans="2:3">
      <c r="B70" s="270">
        <f t="shared" si="1"/>
        <v>68</v>
      </c>
      <c r="C70">
        <v>3.85</v>
      </c>
    </row>
    <row r="71" spans="2:3">
      <c r="B71" s="270">
        <f t="shared" si="1"/>
        <v>69</v>
      </c>
      <c r="C71">
        <v>3.8</v>
      </c>
    </row>
    <row r="72" spans="2:3">
      <c r="B72" s="270">
        <f t="shared" si="1"/>
        <v>70</v>
      </c>
      <c r="C72">
        <v>3.75</v>
      </c>
    </row>
    <row r="73" spans="2:3">
      <c r="B73" s="270">
        <f t="shared" si="1"/>
        <v>71</v>
      </c>
      <c r="C73">
        <v>3.7</v>
      </c>
    </row>
    <row r="74" spans="2:3">
      <c r="B74" s="270">
        <f t="shared" si="1"/>
        <v>72</v>
      </c>
      <c r="C74">
        <v>3.65</v>
      </c>
    </row>
    <row r="75" spans="2:3">
      <c r="B75" s="270">
        <f t="shared" si="1"/>
        <v>73</v>
      </c>
      <c r="C75">
        <v>3.6</v>
      </c>
    </row>
    <row r="76" spans="2:3">
      <c r="B76" s="270">
        <f t="shared" si="1"/>
        <v>74</v>
      </c>
      <c r="C76">
        <v>3.55</v>
      </c>
    </row>
    <row r="77" spans="2:3">
      <c r="B77" s="270">
        <f t="shared" si="1"/>
        <v>75</v>
      </c>
      <c r="C77">
        <v>3.5</v>
      </c>
    </row>
    <row r="78" spans="2:3">
      <c r="B78" s="270">
        <f t="shared" si="1"/>
        <v>76</v>
      </c>
      <c r="C78">
        <v>3.45</v>
      </c>
    </row>
    <row r="79" spans="2:3">
      <c r="B79" s="270">
        <f t="shared" si="1"/>
        <v>77</v>
      </c>
      <c r="C79">
        <v>3.4</v>
      </c>
    </row>
    <row r="80" spans="2:3">
      <c r="B80" s="270">
        <f t="shared" si="1"/>
        <v>78</v>
      </c>
      <c r="C80">
        <v>3.35</v>
      </c>
    </row>
    <row r="81" spans="2:3">
      <c r="B81" s="270">
        <f t="shared" si="1"/>
        <v>79</v>
      </c>
      <c r="C81">
        <v>3.3</v>
      </c>
    </row>
    <row r="82" spans="2:3">
      <c r="B82" s="270">
        <f t="shared" si="1"/>
        <v>80</v>
      </c>
      <c r="C82">
        <v>3.25</v>
      </c>
    </row>
    <row r="83" spans="2:3">
      <c r="B83" s="270">
        <f t="shared" si="1"/>
        <v>81</v>
      </c>
      <c r="C83">
        <v>3.2</v>
      </c>
    </row>
    <row r="84" spans="2:3">
      <c r="B84" s="270">
        <f t="shared" si="1"/>
        <v>82</v>
      </c>
      <c r="C84">
        <v>3.15</v>
      </c>
    </row>
    <row r="85" spans="2:3">
      <c r="B85" s="270">
        <f t="shared" si="1"/>
        <v>83</v>
      </c>
      <c r="C85">
        <v>3.1</v>
      </c>
    </row>
    <row r="86" spans="2:3">
      <c r="B86" s="270">
        <f t="shared" si="1"/>
        <v>84</v>
      </c>
      <c r="C86">
        <v>3.05</v>
      </c>
    </row>
    <row r="87" spans="2:3">
      <c r="B87" s="270">
        <f t="shared" si="1"/>
        <v>85</v>
      </c>
      <c r="C87">
        <v>3</v>
      </c>
    </row>
    <row r="88" spans="2:3">
      <c r="B88" s="270">
        <f t="shared" si="1"/>
        <v>86</v>
      </c>
      <c r="C88">
        <v>2.95</v>
      </c>
    </row>
    <row r="89" spans="2:3">
      <c r="B89" s="270">
        <f t="shared" si="1"/>
        <v>87</v>
      </c>
      <c r="C89">
        <v>2.9</v>
      </c>
    </row>
    <row r="90" spans="2:3">
      <c r="B90" s="270">
        <f t="shared" si="1"/>
        <v>88</v>
      </c>
      <c r="C90">
        <v>2.88</v>
      </c>
    </row>
    <row r="91" spans="2:3">
      <c r="B91" s="270">
        <f t="shared" si="1"/>
        <v>89</v>
      </c>
      <c r="C91">
        <v>2.85</v>
      </c>
    </row>
    <row r="92" spans="2:3">
      <c r="B92" s="270">
        <f t="shared" si="1"/>
        <v>90</v>
      </c>
      <c r="C92">
        <v>2.82</v>
      </c>
    </row>
    <row r="93" spans="2:3">
      <c r="B93" s="270">
        <f t="shared" si="1"/>
        <v>91</v>
      </c>
      <c r="C93">
        <v>2.8</v>
      </c>
    </row>
    <row r="94" spans="2:3">
      <c r="B94" s="270">
        <f t="shared" si="1"/>
        <v>92</v>
      </c>
      <c r="C94">
        <v>2.79</v>
      </c>
    </row>
    <row r="95" spans="2:3">
      <c r="B95" s="270">
        <f t="shared" si="1"/>
        <v>93</v>
      </c>
      <c r="C95">
        <v>2.78</v>
      </c>
    </row>
    <row r="96" spans="2:3">
      <c r="B96" s="270">
        <f t="shared" si="1"/>
        <v>94</v>
      </c>
      <c r="C96">
        <v>2.76</v>
      </c>
    </row>
    <row r="97" spans="2:3">
      <c r="B97" s="270">
        <f t="shared" si="1"/>
        <v>95</v>
      </c>
      <c r="C97">
        <v>2.74</v>
      </c>
    </row>
    <row r="98" spans="2:3">
      <c r="B98" s="270">
        <f t="shared" si="1"/>
        <v>96</v>
      </c>
      <c r="C98">
        <v>2.72</v>
      </c>
    </row>
    <row r="99" spans="2:3">
      <c r="B99" s="270">
        <f t="shared" si="1"/>
        <v>97</v>
      </c>
      <c r="C99">
        <v>2.71</v>
      </c>
    </row>
    <row r="100" spans="2:3">
      <c r="B100" s="270">
        <f t="shared" si="1"/>
        <v>98</v>
      </c>
      <c r="C100">
        <v>2.7</v>
      </c>
    </row>
    <row r="101" spans="2:3">
      <c r="B101" s="270">
        <f t="shared" si="1"/>
        <v>99</v>
      </c>
      <c r="C101">
        <v>2.69</v>
      </c>
    </row>
    <row r="102" spans="2:3">
      <c r="B102" s="270">
        <f t="shared" si="1"/>
        <v>100</v>
      </c>
      <c r="C102">
        <v>2.68</v>
      </c>
    </row>
    <row r="103" spans="2:3">
      <c r="B103" s="270">
        <f t="shared" si="1"/>
        <v>101</v>
      </c>
      <c r="C103">
        <v>2.64</v>
      </c>
    </row>
    <row r="104" spans="2:3">
      <c r="B104" s="270">
        <f t="shared" si="1"/>
        <v>102</v>
      </c>
      <c r="C104">
        <v>2.6</v>
      </c>
    </row>
    <row r="105" spans="2:3">
      <c r="B105" s="270">
        <f t="shared" si="1"/>
        <v>103</v>
      </c>
      <c r="C105">
        <v>2.57</v>
      </c>
    </row>
    <row r="106" spans="2:3">
      <c r="B106" s="270">
        <f t="shared" si="1"/>
        <v>104</v>
      </c>
      <c r="C106">
        <v>2.5299999999999998</v>
      </c>
    </row>
    <row r="107" spans="2:3">
      <c r="B107" s="270">
        <f t="shared" si="1"/>
        <v>105</v>
      </c>
      <c r="C107">
        <v>2.5</v>
      </c>
    </row>
    <row r="108" spans="2:3">
      <c r="B108" s="270">
        <f t="shared" si="1"/>
        <v>106</v>
      </c>
      <c r="C108">
        <v>2.4700000000000002</v>
      </c>
    </row>
    <row r="109" spans="2:3">
      <c r="B109" s="270">
        <f t="shared" si="1"/>
        <v>107</v>
      </c>
      <c r="C109">
        <v>2.44</v>
      </c>
    </row>
    <row r="110" spans="2:3">
      <c r="B110" s="270">
        <f t="shared" si="1"/>
        <v>108</v>
      </c>
      <c r="C110">
        <v>2.42</v>
      </c>
    </row>
    <row r="111" spans="2:3">
      <c r="B111" s="270">
        <v>109</v>
      </c>
      <c r="C111">
        <v>2.4</v>
      </c>
    </row>
    <row r="112" spans="2:3">
      <c r="B112" s="270">
        <f>B111+1</f>
        <v>110</v>
      </c>
      <c r="C112">
        <v>2.38</v>
      </c>
    </row>
    <row r="113" spans="2:3">
      <c r="B113" s="270">
        <f t="shared" ref="B113:B164" si="2">B112+1</f>
        <v>111</v>
      </c>
      <c r="C113">
        <v>2.35</v>
      </c>
    </row>
    <row r="114" spans="2:3">
      <c r="B114" s="270">
        <f t="shared" si="2"/>
        <v>112</v>
      </c>
      <c r="C114">
        <v>2.3199999999999998</v>
      </c>
    </row>
    <row r="115" spans="2:3">
      <c r="B115" s="270">
        <f t="shared" si="2"/>
        <v>113</v>
      </c>
      <c r="C115">
        <v>2.2999999999999998</v>
      </c>
    </row>
    <row r="116" spans="2:3">
      <c r="B116" s="270">
        <f t="shared" si="2"/>
        <v>114</v>
      </c>
      <c r="C116">
        <v>2.2799999999999998</v>
      </c>
    </row>
    <row r="117" spans="2:3">
      <c r="B117" s="270">
        <f t="shared" si="2"/>
        <v>115</v>
      </c>
      <c r="C117">
        <v>2.2599999999999998</v>
      </c>
    </row>
    <row r="118" spans="2:3">
      <c r="B118" s="270">
        <f t="shared" si="2"/>
        <v>116</v>
      </c>
      <c r="C118">
        <v>2.2400000000000002</v>
      </c>
    </row>
    <row r="119" spans="2:3">
      <c r="B119" s="270">
        <f t="shared" si="2"/>
        <v>117</v>
      </c>
      <c r="C119">
        <v>2.23</v>
      </c>
    </row>
    <row r="120" spans="2:3">
      <c r="B120" s="270">
        <f t="shared" si="2"/>
        <v>118</v>
      </c>
      <c r="C120">
        <v>2.2000000000000002</v>
      </c>
    </row>
    <row r="121" spans="2:3">
      <c r="B121" s="270">
        <f t="shared" si="2"/>
        <v>119</v>
      </c>
      <c r="C121">
        <v>2.1800000000000002</v>
      </c>
    </row>
    <row r="122" spans="2:3">
      <c r="B122" s="270">
        <f t="shared" si="2"/>
        <v>120</v>
      </c>
      <c r="C122">
        <v>2.16</v>
      </c>
    </row>
    <row r="123" spans="2:3">
      <c r="B123" s="270">
        <f t="shared" si="2"/>
        <v>121</v>
      </c>
      <c r="C123">
        <v>2.15</v>
      </c>
    </row>
    <row r="124" spans="2:3">
      <c r="B124" s="270">
        <f t="shared" si="2"/>
        <v>122</v>
      </c>
      <c r="C124">
        <v>2.13</v>
      </c>
    </row>
    <row r="125" spans="2:3">
      <c r="B125" s="270">
        <f t="shared" si="2"/>
        <v>123</v>
      </c>
      <c r="C125">
        <v>2.12</v>
      </c>
    </row>
    <row r="126" spans="2:3">
      <c r="B126" s="270">
        <f t="shared" si="2"/>
        <v>124</v>
      </c>
      <c r="C126">
        <v>2.1</v>
      </c>
    </row>
    <row r="127" spans="2:3">
      <c r="B127" s="270">
        <f t="shared" si="2"/>
        <v>125</v>
      </c>
      <c r="C127">
        <v>2.08</v>
      </c>
    </row>
    <row r="128" spans="2:3">
      <c r="B128" s="270">
        <f t="shared" si="2"/>
        <v>126</v>
      </c>
      <c r="C128">
        <v>2.06</v>
      </c>
    </row>
    <row r="129" spans="2:3">
      <c r="B129" s="270">
        <f t="shared" si="2"/>
        <v>127</v>
      </c>
      <c r="C129">
        <v>2.04</v>
      </c>
    </row>
    <row r="130" spans="2:3">
      <c r="B130" s="270">
        <f t="shared" si="2"/>
        <v>128</v>
      </c>
      <c r="C130">
        <v>2.02</v>
      </c>
    </row>
    <row r="131" spans="2:3">
      <c r="B131" s="270">
        <f t="shared" si="2"/>
        <v>129</v>
      </c>
      <c r="C131">
        <v>2.0099999999999998</v>
      </c>
    </row>
    <row r="132" spans="2:3">
      <c r="B132" s="270">
        <f t="shared" si="2"/>
        <v>130</v>
      </c>
      <c r="C132">
        <v>2</v>
      </c>
    </row>
    <row r="133" spans="2:3">
      <c r="B133" s="270">
        <f t="shared" si="2"/>
        <v>131</v>
      </c>
      <c r="C133">
        <v>1.99</v>
      </c>
    </row>
    <row r="134" spans="2:3">
      <c r="B134" s="270">
        <f t="shared" si="2"/>
        <v>132</v>
      </c>
      <c r="C134">
        <v>1.97</v>
      </c>
    </row>
    <row r="135" spans="2:3">
      <c r="B135" s="270">
        <f t="shared" si="2"/>
        <v>133</v>
      </c>
      <c r="C135">
        <v>1.95</v>
      </c>
    </row>
    <row r="136" spans="2:3">
      <c r="B136" s="270">
        <f t="shared" si="2"/>
        <v>134</v>
      </c>
      <c r="C136">
        <v>1.93</v>
      </c>
    </row>
    <row r="137" spans="2:3">
      <c r="B137" s="270">
        <f t="shared" si="2"/>
        <v>135</v>
      </c>
      <c r="C137">
        <v>1.92</v>
      </c>
    </row>
    <row r="138" spans="2:3">
      <c r="B138" s="270">
        <f t="shared" si="2"/>
        <v>136</v>
      </c>
      <c r="C138">
        <v>1.9</v>
      </c>
    </row>
    <row r="139" spans="2:3">
      <c r="B139" s="270">
        <f t="shared" si="2"/>
        <v>137</v>
      </c>
      <c r="C139">
        <v>1.89</v>
      </c>
    </row>
    <row r="140" spans="2:3">
      <c r="B140" s="270">
        <f t="shared" si="2"/>
        <v>138</v>
      </c>
      <c r="C140">
        <v>1.88</v>
      </c>
    </row>
    <row r="141" spans="2:3">
      <c r="B141" s="270">
        <f t="shared" si="2"/>
        <v>139</v>
      </c>
      <c r="C141">
        <v>1.87</v>
      </c>
    </row>
    <row r="142" spans="2:3">
      <c r="B142" s="270">
        <f t="shared" si="2"/>
        <v>140</v>
      </c>
      <c r="C142">
        <v>1.85</v>
      </c>
    </row>
    <row r="143" spans="2:3">
      <c r="B143" s="270">
        <f t="shared" si="2"/>
        <v>141</v>
      </c>
      <c r="C143">
        <v>1.83</v>
      </c>
    </row>
    <row r="144" spans="2:3">
      <c r="B144" s="270">
        <f t="shared" si="2"/>
        <v>142</v>
      </c>
      <c r="C144">
        <v>1.82</v>
      </c>
    </row>
    <row r="145" spans="2:3">
      <c r="B145" s="270">
        <f t="shared" si="2"/>
        <v>143</v>
      </c>
      <c r="C145">
        <v>1.81</v>
      </c>
    </row>
    <row r="146" spans="2:3">
      <c r="B146" s="270">
        <f t="shared" si="2"/>
        <v>144</v>
      </c>
      <c r="C146">
        <v>1.8</v>
      </c>
    </row>
    <row r="147" spans="2:3">
      <c r="B147" s="270">
        <f t="shared" si="2"/>
        <v>145</v>
      </c>
      <c r="C147">
        <v>1.79</v>
      </c>
    </row>
    <row r="148" spans="2:3">
      <c r="B148" s="270">
        <f t="shared" si="2"/>
        <v>146</v>
      </c>
      <c r="C148">
        <v>1.78</v>
      </c>
    </row>
    <row r="149" spans="2:3">
      <c r="B149" s="270">
        <f t="shared" si="2"/>
        <v>147</v>
      </c>
      <c r="C149">
        <v>1.77</v>
      </c>
    </row>
    <row r="150" spans="2:3">
      <c r="B150" s="270">
        <f t="shared" si="2"/>
        <v>148</v>
      </c>
      <c r="C150">
        <v>1.75</v>
      </c>
    </row>
    <row r="151" spans="2:3">
      <c r="B151" s="270">
        <f t="shared" si="2"/>
        <v>149</v>
      </c>
      <c r="C151">
        <v>1.74</v>
      </c>
    </row>
    <row r="152" spans="2:3">
      <c r="B152" s="270">
        <f t="shared" si="2"/>
        <v>150</v>
      </c>
      <c r="C152">
        <v>1.73</v>
      </c>
    </row>
    <row r="153" spans="2:3">
      <c r="B153" s="270">
        <f t="shared" si="2"/>
        <v>151</v>
      </c>
      <c r="C153">
        <v>1.71</v>
      </c>
    </row>
    <row r="154" spans="2:3">
      <c r="B154" s="270">
        <f t="shared" si="2"/>
        <v>152</v>
      </c>
      <c r="C154">
        <v>1.7</v>
      </c>
    </row>
    <row r="155" spans="2:3">
      <c r="B155" s="270">
        <f t="shared" si="2"/>
        <v>153</v>
      </c>
      <c r="C155">
        <v>1.69</v>
      </c>
    </row>
    <row r="156" spans="2:3">
      <c r="B156" s="270">
        <f t="shared" si="2"/>
        <v>154</v>
      </c>
      <c r="C156">
        <v>1.68</v>
      </c>
    </row>
    <row r="157" spans="2:3">
      <c r="B157" s="270">
        <f t="shared" si="2"/>
        <v>155</v>
      </c>
      <c r="C157">
        <v>1.67</v>
      </c>
    </row>
    <row r="158" spans="2:3">
      <c r="B158" s="270">
        <f t="shared" si="2"/>
        <v>156</v>
      </c>
      <c r="C158">
        <v>1.66</v>
      </c>
    </row>
    <row r="159" spans="2:3">
      <c r="B159" s="270">
        <f t="shared" si="2"/>
        <v>157</v>
      </c>
      <c r="C159">
        <v>1.65</v>
      </c>
    </row>
    <row r="160" spans="2:3">
      <c r="B160" s="270">
        <f t="shared" si="2"/>
        <v>158</v>
      </c>
      <c r="C160">
        <v>1.63</v>
      </c>
    </row>
    <row r="161" spans="2:3">
      <c r="B161" s="270">
        <f t="shared" si="2"/>
        <v>159</v>
      </c>
      <c r="C161">
        <v>1.62</v>
      </c>
    </row>
    <row r="162" spans="2:3">
      <c r="B162" s="270">
        <f t="shared" si="2"/>
        <v>160</v>
      </c>
      <c r="C162">
        <v>1.61</v>
      </c>
    </row>
    <row r="163" spans="2:3">
      <c r="B163" s="270">
        <f t="shared" si="2"/>
        <v>161</v>
      </c>
      <c r="C163">
        <v>1.6</v>
      </c>
    </row>
    <row r="164" spans="2:3">
      <c r="B164" s="270">
        <f t="shared" si="2"/>
        <v>162</v>
      </c>
      <c r="C164">
        <v>1.59</v>
      </c>
    </row>
    <row r="165" spans="2:3">
      <c r="B165" s="270">
        <v>163</v>
      </c>
      <c r="C165">
        <v>1.58</v>
      </c>
    </row>
    <row r="166" spans="2:3">
      <c r="B166" s="270">
        <f>B165+1</f>
        <v>164</v>
      </c>
      <c r="C166">
        <v>1.57</v>
      </c>
    </row>
    <row r="167" spans="2:3">
      <c r="B167" s="270">
        <f t="shared" ref="B167:B218" si="3">B166+1</f>
        <v>165</v>
      </c>
      <c r="C167">
        <v>1.56</v>
      </c>
    </row>
    <row r="168" spans="2:3">
      <c r="B168" s="270">
        <f t="shared" si="3"/>
        <v>166</v>
      </c>
      <c r="C168">
        <v>1.55</v>
      </c>
    </row>
    <row r="169" spans="2:3">
      <c r="B169" s="270">
        <f t="shared" si="3"/>
        <v>167</v>
      </c>
      <c r="C169">
        <v>1.55</v>
      </c>
    </row>
    <row r="170" spans="2:3">
      <c r="B170" s="270">
        <f t="shared" si="3"/>
        <v>168</v>
      </c>
      <c r="C170">
        <v>1.54</v>
      </c>
    </row>
    <row r="171" spans="2:3">
      <c r="B171" s="270">
        <f t="shared" si="3"/>
        <v>169</v>
      </c>
      <c r="C171">
        <v>1.53</v>
      </c>
    </row>
    <row r="172" spans="2:3">
      <c r="B172" s="270">
        <f t="shared" si="3"/>
        <v>170</v>
      </c>
      <c r="C172">
        <v>1.52</v>
      </c>
    </row>
    <row r="173" spans="2:3">
      <c r="B173" s="270">
        <f t="shared" si="3"/>
        <v>171</v>
      </c>
      <c r="C173">
        <v>1.51</v>
      </c>
    </row>
    <row r="174" spans="2:3">
      <c r="B174" s="270">
        <f t="shared" si="3"/>
        <v>172</v>
      </c>
      <c r="C174">
        <v>1.5</v>
      </c>
    </row>
    <row r="175" spans="2:3">
      <c r="B175" s="270">
        <f t="shared" si="3"/>
        <v>173</v>
      </c>
      <c r="C175">
        <v>1.49</v>
      </c>
    </row>
    <row r="176" spans="2:3">
      <c r="B176" s="270">
        <f t="shared" si="3"/>
        <v>174</v>
      </c>
      <c r="C176">
        <v>1.49</v>
      </c>
    </row>
    <row r="177" spans="2:3">
      <c r="B177" s="270">
        <f t="shared" si="3"/>
        <v>175</v>
      </c>
      <c r="C177">
        <v>1.48</v>
      </c>
    </row>
    <row r="178" spans="2:3">
      <c r="B178" s="270">
        <f t="shared" si="3"/>
        <v>176</v>
      </c>
      <c r="C178">
        <v>1.48</v>
      </c>
    </row>
    <row r="179" spans="2:3">
      <c r="B179" s="270">
        <f t="shared" si="3"/>
        <v>177</v>
      </c>
      <c r="C179">
        <v>1.48</v>
      </c>
    </row>
    <row r="180" spans="2:3">
      <c r="B180" s="270">
        <f t="shared" si="3"/>
        <v>178</v>
      </c>
      <c r="C180">
        <v>1.47</v>
      </c>
    </row>
    <row r="181" spans="2:3">
      <c r="B181" s="270">
        <f t="shared" si="3"/>
        <v>179</v>
      </c>
      <c r="C181">
        <v>1.46</v>
      </c>
    </row>
    <row r="182" spans="2:3">
      <c r="B182" s="270">
        <f t="shared" si="3"/>
        <v>180</v>
      </c>
      <c r="C182">
        <v>1.45</v>
      </c>
    </row>
    <row r="183" spans="2:3">
      <c r="B183" s="270">
        <f t="shared" si="3"/>
        <v>181</v>
      </c>
      <c r="C183">
        <v>1.44</v>
      </c>
    </row>
    <row r="184" spans="2:3">
      <c r="B184" s="270">
        <f t="shared" si="3"/>
        <v>182</v>
      </c>
      <c r="C184">
        <v>1.43</v>
      </c>
    </row>
    <row r="185" spans="2:3">
      <c r="B185" s="270">
        <f t="shared" si="3"/>
        <v>183</v>
      </c>
      <c r="C185">
        <v>1.42</v>
      </c>
    </row>
    <row r="186" spans="2:3">
      <c r="B186" s="270">
        <f t="shared" si="3"/>
        <v>184</v>
      </c>
      <c r="C186">
        <v>1.41</v>
      </c>
    </row>
    <row r="187" spans="2:3">
      <c r="B187" s="270">
        <f t="shared" si="3"/>
        <v>185</v>
      </c>
      <c r="C187">
        <v>1.4</v>
      </c>
    </row>
    <row r="188" spans="2:3">
      <c r="B188" s="270">
        <f t="shared" si="3"/>
        <v>186</v>
      </c>
      <c r="C188">
        <v>1.4</v>
      </c>
    </row>
    <row r="189" spans="2:3">
      <c r="B189" s="270">
        <f t="shared" si="3"/>
        <v>187</v>
      </c>
      <c r="C189">
        <v>1.39</v>
      </c>
    </row>
    <row r="190" spans="2:3">
      <c r="B190" s="270">
        <f t="shared" si="3"/>
        <v>188</v>
      </c>
      <c r="C190">
        <v>1.38</v>
      </c>
    </row>
    <row r="191" spans="2:3">
      <c r="B191" s="270">
        <f t="shared" si="3"/>
        <v>189</v>
      </c>
      <c r="C191">
        <v>1.37</v>
      </c>
    </row>
    <row r="192" spans="2:3">
      <c r="B192" s="270">
        <f t="shared" si="3"/>
        <v>190</v>
      </c>
      <c r="C192">
        <v>1.36</v>
      </c>
    </row>
    <row r="193" spans="2:3">
      <c r="B193" s="270">
        <f t="shared" si="3"/>
        <v>191</v>
      </c>
      <c r="C193">
        <v>1.36</v>
      </c>
    </row>
    <row r="194" spans="2:3">
      <c r="B194" s="270">
        <f t="shared" si="3"/>
        <v>192</v>
      </c>
      <c r="C194">
        <v>1.35</v>
      </c>
    </row>
    <row r="195" spans="2:3">
      <c r="B195" s="270">
        <f t="shared" si="3"/>
        <v>193</v>
      </c>
      <c r="C195">
        <v>1.34</v>
      </c>
    </row>
    <row r="196" spans="2:3">
      <c r="B196" s="270">
        <f t="shared" si="3"/>
        <v>194</v>
      </c>
      <c r="C196">
        <v>1.34</v>
      </c>
    </row>
    <row r="197" spans="2:3">
      <c r="B197" s="270">
        <f t="shared" si="3"/>
        <v>195</v>
      </c>
      <c r="C197">
        <v>1.33</v>
      </c>
    </row>
    <row r="198" spans="2:3">
      <c r="B198" s="270">
        <f t="shared" si="3"/>
        <v>196</v>
      </c>
      <c r="C198">
        <v>1.32</v>
      </c>
    </row>
    <row r="199" spans="2:3">
      <c r="B199" s="270">
        <f t="shared" si="3"/>
        <v>197</v>
      </c>
      <c r="C199">
        <v>1.31</v>
      </c>
    </row>
    <row r="200" spans="2:3">
      <c r="B200" s="270">
        <f t="shared" si="3"/>
        <v>198</v>
      </c>
      <c r="C200">
        <v>1.31</v>
      </c>
    </row>
    <row r="201" spans="2:3">
      <c r="B201" s="270">
        <f t="shared" si="3"/>
        <v>199</v>
      </c>
      <c r="C201">
        <v>1.3</v>
      </c>
    </row>
    <row r="202" spans="2:3">
      <c r="B202" s="270">
        <f t="shared" si="3"/>
        <v>200</v>
      </c>
      <c r="C202">
        <v>1.29</v>
      </c>
    </row>
    <row r="203" spans="2:3">
      <c r="B203" s="270">
        <f t="shared" si="3"/>
        <v>201</v>
      </c>
      <c r="C203">
        <v>1.29</v>
      </c>
    </row>
    <row r="204" spans="2:3">
      <c r="B204" s="270">
        <f t="shared" si="3"/>
        <v>202</v>
      </c>
      <c r="C204">
        <v>1.28</v>
      </c>
    </row>
    <row r="205" spans="2:3">
      <c r="B205" s="270">
        <f t="shared" si="3"/>
        <v>203</v>
      </c>
      <c r="C205">
        <v>1.27</v>
      </c>
    </row>
    <row r="206" spans="2:3">
      <c r="B206" s="270">
        <f t="shared" si="3"/>
        <v>204</v>
      </c>
      <c r="C206">
        <v>1.27</v>
      </c>
    </row>
    <row r="207" spans="2:3">
      <c r="B207" s="270">
        <f t="shared" si="3"/>
        <v>205</v>
      </c>
      <c r="C207">
        <v>1.26</v>
      </c>
    </row>
    <row r="208" spans="2:3">
      <c r="B208" s="270">
        <f t="shared" si="3"/>
        <v>206</v>
      </c>
      <c r="C208">
        <v>1.26</v>
      </c>
    </row>
    <row r="209" spans="2:3">
      <c r="B209" s="270">
        <f t="shared" si="3"/>
        <v>207</v>
      </c>
      <c r="C209">
        <v>1.25</v>
      </c>
    </row>
    <row r="210" spans="2:3">
      <c r="B210" s="270">
        <f t="shared" si="3"/>
        <v>208</v>
      </c>
      <c r="C210">
        <v>1.24</v>
      </c>
    </row>
    <row r="211" spans="2:3">
      <c r="B211" s="270">
        <f t="shared" si="3"/>
        <v>209</v>
      </c>
      <c r="C211">
        <v>1.24</v>
      </c>
    </row>
    <row r="212" spans="2:3">
      <c r="B212" s="270">
        <f t="shared" si="3"/>
        <v>210</v>
      </c>
      <c r="C212">
        <v>1.23</v>
      </c>
    </row>
    <row r="213" spans="2:3">
      <c r="B213" s="270">
        <f t="shared" si="3"/>
        <v>211</v>
      </c>
      <c r="C213">
        <v>1.23</v>
      </c>
    </row>
    <row r="214" spans="2:3">
      <c r="B214" s="270">
        <f t="shared" si="3"/>
        <v>212</v>
      </c>
      <c r="C214">
        <v>1.22</v>
      </c>
    </row>
    <row r="215" spans="2:3">
      <c r="B215" s="270">
        <f t="shared" si="3"/>
        <v>213</v>
      </c>
      <c r="C215">
        <v>1.21</v>
      </c>
    </row>
    <row r="216" spans="2:3">
      <c r="B216" s="270">
        <f t="shared" si="3"/>
        <v>214</v>
      </c>
      <c r="C216">
        <v>1.21</v>
      </c>
    </row>
    <row r="217" spans="2:3">
      <c r="B217" s="270">
        <f t="shared" si="3"/>
        <v>215</v>
      </c>
      <c r="C217">
        <v>1.2</v>
      </c>
    </row>
    <row r="218" spans="2:3">
      <c r="B218" s="270">
        <f t="shared" si="3"/>
        <v>216</v>
      </c>
      <c r="C218">
        <v>1.2</v>
      </c>
    </row>
    <row r="219" spans="2:3">
      <c r="B219" s="270">
        <v>217</v>
      </c>
      <c r="C219">
        <v>1.19</v>
      </c>
    </row>
    <row r="220" spans="2:3">
      <c r="B220" s="270">
        <f>B219+1</f>
        <v>218</v>
      </c>
      <c r="C220">
        <v>1.19</v>
      </c>
    </row>
    <row r="221" spans="2:3">
      <c r="B221" s="270">
        <f t="shared" ref="B221:B258" si="4">B220+1</f>
        <v>219</v>
      </c>
      <c r="C221">
        <v>1.18</v>
      </c>
    </row>
    <row r="222" spans="2:3">
      <c r="B222" s="270">
        <f t="shared" si="4"/>
        <v>220</v>
      </c>
      <c r="C222">
        <v>1.17</v>
      </c>
    </row>
    <row r="223" spans="2:3">
      <c r="B223" s="270">
        <f t="shared" si="4"/>
        <v>221</v>
      </c>
      <c r="C223">
        <v>1.17</v>
      </c>
    </row>
    <row r="224" spans="2:3">
      <c r="B224" s="270">
        <f t="shared" si="4"/>
        <v>222</v>
      </c>
      <c r="C224">
        <v>1.1599999999999999</v>
      </c>
    </row>
    <row r="225" spans="2:3">
      <c r="B225" s="270">
        <f t="shared" si="4"/>
        <v>223</v>
      </c>
      <c r="C225">
        <v>1.1599999999999999</v>
      </c>
    </row>
    <row r="226" spans="2:3">
      <c r="B226" s="270">
        <f t="shared" si="4"/>
        <v>224</v>
      </c>
      <c r="C226">
        <v>1.1499999999999999</v>
      </c>
    </row>
    <row r="227" spans="2:3">
      <c r="B227" s="270">
        <f t="shared" si="4"/>
        <v>225</v>
      </c>
      <c r="C227">
        <v>1.1499999999999999</v>
      </c>
    </row>
    <row r="228" spans="2:3">
      <c r="B228" s="270">
        <f t="shared" si="4"/>
        <v>226</v>
      </c>
      <c r="C228">
        <v>1.1399999999999999</v>
      </c>
    </row>
    <row r="229" spans="2:3">
      <c r="B229" s="270">
        <f t="shared" si="4"/>
        <v>227</v>
      </c>
      <c r="C229">
        <v>1.1399999999999999</v>
      </c>
    </row>
    <row r="230" spans="2:3">
      <c r="B230" s="270">
        <f t="shared" si="4"/>
        <v>228</v>
      </c>
      <c r="C230">
        <v>1.1299999999999999</v>
      </c>
    </row>
    <row r="231" spans="2:3">
      <c r="B231" s="270">
        <f t="shared" si="4"/>
        <v>229</v>
      </c>
      <c r="C231">
        <v>1.1299999999999999</v>
      </c>
    </row>
    <row r="232" spans="2:3">
      <c r="B232" s="270">
        <f t="shared" si="4"/>
        <v>230</v>
      </c>
      <c r="C232">
        <v>1.1200000000000001</v>
      </c>
    </row>
    <row r="233" spans="2:3">
      <c r="B233" s="270">
        <f t="shared" si="4"/>
        <v>231</v>
      </c>
      <c r="C233">
        <v>1.1200000000000001</v>
      </c>
    </row>
    <row r="234" spans="2:3">
      <c r="B234" s="270">
        <f t="shared" si="4"/>
        <v>232</v>
      </c>
      <c r="C234">
        <v>1.1100000000000001</v>
      </c>
    </row>
    <row r="235" spans="2:3">
      <c r="B235" s="270">
        <f t="shared" si="4"/>
        <v>233</v>
      </c>
      <c r="C235">
        <v>1.1100000000000001</v>
      </c>
    </row>
    <row r="236" spans="2:3">
      <c r="B236" s="270">
        <f t="shared" si="4"/>
        <v>234</v>
      </c>
      <c r="C236">
        <v>1.1000000000000001</v>
      </c>
    </row>
    <row r="237" spans="2:3">
      <c r="B237" s="270">
        <f t="shared" si="4"/>
        <v>235</v>
      </c>
      <c r="C237">
        <v>1.1000000000000001</v>
      </c>
    </row>
    <row r="238" spans="2:3">
      <c r="B238" s="270">
        <f t="shared" si="4"/>
        <v>236</v>
      </c>
      <c r="C238">
        <v>1.0900000000000001</v>
      </c>
    </row>
    <row r="239" spans="2:3">
      <c r="B239" s="270">
        <f t="shared" si="4"/>
        <v>237</v>
      </c>
      <c r="C239">
        <v>1.0900000000000001</v>
      </c>
    </row>
    <row r="240" spans="2:3">
      <c r="B240" s="270">
        <f t="shared" si="4"/>
        <v>238</v>
      </c>
      <c r="C240">
        <v>1.08</v>
      </c>
    </row>
    <row r="241" spans="2:3">
      <c r="B241" s="270">
        <f t="shared" si="4"/>
        <v>239</v>
      </c>
      <c r="C241">
        <v>1.08</v>
      </c>
    </row>
    <row r="242" spans="2:3">
      <c r="B242" s="270">
        <f t="shared" si="4"/>
        <v>240</v>
      </c>
      <c r="C242">
        <v>1.07</v>
      </c>
    </row>
    <row r="243" spans="2:3">
      <c r="B243" s="270">
        <f t="shared" si="4"/>
        <v>241</v>
      </c>
      <c r="C243">
        <v>1.07</v>
      </c>
    </row>
    <row r="244" spans="2:3">
      <c r="B244" s="270">
        <f t="shared" si="4"/>
        <v>242</v>
      </c>
      <c r="C244">
        <v>1.06</v>
      </c>
    </row>
    <row r="245" spans="2:3">
      <c r="B245" s="270">
        <f t="shared" si="4"/>
        <v>243</v>
      </c>
      <c r="C245">
        <v>1.06</v>
      </c>
    </row>
    <row r="246" spans="2:3">
      <c r="B246" s="270">
        <f t="shared" si="4"/>
        <v>244</v>
      </c>
      <c r="C246">
        <v>1.06</v>
      </c>
    </row>
    <row r="247" spans="2:3">
      <c r="B247" s="270">
        <f t="shared" si="4"/>
        <v>245</v>
      </c>
      <c r="C247">
        <v>1.05</v>
      </c>
    </row>
    <row r="248" spans="2:3">
      <c r="B248" s="270">
        <f t="shared" si="4"/>
        <v>246</v>
      </c>
      <c r="C248">
        <v>1.05</v>
      </c>
    </row>
    <row r="249" spans="2:3">
      <c r="B249" s="270">
        <f t="shared" si="4"/>
        <v>247</v>
      </c>
      <c r="C249">
        <v>1.04</v>
      </c>
    </row>
    <row r="250" spans="2:3">
      <c r="B250" s="270">
        <f t="shared" si="4"/>
        <v>248</v>
      </c>
      <c r="C250">
        <v>1.04</v>
      </c>
    </row>
    <row r="251" spans="2:3">
      <c r="B251" s="270">
        <f t="shared" si="4"/>
        <v>249</v>
      </c>
      <c r="C251">
        <v>1.03</v>
      </c>
    </row>
    <row r="252" spans="2:3">
      <c r="B252" s="270">
        <f t="shared" si="4"/>
        <v>250</v>
      </c>
      <c r="C252">
        <v>1.03</v>
      </c>
    </row>
    <row r="253" spans="2:3">
      <c r="B253" s="270">
        <f t="shared" si="4"/>
        <v>251</v>
      </c>
      <c r="C253">
        <v>1.02</v>
      </c>
    </row>
    <row r="254" spans="2:3">
      <c r="B254" s="270">
        <f t="shared" si="4"/>
        <v>252</v>
      </c>
      <c r="C254">
        <v>1.02</v>
      </c>
    </row>
    <row r="255" spans="2:3">
      <c r="B255" s="270">
        <f t="shared" si="4"/>
        <v>253</v>
      </c>
      <c r="C255">
        <v>1.02</v>
      </c>
    </row>
    <row r="256" spans="2:3">
      <c r="B256" s="270">
        <f t="shared" si="4"/>
        <v>254</v>
      </c>
      <c r="C256">
        <v>1.01</v>
      </c>
    </row>
    <row r="257" spans="2:3">
      <c r="B257" s="270">
        <f t="shared" si="4"/>
        <v>255</v>
      </c>
      <c r="C257">
        <v>1.01</v>
      </c>
    </row>
    <row r="258" spans="2:3">
      <c r="B258" s="270">
        <f t="shared" si="4"/>
        <v>256</v>
      </c>
      <c r="C2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BL91"/>
  <sheetViews>
    <sheetView zoomScale="50" zoomScaleNormal="50" workbookViewId="0">
      <selection activeCell="Q105" sqref="Q105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243" customWidth="1"/>
    <col min="13" max="13" width="4.109375" customWidth="1"/>
    <col min="14" max="14" width="6.88671875" customWidth="1"/>
    <col min="22" max="22" width="10.5546875" customWidth="1"/>
    <col min="23" max="23" width="7.88671875" customWidth="1"/>
    <col min="24" max="25" width="10.77734375" style="195" customWidth="1"/>
    <col min="26" max="26" width="13" style="195" customWidth="1"/>
    <col min="27" max="27" width="7.109375" style="212" customWidth="1"/>
    <col min="28" max="28" width="7" style="212" customWidth="1"/>
    <col min="32" max="32" width="7.21875" customWidth="1"/>
    <col min="39" max="39" width="10.77734375" customWidth="1"/>
    <col min="40" max="40" width="10.77734375" style="195" customWidth="1"/>
    <col min="41" max="42" width="10.77734375" customWidth="1"/>
    <col min="43" max="45" width="12.33203125" customWidth="1"/>
    <col min="56" max="56" width="11.44140625" customWidth="1"/>
    <col min="57" max="57" width="12.33203125" customWidth="1"/>
    <col min="58" max="58" width="12.77734375" customWidth="1"/>
    <col min="59" max="59" width="11.44140625" customWidth="1"/>
    <col min="60" max="60" width="13" customWidth="1"/>
  </cols>
  <sheetData>
    <row r="3" spans="2:64" ht="15" thickBot="1">
      <c r="O3" s="155" t="s">
        <v>104</v>
      </c>
      <c r="P3" s="156" t="s">
        <v>15</v>
      </c>
      <c r="Q3" s="157" t="s">
        <v>224</v>
      </c>
      <c r="R3" s="155" t="s">
        <v>153</v>
      </c>
      <c r="S3" s="158" t="s">
        <v>154</v>
      </c>
      <c r="T3" s="158" t="s">
        <v>235</v>
      </c>
      <c r="U3" s="159" t="s">
        <v>28</v>
      </c>
      <c r="V3" s="160" t="s">
        <v>236</v>
      </c>
      <c r="W3" s="161" t="s">
        <v>234</v>
      </c>
      <c r="X3" s="160" t="s">
        <v>237</v>
      </c>
      <c r="Y3" s="21" t="s">
        <v>242</v>
      </c>
      <c r="Z3" s="21" t="s">
        <v>243</v>
      </c>
      <c r="AA3" s="21"/>
      <c r="AB3" s="21"/>
      <c r="AC3" s="21"/>
      <c r="AD3" s="160" t="str">
        <f>O3</f>
        <v>Шаг ВРУ</v>
      </c>
      <c r="AE3" s="201" t="s">
        <v>15</v>
      </c>
      <c r="AF3" s="160" t="s">
        <v>239</v>
      </c>
      <c r="AG3" s="155" t="s">
        <v>153</v>
      </c>
      <c r="AH3" s="158" t="s">
        <v>154</v>
      </c>
      <c r="AI3" s="158" t="s">
        <v>235</v>
      </c>
      <c r="AJ3" s="200" t="s">
        <v>28</v>
      </c>
      <c r="AK3" s="197" t="s">
        <v>236</v>
      </c>
      <c r="AL3" s="161" t="s">
        <v>234</v>
      </c>
      <c r="AM3" s="160" t="s">
        <v>237</v>
      </c>
      <c r="AN3" s="197" t="s">
        <v>240</v>
      </c>
      <c r="AO3" s="160" t="s">
        <v>241</v>
      </c>
      <c r="AP3" s="21" t="s">
        <v>242</v>
      </c>
      <c r="AQ3" s="21" t="s">
        <v>243</v>
      </c>
      <c r="AR3" s="21"/>
      <c r="AS3" s="21"/>
      <c r="AT3" s="21"/>
      <c r="AU3" s="214" t="s">
        <v>104</v>
      </c>
      <c r="AV3" s="204" t="s">
        <v>15</v>
      </c>
      <c r="AW3" s="205" t="s">
        <v>239</v>
      </c>
      <c r="AX3" s="206" t="s">
        <v>153</v>
      </c>
      <c r="AY3" s="207" t="s">
        <v>154</v>
      </c>
      <c r="AZ3" s="207" t="s">
        <v>235</v>
      </c>
      <c r="BA3" s="208" t="s">
        <v>28</v>
      </c>
      <c r="BB3" s="209" t="s">
        <v>236</v>
      </c>
      <c r="BC3" s="210" t="s">
        <v>234</v>
      </c>
      <c r="BD3" s="205" t="s">
        <v>237</v>
      </c>
      <c r="BE3" s="21" t="s">
        <v>240</v>
      </c>
      <c r="BF3" s="21" t="s">
        <v>241</v>
      </c>
      <c r="BG3" s="21" t="s">
        <v>242</v>
      </c>
      <c r="BH3" s="21" t="s">
        <v>243</v>
      </c>
      <c r="BI3" s="21"/>
      <c r="BJ3" s="21"/>
      <c r="BK3" s="21"/>
      <c r="BL3" s="21"/>
    </row>
    <row r="4" spans="2:64" ht="15" thickTop="1">
      <c r="B4" s="312" t="s">
        <v>174</v>
      </c>
      <c r="C4" s="312"/>
      <c r="D4" s="312"/>
      <c r="E4" s="312"/>
      <c r="G4" s="313" t="s">
        <v>196</v>
      </c>
      <c r="H4" s="313"/>
      <c r="I4" s="313"/>
      <c r="J4" s="313"/>
      <c r="K4" s="313"/>
      <c r="N4" s="57"/>
      <c r="O4" s="195">
        <v>1</v>
      </c>
      <c r="P4" s="138">
        <v>0.5</v>
      </c>
      <c r="Q4" s="147">
        <f>$D$14+20*LOG10(J26/1)</f>
        <v>193.89166084364533</v>
      </c>
      <c r="R4" s="56">
        <f>20*LOG(P4)</f>
        <v>-6.0205999132796242</v>
      </c>
      <c r="S4" s="56">
        <f>2*$J$6*(P4/1000)</f>
        <v>1.7526622684259634E-2</v>
      </c>
      <c r="T4" s="56">
        <f>R4+S4</f>
        <v>-6.0030732905953643</v>
      </c>
      <c r="U4" s="154">
        <f t="shared" ref="U4:U67" si="0">$Q$4-(R4+S4)+$Q$8+$Q$10</f>
        <v>164.83353536393915</v>
      </c>
      <c r="V4" s="149">
        <f>POWER(10,(U4+$D$16)*0.05)*1000</f>
        <v>139.56186203988918</v>
      </c>
      <c r="W4" s="162">
        <f>POWER(10,0.05*T4)</f>
        <v>0.50100993209453792</v>
      </c>
      <c r="X4" s="4">
        <f>V4*POWER(2,0.5)*W4</f>
        <v>98.884469621774841</v>
      </c>
      <c r="Y4" s="4">
        <f>W4*(50/$X$4)</f>
        <v>0.2533309497491672</v>
      </c>
      <c r="Z4" s="4">
        <f>V4*POWER(2,0.5)*Y4</f>
        <v>49.999999999999993</v>
      </c>
      <c r="AA4" s="4">
        <f>20*LOG10(Y4)</f>
        <v>-11.926234973697458</v>
      </c>
      <c r="AB4" s="4">
        <f>T4-AA4</f>
        <v>5.9231616831020935</v>
      </c>
      <c r="AD4" s="192">
        <v>1</v>
      </c>
      <c r="AE4" s="202">
        <v>10</v>
      </c>
      <c r="AF4" s="88">
        <f>$D$14+20*LOG10(J27/1)</f>
        <v>213.89166084364533</v>
      </c>
      <c r="AG4">
        <f>20*LOG(AE4)</f>
        <v>20</v>
      </c>
      <c r="AH4">
        <f>2*$J$6*(AE4/1000)</f>
        <v>0.35053245368519265</v>
      </c>
      <c r="AI4" s="40">
        <f>AG4+AH4</f>
        <v>20.350532453685194</v>
      </c>
      <c r="AJ4" s="88">
        <f t="shared" ref="AJ4:AJ41" si="1">$AF$4-(AG4+AH4)+$Q$8+$Q$10</f>
        <v>158.47992961965861</v>
      </c>
      <c r="AK4" s="199">
        <f>POWER(10,(AJ4+$D$16)*0.05)*1000</f>
        <v>67.156254763211905</v>
      </c>
      <c r="AL4" s="213">
        <f>POWER(10,0.05*AI4)</f>
        <v>10.411819311564019</v>
      </c>
      <c r="AM4">
        <f>AK4*POWER(2,0.5)*AL4</f>
        <v>988.84469621775031</v>
      </c>
      <c r="AN4" s="215">
        <f t="shared" ref="AN4:AN41" si="2">AL4*($X$4/$AM$4)</f>
        <v>1.0411819311563999</v>
      </c>
      <c r="AO4" s="63">
        <f>AK4*POWER(2,0.5)*AN4</f>
        <v>98.884469621774841</v>
      </c>
      <c r="AP4" s="63">
        <f>AL4*(50/AM4)</f>
        <v>0.52646382952694049</v>
      </c>
      <c r="AQ4" s="63">
        <f>AK4*POWER(2,0.5)*AP4</f>
        <v>50</v>
      </c>
      <c r="AR4" s="63">
        <f>20*LOG10(AP4)</f>
        <v>-5.5726292294169149</v>
      </c>
      <c r="AS4" s="63">
        <f>AI4-AR4</f>
        <v>25.923161683102109</v>
      </c>
      <c r="AU4" s="192">
        <v>1</v>
      </c>
      <c r="AV4" s="202">
        <v>50</v>
      </c>
      <c r="AW4" s="53">
        <f>$D$14+20*LOG10(J28/1)</f>
        <v>218.24133972792345</v>
      </c>
      <c r="AX4" s="192">
        <f>20*LOG(AV4)</f>
        <v>33.979400086720375</v>
      </c>
      <c r="AY4" s="192">
        <f>2*$J$6*(AV4/1000)</f>
        <v>1.7526622684259632</v>
      </c>
      <c r="AZ4" s="192">
        <f>AX4+AY4</f>
        <v>35.73206235514634</v>
      </c>
      <c r="BA4" s="53">
        <f t="shared" ref="BA4" si="3">$AW$4-(AX4+AY4)+$Q$8+$Q$10</f>
        <v>147.44807860247556</v>
      </c>
      <c r="BB4" s="198">
        <f>POWER(10,(BA4+$D$16)*0.05)*1000</f>
        <v>18.857925562185244</v>
      </c>
      <c r="BC4" s="211">
        <f>POWER(10,0.05*AZ4)</f>
        <v>61.179104779305234</v>
      </c>
      <c r="BD4" s="192">
        <f>BB4*POWER(2,0.5)*BC4</f>
        <v>1631.5937487592839</v>
      </c>
      <c r="BE4" s="4">
        <f t="shared" ref="BE4" si="4">BC4*($X$4/$BD$4)</f>
        <v>3.7078245320791074</v>
      </c>
      <c r="BF4" s="4">
        <f>BB4*POWER(2,0.5)*BE4</f>
        <v>98.884469621774841</v>
      </c>
      <c r="BG4" s="4">
        <f>BC4*(50/BD4)</f>
        <v>1.874826525470197</v>
      </c>
      <c r="BH4" s="4">
        <f>BB4*POWER(2,0.5)*BG4</f>
        <v>50</v>
      </c>
      <c r="BI4">
        <f>20*LOG10(BG4)</f>
        <v>5.4592217877661309</v>
      </c>
      <c r="BJ4">
        <f>AZ4-BI4</f>
        <v>30.272840567380207</v>
      </c>
      <c r="BL4" s="40"/>
    </row>
    <row r="5" spans="2:64">
      <c r="B5" s="314" t="s">
        <v>175</v>
      </c>
      <c r="C5" s="305" t="s">
        <v>10</v>
      </c>
      <c r="D5" s="193">
        <v>50</v>
      </c>
      <c r="E5" s="191" t="s">
        <v>11</v>
      </c>
      <c r="G5" s="288" t="s">
        <v>69</v>
      </c>
      <c r="H5" s="288"/>
      <c r="I5" s="30" t="s">
        <v>6</v>
      </c>
      <c r="J5" s="193">
        <f>D29/D6</f>
        <v>0.03</v>
      </c>
      <c r="K5" s="191" t="s">
        <v>7</v>
      </c>
      <c r="N5" s="57"/>
      <c r="O5" s="195">
        <f>1+O4</f>
        <v>2</v>
      </c>
      <c r="P5" s="138">
        <f t="shared" ref="P5:P68" si="5">P4+$J$45</f>
        <v>0.875</v>
      </c>
      <c r="Q5" s="148" t="s">
        <v>226</v>
      </c>
      <c r="R5" s="56">
        <f t="shared" ref="R5:R68" si="6">20*LOG(P5)</f>
        <v>-1.159838939553735</v>
      </c>
      <c r="S5" s="56">
        <f t="shared" ref="S5:S68" si="7">2*$J$6*(P5/1000)</f>
        <v>3.0671589697454357E-2</v>
      </c>
      <c r="T5" s="56">
        <f t="shared" ref="T5:T68" si="8">R5+S5</f>
        <v>-1.1291673498562806</v>
      </c>
      <c r="U5" s="154">
        <f t="shared" si="0"/>
        <v>159.95962942320008</v>
      </c>
      <c r="V5" s="149">
        <f t="shared" ref="V5:V68" si="9">POWER(10,(U5+$D$16)*0.05)*1000</f>
        <v>79.629036004081613</v>
      </c>
      <c r="W5" s="162">
        <f t="shared" ref="W5:W68" si="10">POWER(10,0.05*T5)</f>
        <v>0.8780952593725766</v>
      </c>
      <c r="X5" s="4">
        <f>V5*POWER(2,0.5)*W5</f>
        <v>98.88446962177504</v>
      </c>
      <c r="Y5" s="4">
        <f t="shared" ref="Y5:Y68" si="11">W5*(50/$X$4)</f>
        <v>0.44400059116017937</v>
      </c>
      <c r="Z5" s="4">
        <f t="shared" ref="Z5:Z68" si="12">V5*POWER(2,0.5)*Y5</f>
        <v>50.000000000000099</v>
      </c>
      <c r="AA5" s="4">
        <f t="shared" ref="AA5:AA19" si="13">20*LOG10(Y5)</f>
        <v>-7.0523290329583732</v>
      </c>
      <c r="AB5" s="4">
        <f t="shared" ref="AB5:AB19" si="14">T5-AA5</f>
        <v>5.9231616831020926</v>
      </c>
      <c r="AD5" s="192">
        <v>2</v>
      </c>
      <c r="AE5" s="202">
        <f>AE4+3</f>
        <v>13</v>
      </c>
      <c r="AG5">
        <f t="shared" ref="AG5:AG41" si="15">20*LOG(AE5)</f>
        <v>22.278867046136735</v>
      </c>
      <c r="AH5">
        <f t="shared" ref="AH5:AH41" si="16">2*$J$6*(AE5/1000)</f>
        <v>0.45569218979075038</v>
      </c>
      <c r="AI5" s="40">
        <f t="shared" ref="AI5:AI41" si="17">AG5+AH5</f>
        <v>22.734559235927485</v>
      </c>
      <c r="AJ5" s="88">
        <f t="shared" si="1"/>
        <v>156.0959028374163</v>
      </c>
      <c r="AK5" s="199">
        <f t="shared" ref="AK5:AK41" si="18">POWER(10,(AJ5+$D$16)*0.05)*1000</f>
        <v>51.036998896886111</v>
      </c>
      <c r="AL5" s="213">
        <f t="shared" ref="AL5:AL41" si="19">POWER(10,0.05*AI5)</f>
        <v>13.700233268978188</v>
      </c>
      <c r="AM5">
        <f t="shared" ref="AM5:AM41" si="20">AK5*POWER(2,0.5)*AL5</f>
        <v>988.84469621774952</v>
      </c>
      <c r="AN5" s="215">
        <f t="shared" si="2"/>
        <v>1.3700233268978161</v>
      </c>
      <c r="AO5" s="63">
        <f t="shared" ref="AO5:AO41" si="21">AK5*POWER(2,0.5)*AN5</f>
        <v>98.884469621774755</v>
      </c>
      <c r="AP5" s="63">
        <f t="shared" ref="AP5:AP41" si="22">AL5*(50/AM5)</f>
        <v>0.69273938169363014</v>
      </c>
      <c r="AQ5" s="63">
        <f t="shared" ref="AQ5:AQ41" si="23">AK5*POWER(2,0.5)*AP5</f>
        <v>49.999999999999993</v>
      </c>
      <c r="AR5" s="63">
        <f t="shared" ref="AR5:AR16" si="24">20*LOG10(AP5)</f>
        <v>-3.1886024471746124</v>
      </c>
      <c r="AS5" s="63">
        <f t="shared" ref="AS5:AS16" si="25">AI5-AR5</f>
        <v>25.923161683102098</v>
      </c>
      <c r="AU5" s="192">
        <f>AU4+1</f>
        <v>2</v>
      </c>
      <c r="AV5" s="202">
        <f>AV4+27</f>
        <v>77</v>
      </c>
      <c r="AW5" s="192"/>
      <c r="AX5" s="229">
        <f t="shared" ref="AX5:AX68" si="26">20*LOG(AV5)</f>
        <v>37.729814503449639</v>
      </c>
      <c r="AY5" s="229">
        <f t="shared" ref="AY5:AY68" si="27">2*$J$6*(AV5/1000)</f>
        <v>2.6990998933759833</v>
      </c>
      <c r="AZ5" s="229">
        <f t="shared" ref="AZ5:AZ68" si="28">AX5+AY5</f>
        <v>40.428914396825618</v>
      </c>
      <c r="BA5" s="53">
        <f t="shared" ref="BA5:BA68" si="29">$AW$4-(AX5+AY5)+$Q$8+$Q$10</f>
        <v>142.75122656079628</v>
      </c>
      <c r="BB5" s="198">
        <f t="shared" ref="BB5:BB68" si="30">POWER(10,(BA5+$D$16)*0.05)*1000</f>
        <v>10.981238272509007</v>
      </c>
      <c r="BC5" s="211">
        <f t="shared" ref="BC5:BC68" si="31">POWER(10,0.05*AZ5)</f>
        <v>105.06201352333181</v>
      </c>
      <c r="BD5" s="229">
        <f t="shared" ref="BD5:BD68" si="32">BB5*POWER(2,0.5)*BC5</f>
        <v>1631.5937487592846</v>
      </c>
      <c r="BE5" s="4">
        <f t="shared" ref="BE5:BE68" si="33">BC5*($X$4/$BD$4)</f>
        <v>6.3673947589898106</v>
      </c>
      <c r="BF5" s="4">
        <f t="shared" ref="BF5:BF68" si="34">BB5*POWER(2,0.5)*BE5</f>
        <v>98.884469621774883</v>
      </c>
      <c r="BG5" s="4">
        <f t="shared" ref="BG5:BG68" si="35">BC5*(50/BD5)</f>
        <v>3.2196131421569949</v>
      </c>
      <c r="BH5" s="4">
        <f t="shared" ref="BH5:BH68" si="36">BB5*POWER(2,0.5)*BG5</f>
        <v>50</v>
      </c>
      <c r="BI5">
        <f t="shared" ref="BI5:BI68" si="37">20*LOG10(BG5)</f>
        <v>10.156073829445409</v>
      </c>
      <c r="BJ5">
        <f t="shared" ref="BJ5:BJ68" si="38">AZ5-BI5</f>
        <v>30.272840567380207</v>
      </c>
      <c r="BL5" s="40"/>
    </row>
    <row r="6" spans="2:64">
      <c r="B6" s="315"/>
      <c r="C6" s="307"/>
      <c r="D6" s="193">
        <f>D5*1000</f>
        <v>50000</v>
      </c>
      <c r="E6" s="191" t="s">
        <v>31</v>
      </c>
      <c r="G6" s="316" t="s">
        <v>199</v>
      </c>
      <c r="H6" s="316"/>
      <c r="I6" s="317" t="s">
        <v>16</v>
      </c>
      <c r="J6" s="123">
        <f>((0.11*POWER(D5,2))/(1+POWER(D5,2))+((44*POWER(D5,2))/(4100+POWER(D5,2)))+((3*POWER(10,-4))*POWER(D5,2)))</f>
        <v>17.526622684259632</v>
      </c>
      <c r="K6" s="191" t="s">
        <v>197</v>
      </c>
      <c r="N6" s="57"/>
      <c r="O6" s="195">
        <f t="shared" ref="O6:O69" si="39">1+O5</f>
        <v>3</v>
      </c>
      <c r="P6" s="138">
        <f t="shared" si="5"/>
        <v>1.25</v>
      </c>
      <c r="Q6" s="148" t="s">
        <v>225</v>
      </c>
      <c r="R6" s="56">
        <f t="shared" si="6"/>
        <v>1.9382002601611283</v>
      </c>
      <c r="S6" s="56">
        <f t="shared" si="7"/>
        <v>4.3816556710649081E-2</v>
      </c>
      <c r="T6" s="56">
        <f t="shared" si="8"/>
        <v>1.9820168168717773</v>
      </c>
      <c r="U6" s="154">
        <f t="shared" si="0"/>
        <v>156.84844525647202</v>
      </c>
      <c r="V6" s="149">
        <f t="shared" si="9"/>
        <v>55.656033251265875</v>
      </c>
      <c r="W6" s="162">
        <f t="shared" si="10"/>
        <v>1.2563216409606748</v>
      </c>
      <c r="X6" s="4">
        <f t="shared" ref="X6:X69" si="40">V6*POWER(2,0.5)*W6</f>
        <v>98.88446962177494</v>
      </c>
      <c r="Y6" s="4">
        <f t="shared" si="11"/>
        <v>0.63524719592773471</v>
      </c>
      <c r="Z6" s="4">
        <f t="shared" si="12"/>
        <v>50.00000000000005</v>
      </c>
      <c r="AA6" s="4">
        <f t="shared" si="13"/>
        <v>-3.9411448662303155</v>
      </c>
      <c r="AB6" s="4">
        <f t="shared" si="14"/>
        <v>5.9231616831020926</v>
      </c>
      <c r="AD6" s="192">
        <v>3</v>
      </c>
      <c r="AE6" s="202">
        <f t="shared" ref="AE6:AE69" si="41">AE5+3</f>
        <v>16</v>
      </c>
      <c r="AG6">
        <f t="shared" si="15"/>
        <v>24.082399653118497</v>
      </c>
      <c r="AH6">
        <f t="shared" si="16"/>
        <v>0.56085192589630828</v>
      </c>
      <c r="AI6" s="40">
        <f t="shared" si="17"/>
        <v>24.643251579014805</v>
      </c>
      <c r="AJ6" s="88">
        <f t="shared" si="1"/>
        <v>154.18721049432898</v>
      </c>
      <c r="AK6" s="199">
        <f t="shared" si="18"/>
        <v>40.968542308890832</v>
      </c>
      <c r="AL6" s="213">
        <f t="shared" si="19"/>
        <v>17.067211836926404</v>
      </c>
      <c r="AM6">
        <f t="shared" si="20"/>
        <v>988.84469621774895</v>
      </c>
      <c r="AN6" s="215">
        <f t="shared" si="2"/>
        <v>1.7067211836926373</v>
      </c>
      <c r="AO6" s="63">
        <f t="shared" si="21"/>
        <v>98.884469621774713</v>
      </c>
      <c r="AP6" s="63">
        <f t="shared" si="22"/>
        <v>0.86298747933862163</v>
      </c>
      <c r="AQ6" s="63">
        <f t="shared" si="23"/>
        <v>50</v>
      </c>
      <c r="AR6" s="63">
        <f t="shared" si="24"/>
        <v>-1.2799101040872876</v>
      </c>
      <c r="AS6" s="63">
        <f t="shared" si="25"/>
        <v>25.923161683102094</v>
      </c>
      <c r="AU6" s="192">
        <f t="shared" ref="AU6:AU69" si="42">AU5+1</f>
        <v>3</v>
      </c>
      <c r="AV6" s="202">
        <f t="shared" ref="AV6:AV69" si="43">AV5+27</f>
        <v>104</v>
      </c>
      <c r="AW6" s="192"/>
      <c r="AX6" s="229">
        <f t="shared" si="26"/>
        <v>40.340666785975607</v>
      </c>
      <c r="AY6" s="229">
        <f t="shared" si="27"/>
        <v>3.645537518326003</v>
      </c>
      <c r="AZ6" s="229">
        <f t="shared" si="28"/>
        <v>43.986204304301609</v>
      </c>
      <c r="BA6" s="53">
        <f t="shared" si="29"/>
        <v>139.19393665332029</v>
      </c>
      <c r="BB6" s="198">
        <f t="shared" si="30"/>
        <v>7.2909953232031324</v>
      </c>
      <c r="BC6" s="211">
        <f t="shared" si="31"/>
        <v>158.23779233785226</v>
      </c>
      <c r="BD6" s="229">
        <f t="shared" si="32"/>
        <v>1631.5937487592832</v>
      </c>
      <c r="BE6" s="4">
        <f t="shared" si="33"/>
        <v>9.5901692325971126</v>
      </c>
      <c r="BF6" s="4">
        <f t="shared" si="34"/>
        <v>98.884469621774798</v>
      </c>
      <c r="BG6" s="4">
        <f t="shared" si="35"/>
        <v>4.8491786775409444</v>
      </c>
      <c r="BH6" s="4">
        <f t="shared" si="36"/>
        <v>50</v>
      </c>
      <c r="BI6">
        <f t="shared" si="37"/>
        <v>13.713363736921405</v>
      </c>
      <c r="BJ6">
        <f t="shared" si="38"/>
        <v>30.272840567380204</v>
      </c>
      <c r="BL6" s="40"/>
    </row>
    <row r="7" spans="2:64">
      <c r="B7" s="119" t="s">
        <v>176</v>
      </c>
      <c r="C7" s="191" t="s">
        <v>1</v>
      </c>
      <c r="D7" s="193">
        <v>80</v>
      </c>
      <c r="E7" s="191" t="s">
        <v>2</v>
      </c>
      <c r="G7" s="316"/>
      <c r="H7" s="316"/>
      <c r="I7" s="317"/>
      <c r="J7" s="123">
        <f>0.214*D5+0.00016*POWER(D5,2)</f>
        <v>11.1</v>
      </c>
      <c r="K7" s="191" t="s">
        <v>198</v>
      </c>
      <c r="N7" s="57"/>
      <c r="O7" s="195">
        <f t="shared" si="39"/>
        <v>4</v>
      </c>
      <c r="P7" s="138">
        <f t="shared" si="5"/>
        <v>1.625</v>
      </c>
      <c r="Q7" s="145" t="s">
        <v>194</v>
      </c>
      <c r="R7" s="56">
        <f t="shared" si="6"/>
        <v>4.2170673062978636</v>
      </c>
      <c r="S7" s="56">
        <f t="shared" si="7"/>
        <v>5.6961523723843797E-2</v>
      </c>
      <c r="T7" s="56">
        <f t="shared" si="8"/>
        <v>4.2740288300217077</v>
      </c>
      <c r="U7" s="154">
        <f t="shared" si="0"/>
        <v>154.55643324332209</v>
      </c>
      <c r="V7" s="149">
        <f t="shared" si="9"/>
        <v>42.747591360099321</v>
      </c>
      <c r="W7" s="162">
        <f t="shared" si="10"/>
        <v>1.6356916682060703</v>
      </c>
      <c r="X7" s="4">
        <f t="shared" si="40"/>
        <v>98.884469621774997</v>
      </c>
      <c r="Y7" s="4">
        <f t="shared" si="11"/>
        <v>0.82707207434213859</v>
      </c>
      <c r="Z7" s="4">
        <f t="shared" si="12"/>
        <v>50.000000000000078</v>
      </c>
      <c r="AA7" s="4">
        <f t="shared" si="13"/>
        <v>-1.6491328530803848</v>
      </c>
      <c r="AB7" s="4">
        <f t="shared" si="14"/>
        <v>5.9231616831020926</v>
      </c>
      <c r="AD7" s="192">
        <v>4</v>
      </c>
      <c r="AE7" s="202">
        <f t="shared" si="41"/>
        <v>19</v>
      </c>
      <c r="AG7">
        <f t="shared" si="15"/>
        <v>25.575072019056577</v>
      </c>
      <c r="AH7">
        <f t="shared" si="16"/>
        <v>0.66601166200186601</v>
      </c>
      <c r="AI7" s="40">
        <f t="shared" si="17"/>
        <v>26.241083681058445</v>
      </c>
      <c r="AJ7" s="88">
        <f t="shared" si="1"/>
        <v>152.58937839228534</v>
      </c>
      <c r="AK7" s="199">
        <f t="shared" si="18"/>
        <v>34.084655323041687</v>
      </c>
      <c r="AL7" s="213">
        <f t="shared" si="19"/>
        <v>20.514181047424007</v>
      </c>
      <c r="AM7">
        <f t="shared" si="20"/>
        <v>988.84469621774849</v>
      </c>
      <c r="AN7" s="215">
        <f t="shared" si="2"/>
        <v>2.0514181047423969</v>
      </c>
      <c r="AO7" s="63">
        <f t="shared" si="21"/>
        <v>98.88446962177467</v>
      </c>
      <c r="AP7" s="63">
        <f t="shared" si="22"/>
        <v>1.0372802284266225</v>
      </c>
      <c r="AQ7" s="63">
        <f t="shared" si="23"/>
        <v>50</v>
      </c>
      <c r="AR7" s="63">
        <f t="shared" si="24"/>
        <v>0.31792199795635551</v>
      </c>
      <c r="AS7" s="63">
        <f t="shared" si="25"/>
        <v>25.923161683102091</v>
      </c>
      <c r="AU7" s="192">
        <f t="shared" si="42"/>
        <v>4</v>
      </c>
      <c r="AV7" s="202">
        <f t="shared" si="43"/>
        <v>131</v>
      </c>
      <c r="AW7" s="192"/>
      <c r="AX7" s="229">
        <f t="shared" si="26"/>
        <v>42.345425913115292</v>
      </c>
      <c r="AY7" s="229">
        <f t="shared" si="27"/>
        <v>4.5919751432760236</v>
      </c>
      <c r="AZ7" s="229">
        <f t="shared" si="28"/>
        <v>46.937401056391316</v>
      </c>
      <c r="BA7" s="53">
        <f t="shared" si="29"/>
        <v>136.24273990123061</v>
      </c>
      <c r="BB7" s="198">
        <f t="shared" si="30"/>
        <v>5.1907125830054035</v>
      </c>
      <c r="BC7" s="211">
        <f t="shared" si="31"/>
        <v>222.26447437420603</v>
      </c>
      <c r="BD7" s="229">
        <f t="shared" si="32"/>
        <v>1631.5937487592889</v>
      </c>
      <c r="BE7" s="4">
        <f t="shared" si="33"/>
        <v>13.470574204497343</v>
      </c>
      <c r="BF7" s="4">
        <f t="shared" si="34"/>
        <v>98.884469621775139</v>
      </c>
      <c r="BG7" s="4">
        <f t="shared" si="35"/>
        <v>6.8112688756996755</v>
      </c>
      <c r="BH7" s="4">
        <f t="shared" si="36"/>
        <v>50</v>
      </c>
      <c r="BI7">
        <f t="shared" si="37"/>
        <v>16.664560489011087</v>
      </c>
      <c r="BJ7">
        <f t="shared" si="38"/>
        <v>30.272840567380229</v>
      </c>
      <c r="BL7" s="40"/>
    </row>
    <row r="8" spans="2:64">
      <c r="B8" s="119" t="s">
        <v>177</v>
      </c>
      <c r="C8" s="191" t="s">
        <v>44</v>
      </c>
      <c r="D8" s="193">
        <v>0.15</v>
      </c>
      <c r="E8" s="191" t="s">
        <v>7</v>
      </c>
      <c r="G8" s="288" t="s">
        <v>200</v>
      </c>
      <c r="H8" s="288"/>
      <c r="I8" s="30" t="s">
        <v>8</v>
      </c>
      <c r="J8" s="124">
        <f>POWER(PI()*D8/J5,2)</f>
        <v>246.74011002723395</v>
      </c>
      <c r="K8" s="191"/>
      <c r="N8" s="57"/>
      <c r="O8" s="195">
        <f t="shared" si="39"/>
        <v>5</v>
      </c>
      <c r="P8" s="12">
        <f t="shared" si="5"/>
        <v>2</v>
      </c>
      <c r="Q8" s="146">
        <f>D41</f>
        <v>-30</v>
      </c>
      <c r="R8" s="56">
        <f t="shared" si="6"/>
        <v>6.0205999132796242</v>
      </c>
      <c r="S8" s="56">
        <f t="shared" si="7"/>
        <v>7.0106490737038535E-2</v>
      </c>
      <c r="T8" s="56">
        <f t="shared" si="8"/>
        <v>6.0907064040166627</v>
      </c>
      <c r="U8" s="154">
        <f t="shared" si="0"/>
        <v>152.73975566932714</v>
      </c>
      <c r="V8" s="149">
        <f t="shared" si="9"/>
        <v>34.679894725428589</v>
      </c>
      <c r="W8" s="162">
        <f t="shared" si="10"/>
        <v>2.0162079376879709</v>
      </c>
      <c r="X8" s="4">
        <f t="shared" si="40"/>
        <v>98.884469621775096</v>
      </c>
      <c r="Y8" s="4">
        <f t="shared" si="11"/>
        <v>1.0194765393391927</v>
      </c>
      <c r="Z8" s="4">
        <f t="shared" si="12"/>
        <v>50.000000000000128</v>
      </c>
      <c r="AA8" s="4">
        <f t="shared" si="13"/>
        <v>0.16754472091457201</v>
      </c>
      <c r="AB8" s="4">
        <f t="shared" si="14"/>
        <v>5.9231616831020908</v>
      </c>
      <c r="AD8" s="192">
        <v>5</v>
      </c>
      <c r="AE8" s="202">
        <f t="shared" si="41"/>
        <v>22</v>
      </c>
      <c r="AG8">
        <f t="shared" si="15"/>
        <v>26.848453616444125</v>
      </c>
      <c r="AH8">
        <f t="shared" si="16"/>
        <v>0.77117139810742374</v>
      </c>
      <c r="AI8" s="40">
        <f t="shared" si="17"/>
        <v>27.619625014551549</v>
      </c>
      <c r="AJ8" s="88">
        <f t="shared" si="1"/>
        <v>151.21083705879224</v>
      </c>
      <c r="AK8" s="199">
        <f t="shared" si="18"/>
        <v>29.082506908521427</v>
      </c>
      <c r="AL8" s="213">
        <f t="shared" si="19"/>
        <v>24.042590015891811</v>
      </c>
      <c r="AM8">
        <f t="shared" si="20"/>
        <v>988.84469621774906</v>
      </c>
      <c r="AN8" s="215">
        <f t="shared" si="2"/>
        <v>2.4042590015891765</v>
      </c>
      <c r="AO8" s="63">
        <f t="shared" si="21"/>
        <v>98.884469621774713</v>
      </c>
      <c r="AP8" s="63">
        <f t="shared" si="22"/>
        <v>1.2156909021129796</v>
      </c>
      <c r="AQ8" s="63">
        <f t="shared" si="23"/>
        <v>50</v>
      </c>
      <c r="AR8" s="63">
        <f t="shared" si="24"/>
        <v>1.6964633314494548</v>
      </c>
      <c r="AS8" s="63">
        <f t="shared" si="25"/>
        <v>25.923161683102094</v>
      </c>
      <c r="AU8" s="192">
        <f t="shared" si="42"/>
        <v>5</v>
      </c>
      <c r="AV8" s="202">
        <f t="shared" si="43"/>
        <v>158</v>
      </c>
      <c r="AW8" s="192"/>
      <c r="AX8" s="229">
        <f t="shared" si="26"/>
        <v>43.973141739088454</v>
      </c>
      <c r="AY8" s="229">
        <f t="shared" si="27"/>
        <v>5.5384127682260438</v>
      </c>
      <c r="AZ8" s="229">
        <f t="shared" si="28"/>
        <v>49.5115545073145</v>
      </c>
      <c r="BA8" s="53">
        <f t="shared" si="29"/>
        <v>133.66858645030743</v>
      </c>
      <c r="BB8" s="198">
        <f t="shared" si="30"/>
        <v>3.8593957077497785</v>
      </c>
      <c r="BC8" s="211">
        <f t="shared" si="31"/>
        <v>298.93566020519432</v>
      </c>
      <c r="BD8" s="229">
        <f t="shared" si="32"/>
        <v>1631.5937487592889</v>
      </c>
      <c r="BE8" s="4">
        <f t="shared" si="33"/>
        <v>18.117312739708758</v>
      </c>
      <c r="BF8" s="4">
        <f t="shared" si="34"/>
        <v>98.884469621775153</v>
      </c>
      <c r="BG8" s="4">
        <f t="shared" si="35"/>
        <v>9.1608484168474416</v>
      </c>
      <c r="BH8" s="4">
        <f t="shared" si="36"/>
        <v>49.999999999999993</v>
      </c>
      <c r="BI8">
        <f t="shared" si="37"/>
        <v>19.238713939934268</v>
      </c>
      <c r="BJ8">
        <f t="shared" si="38"/>
        <v>30.272840567380232</v>
      </c>
      <c r="BL8" s="40"/>
    </row>
    <row r="9" spans="2:64">
      <c r="B9" s="119" t="s">
        <v>178</v>
      </c>
      <c r="C9" s="191" t="s">
        <v>179</v>
      </c>
      <c r="D9" s="193">
        <f>D8/2</f>
        <v>7.4999999999999997E-2</v>
      </c>
      <c r="E9" s="191" t="s">
        <v>7</v>
      </c>
      <c r="G9" s="290" t="s">
        <v>201</v>
      </c>
      <c r="H9" s="290"/>
      <c r="I9" s="30" t="s">
        <v>202</v>
      </c>
      <c r="J9" s="123">
        <f>10*LOG(J8)</f>
        <v>23.922397540603054</v>
      </c>
      <c r="K9" s="191" t="s">
        <v>13</v>
      </c>
      <c r="N9" s="57"/>
      <c r="O9" s="195">
        <f t="shared" si="39"/>
        <v>6</v>
      </c>
      <c r="P9" s="12">
        <f t="shared" si="5"/>
        <v>2.375</v>
      </c>
      <c r="Q9" s="145" t="s">
        <v>214</v>
      </c>
      <c r="R9" s="56">
        <f t="shared" si="6"/>
        <v>7.5132722792177074</v>
      </c>
      <c r="S9" s="56">
        <f t="shared" si="7"/>
        <v>8.3251457750233251E-2</v>
      </c>
      <c r="T9" s="56">
        <f t="shared" si="8"/>
        <v>7.5965237369679404</v>
      </c>
      <c r="U9" s="154">
        <f t="shared" si="0"/>
        <v>151.23393833637584</v>
      </c>
      <c r="V9" s="149">
        <f t="shared" si="9"/>
        <v>29.159958650771561</v>
      </c>
      <c r="W9" s="162">
        <f t="shared" si="10"/>
        <v>2.3978730512274584</v>
      </c>
      <c r="X9" s="4">
        <f t="shared" si="40"/>
        <v>98.884469621774798</v>
      </c>
      <c r="Y9" s="4">
        <f t="shared" si="11"/>
        <v>1.2124619065052025</v>
      </c>
      <c r="Z9" s="4">
        <f t="shared" si="12"/>
        <v>49.999999999999972</v>
      </c>
      <c r="AA9" s="4">
        <f t="shared" si="13"/>
        <v>1.6733620538658482</v>
      </c>
      <c r="AB9" s="4">
        <f t="shared" si="14"/>
        <v>5.9231616831020926</v>
      </c>
      <c r="AD9" s="192">
        <v>6</v>
      </c>
      <c r="AE9" s="202">
        <f t="shared" si="41"/>
        <v>25</v>
      </c>
      <c r="AG9">
        <f t="shared" si="15"/>
        <v>27.958800173440753</v>
      </c>
      <c r="AH9">
        <f t="shared" si="16"/>
        <v>0.87633113421298159</v>
      </c>
      <c r="AI9" s="40">
        <f t="shared" si="17"/>
        <v>28.835131307653736</v>
      </c>
      <c r="AJ9" s="88">
        <f t="shared" si="1"/>
        <v>149.99533076569006</v>
      </c>
      <c r="AK9" s="199">
        <f t="shared" si="18"/>
        <v>25.284625485880227</v>
      </c>
      <c r="AL9" s="213">
        <f t="shared" si="19"/>
        <v>27.653911291918838</v>
      </c>
      <c r="AM9">
        <f t="shared" si="20"/>
        <v>988.84469621774929</v>
      </c>
      <c r="AN9" s="215">
        <f t="shared" si="2"/>
        <v>2.7653911291918787</v>
      </c>
      <c r="AO9" s="63">
        <f t="shared" si="21"/>
        <v>98.884469621774741</v>
      </c>
      <c r="AP9" s="63">
        <f t="shared" si="22"/>
        <v>1.3982939584796685</v>
      </c>
      <c r="AQ9" s="63">
        <f t="shared" si="23"/>
        <v>50</v>
      </c>
      <c r="AR9" s="63">
        <f t="shared" si="24"/>
        <v>2.9119696245516407</v>
      </c>
      <c r="AS9" s="63">
        <f t="shared" si="25"/>
        <v>25.923161683102094</v>
      </c>
      <c r="AU9" s="192">
        <f t="shared" si="42"/>
        <v>6</v>
      </c>
      <c r="AV9" s="202">
        <f t="shared" si="43"/>
        <v>185</v>
      </c>
      <c r="AW9" s="192"/>
      <c r="AX9" s="229">
        <f t="shared" si="26"/>
        <v>45.343434568060275</v>
      </c>
      <c r="AY9" s="229">
        <f t="shared" si="27"/>
        <v>6.4848503931760639</v>
      </c>
      <c r="AZ9" s="229">
        <f t="shared" si="28"/>
        <v>51.828284961236335</v>
      </c>
      <c r="BA9" s="53">
        <f t="shared" si="29"/>
        <v>131.35185599638558</v>
      </c>
      <c r="BB9" s="198">
        <f t="shared" si="30"/>
        <v>2.9558526924583219</v>
      </c>
      <c r="BC9" s="211">
        <f t="shared" si="31"/>
        <v>390.31410693533354</v>
      </c>
      <c r="BD9" s="229">
        <f t="shared" si="32"/>
        <v>1631.5937487592857</v>
      </c>
      <c r="BE9" s="4">
        <f t="shared" si="33"/>
        <v>23.655400420323261</v>
      </c>
      <c r="BF9" s="4">
        <f t="shared" si="34"/>
        <v>98.884469621774954</v>
      </c>
      <c r="BG9" s="4">
        <f t="shared" si="35"/>
        <v>11.961130251698391</v>
      </c>
      <c r="BH9" s="4">
        <f t="shared" si="36"/>
        <v>50</v>
      </c>
      <c r="BI9">
        <f t="shared" si="37"/>
        <v>21.555444393856117</v>
      </c>
      <c r="BJ9">
        <f t="shared" si="38"/>
        <v>30.272840567380218</v>
      </c>
      <c r="BL9" s="40"/>
    </row>
    <row r="10" spans="2:64">
      <c r="B10" s="119" t="s">
        <v>181</v>
      </c>
      <c r="C10" s="30" t="s">
        <v>180</v>
      </c>
      <c r="D10" s="193">
        <v>15</v>
      </c>
      <c r="E10" s="191" t="s">
        <v>56</v>
      </c>
      <c r="G10" s="290" t="s">
        <v>213</v>
      </c>
      <c r="H10" s="290"/>
      <c r="I10" s="290"/>
      <c r="J10" s="290"/>
      <c r="K10" s="290"/>
      <c r="N10" s="57"/>
      <c r="O10" s="195">
        <f t="shared" si="39"/>
        <v>7</v>
      </c>
      <c r="P10" s="12">
        <f t="shared" si="5"/>
        <v>2.75</v>
      </c>
      <c r="Q10" s="147">
        <f>J12</f>
        <v>-5.0611987703015267</v>
      </c>
      <c r="R10" s="56">
        <f t="shared" si="6"/>
        <v>8.7866538766052535</v>
      </c>
      <c r="S10" s="56">
        <f t="shared" si="7"/>
        <v>9.6396424763427968E-2</v>
      </c>
      <c r="T10" s="56">
        <f t="shared" si="8"/>
        <v>8.8830503013686819</v>
      </c>
      <c r="U10" s="154">
        <f t="shared" si="0"/>
        <v>149.94741177197511</v>
      </c>
      <c r="V10" s="149">
        <f t="shared" si="9"/>
        <v>25.145517365132587</v>
      </c>
      <c r="W10" s="162">
        <f t="shared" si="10"/>
        <v>2.7806896158974119</v>
      </c>
      <c r="X10" s="4">
        <f t="shared" si="40"/>
        <v>98.884469621774983</v>
      </c>
      <c r="Y10" s="4">
        <f t="shared" si="11"/>
        <v>1.406029494081996</v>
      </c>
      <c r="Z10" s="4">
        <f t="shared" si="12"/>
        <v>50.000000000000064</v>
      </c>
      <c r="AA10" s="4">
        <f t="shared" si="13"/>
        <v>2.9598886182665893</v>
      </c>
      <c r="AB10" s="4">
        <f t="shared" si="14"/>
        <v>5.9231616831020926</v>
      </c>
      <c r="AD10" s="192">
        <v>7</v>
      </c>
      <c r="AE10" s="202">
        <f t="shared" si="41"/>
        <v>28</v>
      </c>
      <c r="AG10">
        <f t="shared" si="15"/>
        <v>28.943160626844385</v>
      </c>
      <c r="AH10">
        <f t="shared" si="16"/>
        <v>0.98149087031853943</v>
      </c>
      <c r="AI10" s="40">
        <f t="shared" si="17"/>
        <v>29.924651497162923</v>
      </c>
      <c r="AJ10" s="88">
        <f t="shared" si="1"/>
        <v>148.90581057618087</v>
      </c>
      <c r="AK10" s="199">
        <f t="shared" si="18"/>
        <v>22.303884929251605</v>
      </c>
      <c r="AL10" s="213">
        <f t="shared" si="19"/>
        <v>31.349641215145208</v>
      </c>
      <c r="AM10">
        <f t="shared" si="20"/>
        <v>988.84469621774952</v>
      </c>
      <c r="AN10" s="215">
        <f t="shared" si="2"/>
        <v>3.134964121514515</v>
      </c>
      <c r="AO10" s="63">
        <f t="shared" si="21"/>
        <v>98.88446962177477</v>
      </c>
      <c r="AP10" s="63">
        <f t="shared" si="22"/>
        <v>1.5851650585301733</v>
      </c>
      <c r="AQ10" s="63">
        <f t="shared" si="23"/>
        <v>50</v>
      </c>
      <c r="AR10" s="63">
        <f t="shared" si="24"/>
        <v>4.0014898140608226</v>
      </c>
      <c r="AS10" s="63">
        <f t="shared" si="25"/>
        <v>25.923161683102101</v>
      </c>
      <c r="AU10" s="192">
        <f t="shared" si="42"/>
        <v>7</v>
      </c>
      <c r="AV10" s="202">
        <f t="shared" si="43"/>
        <v>212</v>
      </c>
      <c r="AW10" s="192"/>
      <c r="AX10" s="229">
        <f t="shared" si="26"/>
        <v>46.526717218575023</v>
      </c>
      <c r="AY10" s="229">
        <f t="shared" si="27"/>
        <v>7.4312880181260841</v>
      </c>
      <c r="AZ10" s="229">
        <f t="shared" si="28"/>
        <v>53.958005236701105</v>
      </c>
      <c r="BA10" s="53">
        <f t="shared" si="29"/>
        <v>129.22213572092082</v>
      </c>
      <c r="BB10" s="198">
        <f t="shared" si="30"/>
        <v>2.3131125932531234</v>
      </c>
      <c r="BC10" s="211">
        <f t="shared" si="31"/>
        <v>498.76992899282664</v>
      </c>
      <c r="BD10" s="229">
        <f t="shared" si="32"/>
        <v>1631.5937487592892</v>
      </c>
      <c r="BE10" s="4">
        <f t="shared" si="33"/>
        <v>30.228480545019814</v>
      </c>
      <c r="BF10" s="4">
        <f t="shared" si="34"/>
        <v>98.884469621775168</v>
      </c>
      <c r="BG10" s="4">
        <f t="shared" si="35"/>
        <v>15.284746260277892</v>
      </c>
      <c r="BH10" s="4">
        <f t="shared" si="36"/>
        <v>50</v>
      </c>
      <c r="BI10">
        <f t="shared" si="37"/>
        <v>23.685164669320876</v>
      </c>
      <c r="BJ10">
        <f t="shared" si="38"/>
        <v>30.272840567380229</v>
      </c>
      <c r="BL10" s="40"/>
    </row>
    <row r="11" spans="2:64">
      <c r="B11" s="121" t="s">
        <v>203</v>
      </c>
      <c r="C11" s="30" t="s">
        <v>27</v>
      </c>
      <c r="D11" s="193">
        <v>0.4</v>
      </c>
      <c r="E11" s="191"/>
      <c r="G11" s="311" t="s">
        <v>212</v>
      </c>
      <c r="H11" s="311"/>
      <c r="I11" s="190" t="s">
        <v>209</v>
      </c>
      <c r="J11" s="123">
        <f>20*LOG(J5/(2*PI()*D9))+7.7</f>
        <v>-16.222397540603055</v>
      </c>
      <c r="K11" s="122" t="s">
        <v>223</v>
      </c>
      <c r="N11" s="57"/>
      <c r="O11" s="195">
        <f t="shared" si="39"/>
        <v>8</v>
      </c>
      <c r="P11" s="138">
        <f t="shared" si="5"/>
        <v>3.125</v>
      </c>
      <c r="Q11" s="146"/>
      <c r="R11" s="56">
        <f t="shared" si="6"/>
        <v>9.89700043360188</v>
      </c>
      <c r="S11" s="56">
        <f t="shared" si="7"/>
        <v>0.1095413917766227</v>
      </c>
      <c r="T11" s="56">
        <f t="shared" si="8"/>
        <v>10.006541825378502</v>
      </c>
      <c r="U11" s="154">
        <f t="shared" si="0"/>
        <v>148.8239202479653</v>
      </c>
      <c r="V11" s="149">
        <f t="shared" si="9"/>
        <v>22.094592667709925</v>
      </c>
      <c r="W11" s="162">
        <f t="shared" si="10"/>
        <v>3.1646602440324454</v>
      </c>
      <c r="X11" s="4">
        <f t="shared" si="40"/>
        <v>98.884469621775168</v>
      </c>
      <c r="Y11" s="4">
        <f t="shared" si="11"/>
        <v>1.6001806229719473</v>
      </c>
      <c r="Z11" s="4">
        <f t="shared" si="12"/>
        <v>50.000000000000163</v>
      </c>
      <c r="AA11" s="4">
        <f t="shared" si="13"/>
        <v>4.083380142276412</v>
      </c>
      <c r="AB11" s="4">
        <f t="shared" si="14"/>
        <v>5.9231616831020899</v>
      </c>
      <c r="AD11" s="192">
        <v>8</v>
      </c>
      <c r="AE11" s="202">
        <f t="shared" si="41"/>
        <v>31</v>
      </c>
      <c r="AG11">
        <f t="shared" si="15"/>
        <v>29.827233876685455</v>
      </c>
      <c r="AH11">
        <f t="shared" si="16"/>
        <v>1.0866506064240971</v>
      </c>
      <c r="AI11" s="40">
        <f t="shared" si="17"/>
        <v>30.913884483109552</v>
      </c>
      <c r="AJ11" s="88">
        <f t="shared" si="1"/>
        <v>147.91657759023425</v>
      </c>
      <c r="AK11" s="199">
        <f t="shared" si="18"/>
        <v>19.903014825411041</v>
      </c>
      <c r="AL11" s="213">
        <f t="shared" si="19"/>
        <v>35.13130027633806</v>
      </c>
      <c r="AM11">
        <f t="shared" si="20"/>
        <v>988.84469621775122</v>
      </c>
      <c r="AN11" s="215">
        <f t="shared" si="2"/>
        <v>3.5131300276337991</v>
      </c>
      <c r="AO11" s="63">
        <f t="shared" si="21"/>
        <v>98.88446962177494</v>
      </c>
      <c r="AP11" s="63">
        <f t="shared" si="22"/>
        <v>1.7763810844469492</v>
      </c>
      <c r="AQ11" s="63">
        <f t="shared" si="23"/>
        <v>50</v>
      </c>
      <c r="AR11" s="63">
        <f t="shared" si="24"/>
        <v>4.990722800007438</v>
      </c>
      <c r="AS11" s="63">
        <f t="shared" si="25"/>
        <v>25.923161683102116</v>
      </c>
      <c r="AU11" s="192">
        <f t="shared" si="42"/>
        <v>8</v>
      </c>
      <c r="AV11" s="202">
        <f t="shared" si="43"/>
        <v>239</v>
      </c>
      <c r="AW11" s="192"/>
      <c r="AX11" s="229">
        <f t="shared" si="26"/>
        <v>47.567958018962749</v>
      </c>
      <c r="AY11" s="229">
        <f t="shared" si="27"/>
        <v>8.3777256430761042</v>
      </c>
      <c r="AZ11" s="229">
        <f t="shared" si="28"/>
        <v>55.945683662038853</v>
      </c>
      <c r="BA11" s="53">
        <f t="shared" si="29"/>
        <v>127.23445729558307</v>
      </c>
      <c r="BB11" s="198">
        <f t="shared" si="30"/>
        <v>1.8399789381934197</v>
      </c>
      <c r="BC11" s="211">
        <f t="shared" si="31"/>
        <v>627.02402725437844</v>
      </c>
      <c r="BD11" s="229">
        <f t="shared" si="32"/>
        <v>1631.5937487592887</v>
      </c>
      <c r="BE11" s="4">
        <f t="shared" si="33"/>
        <v>38.001456197235079</v>
      </c>
      <c r="BF11" s="4">
        <f t="shared" si="34"/>
        <v>98.884469621775139</v>
      </c>
      <c r="BG11" s="4">
        <f t="shared" si="35"/>
        <v>19.215078132383926</v>
      </c>
      <c r="BH11" s="4">
        <f t="shared" si="36"/>
        <v>50</v>
      </c>
      <c r="BI11">
        <f t="shared" si="37"/>
        <v>25.672843094658621</v>
      </c>
      <c r="BJ11">
        <f t="shared" si="38"/>
        <v>30.272840567380232</v>
      </c>
      <c r="BL11" s="40"/>
    </row>
    <row r="12" spans="2:64">
      <c r="B12" s="296" t="s">
        <v>182</v>
      </c>
      <c r="C12" s="297"/>
      <c r="D12" s="297"/>
      <c r="E12" s="298"/>
      <c r="G12" s="311"/>
      <c r="H12" s="311"/>
      <c r="I12" s="190" t="s">
        <v>210</v>
      </c>
      <c r="J12" s="123">
        <f>10*LOG(J5/(2*PI()*D9))+6.9</f>
        <v>-5.0611987703015267</v>
      </c>
      <c r="K12" s="122" t="s">
        <v>223</v>
      </c>
      <c r="N12" s="57"/>
      <c r="O12" s="195">
        <f t="shared" si="39"/>
        <v>9</v>
      </c>
      <c r="P12" s="138">
        <f t="shared" si="5"/>
        <v>3.5</v>
      </c>
      <c r="Q12" s="146" t="s">
        <v>239</v>
      </c>
      <c r="R12" s="56">
        <f t="shared" si="6"/>
        <v>10.881360887005513</v>
      </c>
      <c r="S12" s="56">
        <f t="shared" si="7"/>
        <v>0.12268635878981743</v>
      </c>
      <c r="T12" s="56">
        <f t="shared" si="8"/>
        <v>11.004047245795331</v>
      </c>
      <c r="U12" s="154">
        <f t="shared" si="0"/>
        <v>147.82641482754846</v>
      </c>
      <c r="V12" s="149">
        <f t="shared" si="9"/>
        <v>19.697482729577622</v>
      </c>
      <c r="W12" s="162">
        <f t="shared" si="10"/>
        <v>3.5497875532388679</v>
      </c>
      <c r="X12" s="4">
        <f t="shared" si="40"/>
        <v>98.884469621774926</v>
      </c>
      <c r="Y12" s="4">
        <f t="shared" si="11"/>
        <v>1.7949166167430133</v>
      </c>
      <c r="Z12" s="4">
        <f t="shared" si="12"/>
        <v>50.000000000000036</v>
      </c>
      <c r="AA12" s="4">
        <f t="shared" si="13"/>
        <v>5.080885562693239</v>
      </c>
      <c r="AB12" s="4">
        <f t="shared" si="14"/>
        <v>5.9231616831020917</v>
      </c>
      <c r="AD12" s="192">
        <v>9</v>
      </c>
      <c r="AE12" s="202">
        <f t="shared" si="41"/>
        <v>34</v>
      </c>
      <c r="AG12">
        <f t="shared" si="15"/>
        <v>30.629578340845104</v>
      </c>
      <c r="AH12">
        <f t="shared" si="16"/>
        <v>1.1918103425296551</v>
      </c>
      <c r="AI12" s="40">
        <f t="shared" si="17"/>
        <v>31.82138868337476</v>
      </c>
      <c r="AJ12" s="88">
        <f t="shared" si="1"/>
        <v>147.00907338996905</v>
      </c>
      <c r="AK12" s="199">
        <f t="shared" si="18"/>
        <v>17.928487654568059</v>
      </c>
      <c r="AL12" s="213">
        <f t="shared" si="19"/>
        <v>39.000433483733758</v>
      </c>
      <c r="AM12">
        <f t="shared" si="20"/>
        <v>988.84469621775122</v>
      </c>
      <c r="AN12" s="215">
        <f t="shared" si="2"/>
        <v>3.9000433483733685</v>
      </c>
      <c r="AO12" s="63">
        <f t="shared" si="21"/>
        <v>98.88446962177494</v>
      </c>
      <c r="AP12" s="63">
        <f t="shared" si="22"/>
        <v>1.9720201581151811</v>
      </c>
      <c r="AQ12" s="63">
        <f t="shared" si="23"/>
        <v>50</v>
      </c>
      <c r="AR12" s="63">
        <f t="shared" si="24"/>
        <v>5.8982270002726489</v>
      </c>
      <c r="AS12" s="63">
        <f t="shared" si="25"/>
        <v>25.923161683102112</v>
      </c>
      <c r="AU12" s="192">
        <f t="shared" si="42"/>
        <v>9</v>
      </c>
      <c r="AV12" s="202">
        <f t="shared" si="43"/>
        <v>266</v>
      </c>
      <c r="AW12" s="192"/>
      <c r="AX12" s="229">
        <f t="shared" si="26"/>
        <v>48.497632732621341</v>
      </c>
      <c r="AY12" s="229">
        <f t="shared" si="27"/>
        <v>9.3241632680261244</v>
      </c>
      <c r="AZ12" s="229">
        <f t="shared" si="28"/>
        <v>57.821796000647467</v>
      </c>
      <c r="BA12" s="53">
        <f t="shared" si="29"/>
        <v>125.35834495697446</v>
      </c>
      <c r="BB12" s="198">
        <f t="shared" si="30"/>
        <v>1.4825427823777126</v>
      </c>
      <c r="BC12" s="211">
        <f t="shared" si="31"/>
        <v>778.19744401503499</v>
      </c>
      <c r="BD12" s="229">
        <f t="shared" si="32"/>
        <v>1631.5937487592903</v>
      </c>
      <c r="BE12" s="4">
        <f t="shared" si="33"/>
        <v>47.163481455456697</v>
      </c>
      <c r="BF12" s="4">
        <f t="shared" si="34"/>
        <v>98.884469621775239</v>
      </c>
      <c r="BG12" s="4">
        <f t="shared" si="35"/>
        <v>23.847769844877078</v>
      </c>
      <c r="BH12" s="4">
        <f t="shared" si="36"/>
        <v>50.000000000000007</v>
      </c>
      <c r="BI12">
        <f t="shared" si="37"/>
        <v>27.548955433267235</v>
      </c>
      <c r="BJ12">
        <f t="shared" si="38"/>
        <v>30.272840567380232</v>
      </c>
      <c r="BL12" s="40"/>
    </row>
    <row r="13" spans="2:64">
      <c r="B13" s="310" t="s">
        <v>183</v>
      </c>
      <c r="C13" s="191" t="s">
        <v>99</v>
      </c>
      <c r="D13" s="193">
        <v>350</v>
      </c>
      <c r="E13" s="191" t="s">
        <v>43</v>
      </c>
      <c r="G13" s="311" t="s">
        <v>211</v>
      </c>
      <c r="H13" s="311"/>
      <c r="I13" s="196" t="s">
        <v>18</v>
      </c>
      <c r="J13" s="129">
        <f>2*PI()*(1-COS(RADIANS(D10/2)))</f>
        <v>5.3753521316959159E-2</v>
      </c>
      <c r="K13" s="122" t="s">
        <v>19</v>
      </c>
      <c r="N13" s="57"/>
      <c r="O13" s="195">
        <f t="shared" si="39"/>
        <v>10</v>
      </c>
      <c r="P13" s="138">
        <f t="shared" si="5"/>
        <v>3.875</v>
      </c>
      <c r="Q13" s="147">
        <f>170.8+10*LOG10(J34)+J9</f>
        <v>194.72239754060305</v>
      </c>
      <c r="R13" s="56">
        <f t="shared" si="6"/>
        <v>11.765434136846583</v>
      </c>
      <c r="S13" s="56">
        <f t="shared" si="7"/>
        <v>0.13583132580301213</v>
      </c>
      <c r="T13" s="56">
        <f t="shared" si="8"/>
        <v>11.901265462649596</v>
      </c>
      <c r="U13" s="154">
        <f t="shared" si="0"/>
        <v>146.92919661069419</v>
      </c>
      <c r="V13" s="149">
        <f t="shared" si="9"/>
        <v>17.764370300842472</v>
      </c>
      <c r="W13" s="162">
        <f t="shared" si="10"/>
        <v>3.9360741664046568</v>
      </c>
      <c r="X13" s="4">
        <f t="shared" si="40"/>
        <v>98.884469621774883</v>
      </c>
      <c r="Y13" s="4">
        <f t="shared" si="11"/>
        <v>1.9902388016337773</v>
      </c>
      <c r="Z13" s="4">
        <f t="shared" si="12"/>
        <v>50.000000000000021</v>
      </c>
      <c r="AA13" s="4">
        <f t="shared" si="13"/>
        <v>5.9781037795475021</v>
      </c>
      <c r="AB13" s="4">
        <f t="shared" si="14"/>
        <v>5.9231616831020935</v>
      </c>
      <c r="AD13" s="192">
        <v>10</v>
      </c>
      <c r="AE13" s="202">
        <f t="shared" si="41"/>
        <v>37</v>
      </c>
      <c r="AG13">
        <f t="shared" si="15"/>
        <v>31.3640344813399</v>
      </c>
      <c r="AH13">
        <f t="shared" si="16"/>
        <v>1.2969700786352127</v>
      </c>
      <c r="AI13" s="40">
        <f t="shared" si="17"/>
        <v>32.661004559975112</v>
      </c>
      <c r="AJ13" s="88">
        <f t="shared" si="1"/>
        <v>146.16945751336868</v>
      </c>
      <c r="AK13" s="199">
        <f t="shared" si="18"/>
        <v>16.276568964339763</v>
      </c>
      <c r="AL13" s="213">
        <f t="shared" si="19"/>
        <v>42.958610734721638</v>
      </c>
      <c r="AM13">
        <f t="shared" si="20"/>
        <v>988.84469621775088</v>
      </c>
      <c r="AN13" s="215">
        <f t="shared" si="2"/>
        <v>4.2958610734721558</v>
      </c>
      <c r="AO13" s="63">
        <f t="shared" si="21"/>
        <v>98.884469621774898</v>
      </c>
      <c r="AP13" s="63">
        <f t="shared" si="22"/>
        <v>2.1721616599166063</v>
      </c>
      <c r="AQ13" s="63">
        <f t="shared" si="23"/>
        <v>50</v>
      </c>
      <c r="AR13" s="63">
        <f t="shared" si="24"/>
        <v>6.7378428768730068</v>
      </c>
      <c r="AS13" s="63">
        <f t="shared" si="25"/>
        <v>25.923161683102105</v>
      </c>
      <c r="AU13" s="192">
        <f t="shared" si="42"/>
        <v>10</v>
      </c>
      <c r="AV13" s="202">
        <f t="shared" si="43"/>
        <v>293</v>
      </c>
      <c r="AW13" s="192"/>
      <c r="AX13" s="229">
        <f t="shared" si="26"/>
        <v>49.337352407082193</v>
      </c>
      <c r="AY13" s="229">
        <f t="shared" si="27"/>
        <v>10.270600892976143</v>
      </c>
      <c r="AZ13" s="229">
        <f t="shared" si="28"/>
        <v>59.607953300058334</v>
      </c>
      <c r="BA13" s="53">
        <f t="shared" si="29"/>
        <v>123.57218765756357</v>
      </c>
      <c r="BB13" s="198">
        <f t="shared" si="30"/>
        <v>1.2069780437285518</v>
      </c>
      <c r="BC13" s="211">
        <f t="shared" si="31"/>
        <v>955.86743262144932</v>
      </c>
      <c r="BD13" s="229">
        <f t="shared" si="32"/>
        <v>1631.5937487592846</v>
      </c>
      <c r="BE13" s="4">
        <f t="shared" si="33"/>
        <v>57.931359552815145</v>
      </c>
      <c r="BF13" s="4">
        <f t="shared" si="34"/>
        <v>98.884469621774883</v>
      </c>
      <c r="BG13" s="4">
        <f t="shared" si="35"/>
        <v>29.292445909048165</v>
      </c>
      <c r="BH13" s="4">
        <f t="shared" si="36"/>
        <v>50</v>
      </c>
      <c r="BI13">
        <f t="shared" si="37"/>
        <v>29.33511273267812</v>
      </c>
      <c r="BJ13">
        <f t="shared" si="38"/>
        <v>30.272840567380214</v>
      </c>
      <c r="BL13" s="40"/>
    </row>
    <row r="14" spans="2:64">
      <c r="B14" s="310"/>
      <c r="C14" s="130" t="s">
        <v>101</v>
      </c>
      <c r="D14" s="137">
        <f>20*LOG10(D13*POWER(10,6))</f>
        <v>170.88136088700551</v>
      </c>
      <c r="E14" s="130" t="s">
        <v>222</v>
      </c>
      <c r="G14" s="311"/>
      <c r="H14" s="311"/>
      <c r="I14" s="196" t="s">
        <v>214</v>
      </c>
      <c r="J14" s="123">
        <f>10*LOG10(J13)</f>
        <v>-12.695930804647748</v>
      </c>
      <c r="K14" s="122" t="s">
        <v>223</v>
      </c>
      <c r="N14" s="57"/>
      <c r="O14" s="195">
        <f t="shared" si="39"/>
        <v>11</v>
      </c>
      <c r="P14" s="138">
        <f t="shared" si="5"/>
        <v>4.25</v>
      </c>
      <c r="Q14" s="146"/>
      <c r="R14" s="56">
        <f t="shared" si="6"/>
        <v>12.56777860100623</v>
      </c>
      <c r="S14" s="56">
        <f t="shared" si="7"/>
        <v>0.14897629281620689</v>
      </c>
      <c r="T14" s="56">
        <f t="shared" si="8"/>
        <v>12.716754893822436</v>
      </c>
      <c r="U14" s="154">
        <f t="shared" si="0"/>
        <v>146.11370717952136</v>
      </c>
      <c r="V14" s="149">
        <f t="shared" si="9"/>
        <v>16.172432455187945</v>
      </c>
      <c r="W14" s="162">
        <f t="shared" si="10"/>
        <v>4.3235227117094555</v>
      </c>
      <c r="X14" s="4">
        <f t="shared" si="40"/>
        <v>98.884469621774912</v>
      </c>
      <c r="Y14" s="4">
        <f t="shared" si="11"/>
        <v>2.1861485065585033</v>
      </c>
      <c r="Z14" s="4">
        <f t="shared" si="12"/>
        <v>50.000000000000036</v>
      </c>
      <c r="AA14" s="4">
        <f t="shared" si="13"/>
        <v>6.7935932107203456</v>
      </c>
      <c r="AB14" s="4">
        <f t="shared" si="14"/>
        <v>5.9231616831020908</v>
      </c>
      <c r="AD14" s="192">
        <v>11</v>
      </c>
      <c r="AE14" s="202">
        <f t="shared" si="41"/>
        <v>40</v>
      </c>
      <c r="AG14">
        <f t="shared" si="15"/>
        <v>32.041199826559243</v>
      </c>
      <c r="AH14">
        <f t="shared" si="16"/>
        <v>1.4021298147407706</v>
      </c>
      <c r="AI14" s="40">
        <f t="shared" si="17"/>
        <v>33.443329641300011</v>
      </c>
      <c r="AJ14" s="88">
        <f t="shared" si="1"/>
        <v>145.38713243204379</v>
      </c>
      <c r="AK14" s="199">
        <f t="shared" si="18"/>
        <v>14.874644965484674</v>
      </c>
      <c r="AL14" s="213">
        <f t="shared" si="19"/>
        <v>47.007427192944739</v>
      </c>
      <c r="AM14">
        <f t="shared" si="20"/>
        <v>988.84469621775042</v>
      </c>
      <c r="AN14" s="215">
        <f t="shared" si="2"/>
        <v>4.7007427192944649</v>
      </c>
      <c r="AO14" s="63">
        <f t="shared" si="21"/>
        <v>98.884469621774841</v>
      </c>
      <c r="AP14" s="63">
        <f t="shared" si="22"/>
        <v>2.376886247797267</v>
      </c>
      <c r="AQ14" s="63">
        <f t="shared" si="23"/>
        <v>50</v>
      </c>
      <c r="AR14" s="63">
        <f t="shared" si="24"/>
        <v>7.5201679581979066</v>
      </c>
      <c r="AS14" s="63">
        <f t="shared" si="25"/>
        <v>25.923161683102105</v>
      </c>
      <c r="AU14" s="192">
        <f t="shared" si="42"/>
        <v>11</v>
      </c>
      <c r="AV14" s="202">
        <f t="shared" si="43"/>
        <v>320</v>
      </c>
      <c r="AW14" s="192"/>
      <c r="AX14" s="229">
        <f t="shared" si="26"/>
        <v>50.102999566398118</v>
      </c>
      <c r="AY14" s="229">
        <f t="shared" si="27"/>
        <v>11.217038517926165</v>
      </c>
      <c r="AZ14" s="229">
        <f t="shared" si="28"/>
        <v>61.320038084324281</v>
      </c>
      <c r="BA14" s="53">
        <f t="shared" si="29"/>
        <v>121.86010287329765</v>
      </c>
      <c r="BB14" s="198">
        <f t="shared" si="30"/>
        <v>0.99104900686775699</v>
      </c>
      <c r="BC14" s="211">
        <f t="shared" si="31"/>
        <v>1164.1311336718009</v>
      </c>
      <c r="BD14" s="229">
        <f t="shared" si="32"/>
        <v>1631.5937487592905</v>
      </c>
      <c r="BE14" s="4">
        <f t="shared" si="33"/>
        <v>70.553402040715241</v>
      </c>
      <c r="BF14" s="4">
        <f t="shared" si="34"/>
        <v>98.884469621775224</v>
      </c>
      <c r="BG14" s="4">
        <f t="shared" si="35"/>
        <v>35.674662720332151</v>
      </c>
      <c r="BH14" s="4">
        <f t="shared" si="36"/>
        <v>50</v>
      </c>
      <c r="BI14">
        <f t="shared" si="37"/>
        <v>31.047197516944046</v>
      </c>
      <c r="BJ14">
        <f t="shared" si="38"/>
        <v>30.272840567380236</v>
      </c>
      <c r="BL14" s="40"/>
    </row>
    <row r="15" spans="2:64">
      <c r="B15" s="308" t="s">
        <v>184</v>
      </c>
      <c r="C15" s="191" t="s">
        <v>106</v>
      </c>
      <c r="D15" s="193">
        <v>800</v>
      </c>
      <c r="E15" s="191" t="s">
        <v>50</v>
      </c>
      <c r="G15" s="22"/>
      <c r="H15" s="22"/>
      <c r="I15" s="21"/>
      <c r="J15" s="136"/>
      <c r="K15" s="120"/>
      <c r="N15" s="57"/>
      <c r="O15" s="195">
        <f t="shared" si="39"/>
        <v>12</v>
      </c>
      <c r="P15" s="138">
        <f t="shared" si="5"/>
        <v>4.625</v>
      </c>
      <c r="Q15" s="146"/>
      <c r="R15" s="56">
        <f t="shared" si="6"/>
        <v>13.302234741501028</v>
      </c>
      <c r="S15" s="56">
        <f t="shared" si="7"/>
        <v>0.16212125982940159</v>
      </c>
      <c r="T15" s="56">
        <f t="shared" si="8"/>
        <v>13.46435600133043</v>
      </c>
      <c r="U15" s="154">
        <f t="shared" si="0"/>
        <v>145.36610607201337</v>
      </c>
      <c r="V15" s="149">
        <f t="shared" si="9"/>
        <v>14.838680728964738</v>
      </c>
      <c r="W15" s="162">
        <f t="shared" si="10"/>
        <v>4.7121358226345862</v>
      </c>
      <c r="X15" s="4">
        <f t="shared" si="40"/>
        <v>98.884469621774969</v>
      </c>
      <c r="Y15" s="4">
        <f t="shared" si="11"/>
        <v>2.382647063112199</v>
      </c>
      <c r="Z15" s="4">
        <f t="shared" si="12"/>
        <v>50.000000000000057</v>
      </c>
      <c r="AA15" s="4">
        <f t="shared" si="13"/>
        <v>7.5411943182283405</v>
      </c>
      <c r="AB15" s="4">
        <f t="shared" si="14"/>
        <v>5.923161683102089</v>
      </c>
      <c r="AD15" s="192">
        <v>12</v>
      </c>
      <c r="AE15" s="202">
        <f t="shared" si="41"/>
        <v>43</v>
      </c>
      <c r="AG15">
        <f t="shared" si="15"/>
        <v>32.669369111591728</v>
      </c>
      <c r="AH15">
        <f t="shared" si="16"/>
        <v>1.5072895508463282</v>
      </c>
      <c r="AI15" s="40">
        <f t="shared" si="17"/>
        <v>34.176658662438058</v>
      </c>
      <c r="AJ15" s="88">
        <f t="shared" si="1"/>
        <v>144.65380341090574</v>
      </c>
      <c r="AK15" s="199">
        <f t="shared" si="18"/>
        <v>13.670366482955473</v>
      </c>
      <c r="AL15" s="213">
        <f t="shared" si="19"/>
        <v>51.148503670894598</v>
      </c>
      <c r="AM15">
        <f t="shared" si="20"/>
        <v>988.84469621774986</v>
      </c>
      <c r="AN15" s="215">
        <f t="shared" si="2"/>
        <v>5.1148503670894501</v>
      </c>
      <c r="AO15" s="63">
        <f t="shared" si="21"/>
        <v>98.884469621774798</v>
      </c>
      <c r="AP15" s="63">
        <f t="shared" si="22"/>
        <v>2.5862758766130538</v>
      </c>
      <c r="AQ15" s="63">
        <f t="shared" si="23"/>
        <v>50</v>
      </c>
      <c r="AR15" s="63">
        <f t="shared" si="24"/>
        <v>8.2534969793359565</v>
      </c>
      <c r="AS15" s="63">
        <f t="shared" si="25"/>
        <v>25.923161683102101</v>
      </c>
      <c r="AU15" s="192">
        <f t="shared" si="42"/>
        <v>12</v>
      </c>
      <c r="AV15" s="202">
        <f t="shared" si="43"/>
        <v>347</v>
      </c>
      <c r="AW15" s="192"/>
      <c r="AX15" s="229">
        <f t="shared" si="26"/>
        <v>50.80658949581747</v>
      </c>
      <c r="AY15" s="229">
        <f t="shared" si="27"/>
        <v>12.163476142876183</v>
      </c>
      <c r="AZ15" s="229">
        <f t="shared" si="28"/>
        <v>62.970065638693654</v>
      </c>
      <c r="BA15" s="53">
        <f t="shared" si="29"/>
        <v>120.21007531892826</v>
      </c>
      <c r="BB15" s="198">
        <f t="shared" si="30"/>
        <v>0.81958453117268815</v>
      </c>
      <c r="BC15" s="211">
        <f t="shared" si="31"/>
        <v>1407.6778660506247</v>
      </c>
      <c r="BD15" s="229">
        <f t="shared" si="32"/>
        <v>1631.5937487592864</v>
      </c>
      <c r="BE15" s="4">
        <f t="shared" si="33"/>
        <v>85.313810063674282</v>
      </c>
      <c r="BF15" s="4">
        <f t="shared" si="34"/>
        <v>98.884469621774997</v>
      </c>
      <c r="BG15" s="4">
        <f t="shared" si="35"/>
        <v>43.138123908634299</v>
      </c>
      <c r="BH15" s="4">
        <f t="shared" si="36"/>
        <v>50</v>
      </c>
      <c r="BI15">
        <f t="shared" si="37"/>
        <v>32.69722507131344</v>
      </c>
      <c r="BJ15">
        <f t="shared" si="38"/>
        <v>30.272840567380214</v>
      </c>
      <c r="BL15" s="40"/>
    </row>
    <row r="16" spans="2:64">
      <c r="B16" s="309"/>
      <c r="C16" s="191" t="s">
        <v>106</v>
      </c>
      <c r="D16" s="123">
        <f>20*LOG10(D15*POWER(10,-12))</f>
        <v>-181.93820026016112</v>
      </c>
      <c r="E16" s="191" t="s">
        <v>221</v>
      </c>
      <c r="G16" s="22"/>
      <c r="H16" s="22"/>
      <c r="I16" s="21"/>
      <c r="J16" s="136"/>
      <c r="K16" s="120"/>
      <c r="N16" s="57"/>
      <c r="O16" s="195">
        <f t="shared" si="39"/>
        <v>13</v>
      </c>
      <c r="P16" s="138">
        <f t="shared" si="5"/>
        <v>5</v>
      </c>
      <c r="Q16" s="146"/>
      <c r="R16" s="56">
        <f t="shared" si="6"/>
        <v>13.979400086720377</v>
      </c>
      <c r="S16" s="56">
        <f t="shared" si="7"/>
        <v>0.17526622684259632</v>
      </c>
      <c r="T16" s="56">
        <f t="shared" si="8"/>
        <v>14.154666313562974</v>
      </c>
      <c r="U16" s="154">
        <f t="shared" si="0"/>
        <v>144.67579575978081</v>
      </c>
      <c r="V16" s="149">
        <f t="shared" si="9"/>
        <v>13.705023197690437</v>
      </c>
      <c r="W16" s="162">
        <f t="shared" si="10"/>
        <v>5.1019161379730713</v>
      </c>
      <c r="X16" s="4">
        <f t="shared" si="40"/>
        <v>98.884469621774855</v>
      </c>
      <c r="Y16" s="4">
        <f t="shared" si="11"/>
        <v>2.5797358055756838</v>
      </c>
      <c r="Z16" s="4">
        <f t="shared" si="12"/>
        <v>50</v>
      </c>
      <c r="AA16" s="4">
        <f t="shared" si="13"/>
        <v>8.2315046304608828</v>
      </c>
      <c r="AB16" s="4">
        <f t="shared" si="14"/>
        <v>5.9231616831020908</v>
      </c>
      <c r="AD16" s="192">
        <v>13</v>
      </c>
      <c r="AE16" s="202">
        <f t="shared" si="41"/>
        <v>46</v>
      </c>
      <c r="AG16">
        <f t="shared" si="15"/>
        <v>33.255156633631479</v>
      </c>
      <c r="AH16">
        <f t="shared" si="16"/>
        <v>1.6124492869518861</v>
      </c>
      <c r="AI16" s="40">
        <f t="shared" si="17"/>
        <v>34.867605920583365</v>
      </c>
      <c r="AJ16" s="88">
        <f t="shared" si="1"/>
        <v>143.96285615276042</v>
      </c>
      <c r="AK16" s="199">
        <f t="shared" si="18"/>
        <v>12.625040926146388</v>
      </c>
      <c r="AL16" s="213">
        <f t="shared" si="19"/>
        <v>55.383487018077254</v>
      </c>
      <c r="AM16">
        <f t="shared" si="20"/>
        <v>988.84469621774997</v>
      </c>
      <c r="AN16" s="215">
        <f t="shared" si="2"/>
        <v>5.5383487018077151</v>
      </c>
      <c r="AO16" s="63">
        <f t="shared" si="21"/>
        <v>98.884469621774812</v>
      </c>
      <c r="AP16" s="63">
        <f t="shared" si="22"/>
        <v>2.8004138177569522</v>
      </c>
      <c r="AQ16" s="63">
        <f t="shared" si="23"/>
        <v>50</v>
      </c>
      <c r="AR16" s="63">
        <f t="shared" si="24"/>
        <v>8.9444442374812638</v>
      </c>
      <c r="AS16" s="63">
        <f t="shared" si="25"/>
        <v>25.923161683102101</v>
      </c>
      <c r="AU16" s="192">
        <f t="shared" si="42"/>
        <v>13</v>
      </c>
      <c r="AV16" s="202">
        <f t="shared" si="43"/>
        <v>374</v>
      </c>
      <c r="AW16" s="192"/>
      <c r="AX16" s="229">
        <f t="shared" si="26"/>
        <v>51.457432044009607</v>
      </c>
      <c r="AY16" s="229">
        <f t="shared" si="27"/>
        <v>13.109913767826205</v>
      </c>
      <c r="AZ16" s="229">
        <f t="shared" si="28"/>
        <v>64.567345811835807</v>
      </c>
      <c r="BA16" s="53">
        <f t="shared" si="29"/>
        <v>118.61279514578609</v>
      </c>
      <c r="BB16" s="198">
        <f t="shared" si="30"/>
        <v>0.68191421587378753</v>
      </c>
      <c r="BC16" s="211">
        <f t="shared" si="31"/>
        <v>1691.8711724038972</v>
      </c>
      <c r="BD16" s="229">
        <f t="shared" si="32"/>
        <v>1631.593748759283</v>
      </c>
      <c r="BE16" s="4">
        <f t="shared" si="33"/>
        <v>102.53764681235747</v>
      </c>
      <c r="BF16" s="4">
        <f t="shared" si="34"/>
        <v>98.884469621774798</v>
      </c>
      <c r="BG16" s="4">
        <f t="shared" si="35"/>
        <v>51.847194612336892</v>
      </c>
      <c r="BH16" s="4">
        <f t="shared" si="36"/>
        <v>50</v>
      </c>
      <c r="BI16">
        <f t="shared" si="37"/>
        <v>34.294505244455607</v>
      </c>
      <c r="BJ16">
        <f t="shared" si="38"/>
        <v>30.2728405673802</v>
      </c>
      <c r="BL16" s="40"/>
    </row>
    <row r="17" spans="2:64">
      <c r="B17" s="296" t="s">
        <v>190</v>
      </c>
      <c r="C17" s="297"/>
      <c r="D17" s="297"/>
      <c r="E17" s="298"/>
      <c r="G17" s="288" t="s">
        <v>205</v>
      </c>
      <c r="H17" s="288"/>
      <c r="I17" s="288"/>
      <c r="J17" s="288"/>
      <c r="K17" s="288"/>
      <c r="N17" s="57"/>
      <c r="O17" s="195">
        <f t="shared" si="39"/>
        <v>14</v>
      </c>
      <c r="P17" s="138">
        <f t="shared" si="5"/>
        <v>5.375</v>
      </c>
      <c r="Q17" s="146"/>
      <c r="R17" s="56">
        <f t="shared" si="6"/>
        <v>14.607569371752859</v>
      </c>
      <c r="S17" s="56">
        <f t="shared" si="7"/>
        <v>0.18841119385579103</v>
      </c>
      <c r="T17" s="56">
        <f t="shared" si="8"/>
        <v>14.79598056560865</v>
      </c>
      <c r="U17" s="154">
        <f t="shared" si="0"/>
        <v>144.03448150773514</v>
      </c>
      <c r="V17" s="149">
        <f t="shared" si="9"/>
        <v>12.729579636805218</v>
      </c>
      <c r="W17" s="162">
        <f t="shared" si="10"/>
        <v>5.4928663018396948</v>
      </c>
      <c r="X17" s="4">
        <f t="shared" si="40"/>
        <v>98.884469621774855</v>
      </c>
      <c r="Y17" s="4">
        <f t="shared" si="11"/>
        <v>2.7774160709206748</v>
      </c>
      <c r="Z17" s="4">
        <f t="shared" si="12"/>
        <v>50</v>
      </c>
      <c r="AA17" s="4">
        <f t="shared" si="13"/>
        <v>8.8728188825065573</v>
      </c>
      <c r="AB17" s="4">
        <f t="shared" si="14"/>
        <v>5.9231616831020926</v>
      </c>
      <c r="AD17" s="192">
        <v>14</v>
      </c>
      <c r="AE17" s="202">
        <f t="shared" si="41"/>
        <v>49</v>
      </c>
      <c r="AG17">
        <f t="shared" si="15"/>
        <v>33.80392160057027</v>
      </c>
      <c r="AH17">
        <f t="shared" si="16"/>
        <v>1.7176090230574439</v>
      </c>
      <c r="AI17" s="40">
        <f t="shared" si="17"/>
        <v>35.521530623627712</v>
      </c>
      <c r="AJ17" s="88">
        <f t="shared" si="1"/>
        <v>143.30893144971608</v>
      </c>
      <c r="AK17" s="199">
        <f t="shared" si="18"/>
        <v>11.709451698679562</v>
      </c>
      <c r="AL17" s="213">
        <f t="shared" si="19"/>
        <v>59.714050514830788</v>
      </c>
      <c r="AM17">
        <f t="shared" si="20"/>
        <v>988.84469621774997</v>
      </c>
      <c r="AN17" s="215">
        <f t="shared" si="2"/>
        <v>5.9714050514830674</v>
      </c>
      <c r="AO17" s="63">
        <f t="shared" si="21"/>
        <v>98.884469621774812</v>
      </c>
      <c r="AP17" s="63">
        <f t="shared" si="22"/>
        <v>3.0193846790720595</v>
      </c>
      <c r="AQ17" s="63">
        <f t="shared" si="23"/>
        <v>49.999999999999993</v>
      </c>
      <c r="AR17" s="63">
        <f t="shared" ref="AR17:AR41" si="44">20*LOG10(AP17)</f>
        <v>9.5983689405256083</v>
      </c>
      <c r="AS17" s="63">
        <f t="shared" ref="AS17:AS41" si="45">AI17-AR17</f>
        <v>25.923161683102101</v>
      </c>
      <c r="AU17" s="192">
        <f t="shared" si="42"/>
        <v>14</v>
      </c>
      <c r="AV17" s="202">
        <f t="shared" si="43"/>
        <v>401</v>
      </c>
      <c r="AW17" s="192"/>
      <c r="AX17" s="229">
        <f t="shared" si="26"/>
        <v>52.062887452403643</v>
      </c>
      <c r="AY17" s="229">
        <f t="shared" si="27"/>
        <v>14.056351392776225</v>
      </c>
      <c r="AZ17" s="229">
        <f t="shared" si="28"/>
        <v>66.119238845179865</v>
      </c>
      <c r="BA17" s="53">
        <f t="shared" si="29"/>
        <v>117.06090211244205</v>
      </c>
      <c r="BB17" s="198">
        <f t="shared" si="30"/>
        <v>0.57034165644336532</v>
      </c>
      <c r="BC17" s="211">
        <f t="shared" si="31"/>
        <v>2022.8419068734731</v>
      </c>
      <c r="BD17" s="229">
        <f t="shared" si="32"/>
        <v>1631.5937487592876</v>
      </c>
      <c r="BE17" s="4">
        <f t="shared" si="33"/>
        <v>122.59647920445299</v>
      </c>
      <c r="BF17" s="4">
        <f t="shared" si="34"/>
        <v>98.884469621775068</v>
      </c>
      <c r="BG17" s="4">
        <f t="shared" si="35"/>
        <v>61.989754141056935</v>
      </c>
      <c r="BH17" s="4">
        <f t="shared" si="36"/>
        <v>50</v>
      </c>
      <c r="BI17">
        <f t="shared" si="37"/>
        <v>35.846398277799651</v>
      </c>
      <c r="BJ17">
        <f t="shared" si="38"/>
        <v>30.272840567380214</v>
      </c>
      <c r="BL17" s="40"/>
    </row>
    <row r="18" spans="2:64">
      <c r="B18" s="9">
        <v>1</v>
      </c>
      <c r="C18" s="188"/>
      <c r="D18" s="193">
        <v>20</v>
      </c>
      <c r="E18" s="191" t="s">
        <v>7</v>
      </c>
      <c r="G18" s="285">
        <v>1</v>
      </c>
      <c r="H18" s="285"/>
      <c r="I18" s="291" t="s">
        <v>206</v>
      </c>
      <c r="J18" s="124">
        <f>(2*D18/$D$29)*((1/COS(RADIANS($D$10/2)))-1)*POWER(10,6)</f>
        <v>230.10561547074224</v>
      </c>
      <c r="K18" s="189" t="s">
        <v>30</v>
      </c>
      <c r="N18" s="57"/>
      <c r="O18" s="195">
        <f t="shared" si="39"/>
        <v>15</v>
      </c>
      <c r="P18" s="138">
        <f t="shared" si="5"/>
        <v>5.75</v>
      </c>
      <c r="Q18" s="146"/>
      <c r="R18" s="56">
        <f t="shared" si="6"/>
        <v>15.193356893792609</v>
      </c>
      <c r="S18" s="56">
        <f t="shared" si="7"/>
        <v>0.20155616086898576</v>
      </c>
      <c r="T18" s="56">
        <f t="shared" si="8"/>
        <v>15.394913054661595</v>
      </c>
      <c r="U18" s="154">
        <f t="shared" si="0"/>
        <v>143.4355490186822</v>
      </c>
      <c r="V18" s="149">
        <f t="shared" si="9"/>
        <v>11.881395097783836</v>
      </c>
      <c r="W18" s="162">
        <f t="shared" si="10"/>
        <v>5.8849889636810646</v>
      </c>
      <c r="X18" s="4">
        <f t="shared" si="40"/>
        <v>98.884469621774898</v>
      </c>
      <c r="Y18" s="4">
        <f t="shared" si="11"/>
        <v>2.975689198814877</v>
      </c>
      <c r="Z18" s="4">
        <f t="shared" si="12"/>
        <v>50.000000000000028</v>
      </c>
      <c r="AA18" s="4">
        <f t="shared" si="13"/>
        <v>9.4717513715595061</v>
      </c>
      <c r="AB18" s="4">
        <f t="shared" si="14"/>
        <v>5.923161683102089</v>
      </c>
      <c r="AD18" s="192">
        <v>15</v>
      </c>
      <c r="AE18" s="202">
        <f t="shared" si="41"/>
        <v>52</v>
      </c>
      <c r="AG18">
        <f t="shared" si="15"/>
        <v>34.320066872695982</v>
      </c>
      <c r="AH18">
        <f t="shared" si="16"/>
        <v>1.8227687591630015</v>
      </c>
      <c r="AI18" s="40">
        <f t="shared" si="17"/>
        <v>36.142835631858986</v>
      </c>
      <c r="AJ18" s="88">
        <f t="shared" si="1"/>
        <v>142.68762644148481</v>
      </c>
      <c r="AK18" s="199">
        <f t="shared" si="18"/>
        <v>10.901124735608818</v>
      </c>
      <c r="AL18" s="213">
        <f t="shared" si="19"/>
        <v>64.141894271873198</v>
      </c>
      <c r="AM18">
        <f t="shared" si="20"/>
        <v>988.84469621774986</v>
      </c>
      <c r="AN18" s="215">
        <f t="shared" si="2"/>
        <v>6.4141894271873081</v>
      </c>
      <c r="AO18" s="63">
        <f t="shared" si="21"/>
        <v>98.884469621774812</v>
      </c>
      <c r="AP18" s="63">
        <f t="shared" si="22"/>
        <v>3.2432744250543437</v>
      </c>
      <c r="AQ18" s="63">
        <f t="shared" si="23"/>
        <v>50</v>
      </c>
      <c r="AR18" s="63">
        <f t="shared" si="44"/>
        <v>10.219673948756881</v>
      </c>
      <c r="AS18" s="63">
        <f t="shared" si="45"/>
        <v>25.923161683102105</v>
      </c>
      <c r="AU18" s="192">
        <f t="shared" si="42"/>
        <v>15</v>
      </c>
      <c r="AV18" s="202">
        <f t="shared" si="43"/>
        <v>428</v>
      </c>
      <c r="AW18" s="192"/>
      <c r="AX18" s="229">
        <f t="shared" si="26"/>
        <v>52.628875380263445</v>
      </c>
      <c r="AY18" s="229">
        <f t="shared" si="27"/>
        <v>15.002789017726245</v>
      </c>
      <c r="AZ18" s="229">
        <f t="shared" si="28"/>
        <v>67.631664397989695</v>
      </c>
      <c r="BA18" s="53">
        <f t="shared" si="29"/>
        <v>115.54847655963221</v>
      </c>
      <c r="BB18" s="198">
        <f t="shared" si="30"/>
        <v>0.47919669598559633</v>
      </c>
      <c r="BC18" s="211">
        <f t="shared" si="31"/>
        <v>2407.5938201459312</v>
      </c>
      <c r="BD18" s="229">
        <f t="shared" si="32"/>
        <v>1631.5937487592846</v>
      </c>
      <c r="BE18" s="4">
        <f t="shared" si="33"/>
        <v>145.91477697854137</v>
      </c>
      <c r="BF18" s="4">
        <f t="shared" si="34"/>
        <v>98.884469621774883</v>
      </c>
      <c r="BG18" s="4">
        <f t="shared" si="35"/>
        <v>73.780431617145553</v>
      </c>
      <c r="BH18" s="4">
        <f t="shared" si="36"/>
        <v>50</v>
      </c>
      <c r="BI18">
        <f t="shared" si="37"/>
        <v>37.358823830609488</v>
      </c>
      <c r="BJ18">
        <f t="shared" si="38"/>
        <v>30.272840567380207</v>
      </c>
      <c r="BL18" s="40"/>
    </row>
    <row r="19" spans="2:64">
      <c r="B19" s="9">
        <v>2</v>
      </c>
      <c r="C19" s="188"/>
      <c r="D19" s="193">
        <v>200</v>
      </c>
      <c r="E19" s="191" t="s">
        <v>7</v>
      </c>
      <c r="G19" s="285">
        <v>2</v>
      </c>
      <c r="H19" s="285"/>
      <c r="I19" s="291"/>
      <c r="J19" s="124">
        <f>(2*D19/$D$29)*((1/COS(RADIANS($D$10/2)))-1)*POWER(10,6)</f>
        <v>2301.0561547074221</v>
      </c>
      <c r="K19" s="189" t="s">
        <v>30</v>
      </c>
      <c r="N19" s="57"/>
      <c r="O19" s="195">
        <f t="shared" si="39"/>
        <v>16</v>
      </c>
      <c r="P19" s="138">
        <f t="shared" si="5"/>
        <v>6.125</v>
      </c>
      <c r="Q19" s="146"/>
      <c r="R19" s="56">
        <f t="shared" si="6"/>
        <v>15.742121860731402</v>
      </c>
      <c r="S19" s="56">
        <f t="shared" si="7"/>
        <v>0.21470112788218049</v>
      </c>
      <c r="T19" s="56">
        <f t="shared" si="8"/>
        <v>15.956822988613583</v>
      </c>
      <c r="U19" s="154">
        <f t="shared" si="0"/>
        <v>142.8736390847302</v>
      </c>
      <c r="V19" s="149">
        <f t="shared" si="9"/>
        <v>11.137095435880127</v>
      </c>
      <c r="W19" s="162">
        <f t="shared" si="10"/>
        <v>6.2782867782856924</v>
      </c>
      <c r="X19" s="4">
        <f t="shared" si="40"/>
        <v>98.884469621774826</v>
      </c>
      <c r="Y19" s="4">
        <f t="shared" si="11"/>
        <v>3.174556531627077</v>
      </c>
      <c r="Z19" s="4">
        <f t="shared" si="12"/>
        <v>49.999999999999993</v>
      </c>
      <c r="AA19" s="4">
        <f t="shared" si="13"/>
        <v>10.033661305511492</v>
      </c>
      <c r="AB19" s="4">
        <f t="shared" si="14"/>
        <v>5.9231616831020908</v>
      </c>
      <c r="AD19" s="192">
        <f>AD18+1</f>
        <v>16</v>
      </c>
      <c r="AE19" s="202">
        <f t="shared" si="41"/>
        <v>55</v>
      </c>
      <c r="AG19">
        <f t="shared" si="15"/>
        <v>34.807253789884875</v>
      </c>
      <c r="AH19">
        <f t="shared" si="16"/>
        <v>1.9279284952685596</v>
      </c>
      <c r="AI19" s="40">
        <f t="shared" si="17"/>
        <v>36.735182285153435</v>
      </c>
      <c r="AJ19" s="88">
        <f t="shared" si="1"/>
        <v>142.09527978819037</v>
      </c>
      <c r="AK19" s="199">
        <f t="shared" si="18"/>
        <v>10.182489628480898</v>
      </c>
      <c r="AL19" s="213">
        <f t="shared" si="19"/>
        <v>68.668745635662177</v>
      </c>
      <c r="AM19">
        <f t="shared" si="20"/>
        <v>988.84469621775065</v>
      </c>
      <c r="AN19" s="215">
        <f t="shared" si="2"/>
        <v>6.8668745635662045</v>
      </c>
      <c r="AO19" s="63">
        <f t="shared" si="21"/>
        <v>98.884469621774883</v>
      </c>
      <c r="AP19" s="63">
        <f t="shared" si="22"/>
        <v>3.4721703973492732</v>
      </c>
      <c r="AQ19" s="63">
        <f t="shared" si="23"/>
        <v>50</v>
      </c>
      <c r="AR19" s="63">
        <f t="shared" si="44"/>
        <v>10.812020602051327</v>
      </c>
      <c r="AS19" s="63">
        <f t="shared" si="45"/>
        <v>25.923161683102109</v>
      </c>
      <c r="AU19" s="192">
        <f t="shared" si="42"/>
        <v>16</v>
      </c>
      <c r="AV19" s="202">
        <f t="shared" si="43"/>
        <v>455</v>
      </c>
      <c r="AW19" s="192"/>
      <c r="AX19" s="229">
        <f t="shared" si="26"/>
        <v>53.160227933142252</v>
      </c>
      <c r="AY19" s="229">
        <f t="shared" si="27"/>
        <v>15.949226642676265</v>
      </c>
      <c r="AZ19" s="229">
        <f t="shared" si="28"/>
        <v>69.109454575818518</v>
      </c>
      <c r="BA19" s="53">
        <f t="shared" si="29"/>
        <v>114.0706863818034</v>
      </c>
      <c r="BB19" s="198">
        <f t="shared" si="30"/>
        <v>0.40422605769439413</v>
      </c>
      <c r="BC19" s="211">
        <f t="shared" si="31"/>
        <v>2854.1232855441203</v>
      </c>
      <c r="BD19" s="229">
        <f t="shared" si="32"/>
        <v>1631.5937487592862</v>
      </c>
      <c r="BE19" s="4">
        <f t="shared" si="33"/>
        <v>172.97716882085589</v>
      </c>
      <c r="BF19" s="4">
        <f t="shared" si="34"/>
        <v>98.884469621774983</v>
      </c>
      <c r="BG19" s="4">
        <f t="shared" si="35"/>
        <v>87.464274967787873</v>
      </c>
      <c r="BH19" s="4">
        <f t="shared" si="36"/>
        <v>50</v>
      </c>
      <c r="BI19">
        <f t="shared" si="37"/>
        <v>38.836614008438303</v>
      </c>
      <c r="BJ19">
        <f t="shared" si="38"/>
        <v>30.272840567380214</v>
      </c>
      <c r="BL19" s="40"/>
    </row>
    <row r="20" spans="2:64">
      <c r="B20" s="9">
        <v>3</v>
      </c>
      <c r="C20" s="188"/>
      <c r="D20" s="194">
        <v>2000</v>
      </c>
      <c r="E20" s="191" t="s">
        <v>7</v>
      </c>
      <c r="G20" s="285">
        <v>3</v>
      </c>
      <c r="H20" s="285"/>
      <c r="I20" s="291"/>
      <c r="J20" s="124">
        <f>(2*D20/$D$29)*((1/COS(RADIANS($D$10/2)))-1)*POWER(10,6)</f>
        <v>23010.561547074223</v>
      </c>
      <c r="K20" s="189" t="s">
        <v>30</v>
      </c>
      <c r="N20" s="57"/>
      <c r="O20" s="195">
        <f t="shared" si="39"/>
        <v>17</v>
      </c>
      <c r="P20" s="138">
        <f t="shared" si="5"/>
        <v>6.5</v>
      </c>
      <c r="Q20" s="146"/>
      <c r="R20" s="56">
        <f t="shared" si="6"/>
        <v>16.25826713285711</v>
      </c>
      <c r="S20" s="56">
        <f t="shared" si="7"/>
        <v>0.22784609489537519</v>
      </c>
      <c r="T20" s="56">
        <f t="shared" si="8"/>
        <v>16.486113227752487</v>
      </c>
      <c r="U20" s="154">
        <f t="shared" si="0"/>
        <v>142.3443488455913</v>
      </c>
      <c r="V20" s="149">
        <f t="shared" si="9"/>
        <v>10.478700539806043</v>
      </c>
      <c r="W20" s="162">
        <f t="shared" si="10"/>
        <v>6.6727624057941028</v>
      </c>
      <c r="X20" s="4">
        <f t="shared" si="40"/>
        <v>98.884469621774826</v>
      </c>
      <c r="Y20" s="4">
        <f t="shared" si="11"/>
        <v>3.3740194144322575</v>
      </c>
      <c r="Z20" s="4">
        <f t="shared" si="12"/>
        <v>49.999999999999993</v>
      </c>
      <c r="AA20" s="4">
        <f t="shared" ref="AA20:AA83" si="46">20*LOG10(Y20)</f>
        <v>10.562951544650394</v>
      </c>
      <c r="AB20" s="4">
        <f t="shared" ref="AB20:AB83" si="47">T20-AA20</f>
        <v>5.9231616831020926</v>
      </c>
      <c r="AD20" s="192">
        <f t="shared" ref="AD20:AD40" si="48">AD19+1</f>
        <v>17</v>
      </c>
      <c r="AE20" s="202">
        <f t="shared" si="41"/>
        <v>58</v>
      </c>
      <c r="AG20">
        <f t="shared" si="15"/>
        <v>35.268559871258745</v>
      </c>
      <c r="AH20">
        <f t="shared" si="16"/>
        <v>2.0330882313741174</v>
      </c>
      <c r="AI20" s="40">
        <f t="shared" si="17"/>
        <v>37.301648102632861</v>
      </c>
      <c r="AJ20" s="88">
        <f t="shared" si="1"/>
        <v>141.52881397071093</v>
      </c>
      <c r="AK20" s="199">
        <f t="shared" si="18"/>
        <v>9.5396114357535389</v>
      </c>
      <c r="AL20" s="213">
        <f t="shared" si="19"/>
        <v>73.29635959964962</v>
      </c>
      <c r="AM20">
        <f t="shared" si="20"/>
        <v>988.84469621774804</v>
      </c>
      <c r="AN20" s="215">
        <f t="shared" si="2"/>
        <v>7.3296359599649481</v>
      </c>
      <c r="AO20" s="63">
        <f t="shared" si="21"/>
        <v>98.884469621774613</v>
      </c>
      <c r="AP20" s="63">
        <f t="shared" si="22"/>
        <v>3.7061613355465393</v>
      </c>
      <c r="AQ20" s="63">
        <f t="shared" si="23"/>
        <v>50</v>
      </c>
      <c r="AR20" s="63">
        <f t="shared" si="44"/>
        <v>11.378486419530773</v>
      </c>
      <c r="AS20" s="63">
        <f t="shared" si="45"/>
        <v>25.923161683102087</v>
      </c>
      <c r="AU20" s="192">
        <f t="shared" si="42"/>
        <v>17</v>
      </c>
      <c r="AV20" s="202">
        <f t="shared" si="43"/>
        <v>482</v>
      </c>
      <c r="AW20" s="192"/>
      <c r="AX20" s="229">
        <f t="shared" si="26"/>
        <v>53.660940764776996</v>
      </c>
      <c r="AY20" s="229">
        <f t="shared" si="27"/>
        <v>16.895664267626284</v>
      </c>
      <c r="AZ20" s="229">
        <f t="shared" si="28"/>
        <v>70.556605032403283</v>
      </c>
      <c r="BA20" s="53">
        <f t="shared" si="29"/>
        <v>112.62353592521862</v>
      </c>
      <c r="BB20" s="198">
        <f t="shared" si="30"/>
        <v>0.34218958199249527</v>
      </c>
      <c r="BC20" s="211">
        <f t="shared" si="31"/>
        <v>3371.5550227200479</v>
      </c>
      <c r="BD20" s="229">
        <f t="shared" si="32"/>
        <v>1631.593748759286</v>
      </c>
      <c r="BE20" s="4">
        <f t="shared" si="33"/>
        <v>204.33666804363938</v>
      </c>
      <c r="BF20" s="4">
        <f t="shared" si="34"/>
        <v>98.884469621774954</v>
      </c>
      <c r="BG20" s="4">
        <f t="shared" si="35"/>
        <v>103.32091016173241</v>
      </c>
      <c r="BH20" s="4">
        <f t="shared" si="36"/>
        <v>50</v>
      </c>
      <c r="BI20">
        <f t="shared" si="37"/>
        <v>40.283764465023076</v>
      </c>
      <c r="BJ20">
        <f t="shared" si="38"/>
        <v>30.272840567380207</v>
      </c>
      <c r="BL20" s="40"/>
    </row>
    <row r="21" spans="2:64">
      <c r="B21" s="296" t="s">
        <v>83</v>
      </c>
      <c r="C21" s="297"/>
      <c r="D21" s="297"/>
      <c r="E21" s="298"/>
      <c r="G21" s="292" t="s">
        <v>204</v>
      </c>
      <c r="H21" s="293"/>
      <c r="I21" s="293"/>
      <c r="J21" s="293"/>
      <c r="K21" s="294"/>
      <c r="N21" s="57"/>
      <c r="O21" s="195">
        <f t="shared" si="39"/>
        <v>18</v>
      </c>
      <c r="P21" s="138">
        <f t="shared" si="5"/>
        <v>6.875</v>
      </c>
      <c r="Q21" s="146"/>
      <c r="R21" s="56">
        <f t="shared" si="6"/>
        <v>16.745454050046003</v>
      </c>
      <c r="S21" s="56">
        <f t="shared" si="7"/>
        <v>0.24099106190856995</v>
      </c>
      <c r="T21" s="56">
        <f t="shared" si="8"/>
        <v>16.986445111954573</v>
      </c>
      <c r="U21" s="154">
        <f t="shared" si="0"/>
        <v>141.84401696138923</v>
      </c>
      <c r="V21" s="149">
        <f t="shared" si="9"/>
        <v>9.8921532316975185</v>
      </c>
      <c r="W21" s="162">
        <f t="shared" si="10"/>
        <v>7.0684185117089564</v>
      </c>
      <c r="X21" s="4">
        <f t="shared" si="40"/>
        <v>98.884469621775082</v>
      </c>
      <c r="Y21" s="4">
        <f t="shared" si="11"/>
        <v>3.5740791950167146</v>
      </c>
      <c r="Z21" s="4">
        <f t="shared" si="12"/>
        <v>50.000000000000121</v>
      </c>
      <c r="AA21" s="4">
        <f t="shared" si="46"/>
        <v>11.063283428852483</v>
      </c>
      <c r="AB21" s="4">
        <f t="shared" si="47"/>
        <v>5.9231616831020908</v>
      </c>
      <c r="AD21" s="192">
        <f t="shared" si="48"/>
        <v>18</v>
      </c>
      <c r="AE21" s="202">
        <f t="shared" si="41"/>
        <v>61</v>
      </c>
      <c r="AG21">
        <f t="shared" si="15"/>
        <v>35.706596700215343</v>
      </c>
      <c r="AH21">
        <f t="shared" si="16"/>
        <v>2.1382479674796748</v>
      </c>
      <c r="AI21" s="40">
        <f t="shared" si="17"/>
        <v>37.844844667695014</v>
      </c>
      <c r="AJ21" s="88">
        <f t="shared" si="1"/>
        <v>140.98561740564878</v>
      </c>
      <c r="AK21" s="199">
        <f t="shared" si="18"/>
        <v>8.9612967131197152</v>
      </c>
      <c r="AL21" s="213">
        <f t="shared" si="19"/>
        <v>78.026519221513638</v>
      </c>
      <c r="AM21">
        <f t="shared" si="20"/>
        <v>988.84469621774974</v>
      </c>
      <c r="AN21" s="215">
        <f t="shared" si="2"/>
        <v>7.8026519221513491</v>
      </c>
      <c r="AO21" s="63">
        <f t="shared" si="21"/>
        <v>98.884469621774798</v>
      </c>
      <c r="AP21" s="63">
        <f t="shared" si="22"/>
        <v>3.945337398276934</v>
      </c>
      <c r="AQ21" s="63">
        <f t="shared" si="23"/>
        <v>50</v>
      </c>
      <c r="AR21" s="63">
        <f t="shared" si="44"/>
        <v>11.921682984592916</v>
      </c>
      <c r="AS21" s="63">
        <f t="shared" si="45"/>
        <v>25.923161683102098</v>
      </c>
      <c r="AU21" s="192">
        <f t="shared" si="42"/>
        <v>18</v>
      </c>
      <c r="AV21" s="202">
        <f t="shared" si="43"/>
        <v>509</v>
      </c>
      <c r="AW21" s="192"/>
      <c r="AX21" s="229">
        <f t="shared" si="26"/>
        <v>54.134355646735173</v>
      </c>
      <c r="AY21" s="229">
        <f t="shared" si="27"/>
        <v>17.842101892576306</v>
      </c>
      <c r="AZ21" s="229">
        <f t="shared" si="28"/>
        <v>71.976457539311482</v>
      </c>
      <c r="BA21" s="53">
        <f t="shared" si="29"/>
        <v>111.20368341831045</v>
      </c>
      <c r="BB21" s="198">
        <f t="shared" si="30"/>
        <v>0.29058564611491333</v>
      </c>
      <c r="BC21" s="211">
        <f t="shared" si="31"/>
        <v>3970.295915556112</v>
      </c>
      <c r="BD21" s="229">
        <f t="shared" si="32"/>
        <v>1631.5937487592903</v>
      </c>
      <c r="BE21" s="4">
        <f t="shared" si="33"/>
        <v>240.62399488218875</v>
      </c>
      <c r="BF21" s="4">
        <f t="shared" si="34"/>
        <v>98.884469621775239</v>
      </c>
      <c r="BG21" s="4">
        <f t="shared" si="35"/>
        <v>121.66925494092008</v>
      </c>
      <c r="BH21" s="4">
        <f t="shared" si="36"/>
        <v>50</v>
      </c>
      <c r="BI21">
        <f t="shared" si="37"/>
        <v>41.703616971931254</v>
      </c>
      <c r="BJ21">
        <f t="shared" si="38"/>
        <v>30.272840567380229</v>
      </c>
      <c r="BL21" s="40"/>
    </row>
    <row r="22" spans="2:64">
      <c r="B22" s="9">
        <v>1</v>
      </c>
      <c r="C22" s="304" t="s">
        <v>29</v>
      </c>
      <c r="D22" s="194">
        <v>240</v>
      </c>
      <c r="E22" s="191" t="s">
        <v>30</v>
      </c>
      <c r="G22" s="285">
        <v>1</v>
      </c>
      <c r="H22" s="285"/>
      <c r="I22" s="291" t="s">
        <v>15</v>
      </c>
      <c r="J22" s="125">
        <f>(4*$D$29*(D22/1000000))/POWER(RADIANS($D$10),2)</f>
        <v>21.009960640075164</v>
      </c>
      <c r="K22" s="191" t="s">
        <v>7</v>
      </c>
      <c r="N22" s="57"/>
      <c r="O22" s="195">
        <f t="shared" si="39"/>
        <v>19</v>
      </c>
      <c r="P22" s="138">
        <f t="shared" si="5"/>
        <v>7.25</v>
      </c>
      <c r="Q22" s="146"/>
      <c r="R22" s="56">
        <f t="shared" si="6"/>
        <v>17.206760131419873</v>
      </c>
      <c r="S22" s="56">
        <f t="shared" si="7"/>
        <v>0.25413602892176468</v>
      </c>
      <c r="T22" s="56">
        <f t="shared" si="8"/>
        <v>17.460896160341637</v>
      </c>
      <c r="U22" s="154">
        <f t="shared" si="0"/>
        <v>141.36956591300216</v>
      </c>
      <c r="V22" s="149">
        <f t="shared" si="9"/>
        <v>9.3663047153667485</v>
      </c>
      <c r="W22" s="162">
        <f t="shared" si="10"/>
        <v>7.4652577669051903</v>
      </c>
      <c r="X22" s="4">
        <f t="shared" si="40"/>
        <v>98.884469621775096</v>
      </c>
      <c r="Y22" s="4">
        <f t="shared" si="11"/>
        <v>3.7747372238831849</v>
      </c>
      <c r="Z22" s="4">
        <f t="shared" si="12"/>
        <v>50.000000000000128</v>
      </c>
      <c r="AA22" s="4">
        <f t="shared" si="46"/>
        <v>11.537734477239548</v>
      </c>
      <c r="AB22" s="4">
        <f t="shared" si="47"/>
        <v>5.923161683102089</v>
      </c>
      <c r="AD22" s="192">
        <f t="shared" si="48"/>
        <v>19</v>
      </c>
      <c r="AE22" s="202">
        <f t="shared" si="41"/>
        <v>64</v>
      </c>
      <c r="AG22">
        <f t="shared" si="15"/>
        <v>36.123599479677743</v>
      </c>
      <c r="AH22">
        <f t="shared" si="16"/>
        <v>2.2434077035852331</v>
      </c>
      <c r="AI22" s="40">
        <f t="shared" si="17"/>
        <v>38.367007183262977</v>
      </c>
      <c r="AJ22" s="88">
        <f t="shared" si="1"/>
        <v>140.46345489008081</v>
      </c>
      <c r="AK22" s="199">
        <f t="shared" si="18"/>
        <v>8.4384509728303829</v>
      </c>
      <c r="AL22" s="213">
        <f t="shared" si="19"/>
        <v>82.861036046452725</v>
      </c>
      <c r="AM22">
        <f t="shared" si="20"/>
        <v>988.84469621774986</v>
      </c>
      <c r="AN22" s="215">
        <f t="shared" si="2"/>
        <v>8.2861036046452572</v>
      </c>
      <c r="AO22" s="63">
        <f t="shared" si="21"/>
        <v>98.884469621774798</v>
      </c>
      <c r="AP22" s="63">
        <f t="shared" si="22"/>
        <v>4.1897901846159167</v>
      </c>
      <c r="AQ22" s="63">
        <f t="shared" si="23"/>
        <v>50</v>
      </c>
      <c r="AR22" s="63">
        <f t="shared" si="44"/>
        <v>12.443845500160879</v>
      </c>
      <c r="AS22" s="63">
        <f t="shared" si="45"/>
        <v>25.923161683102098</v>
      </c>
      <c r="AU22" s="192">
        <f t="shared" si="42"/>
        <v>19</v>
      </c>
      <c r="AV22" s="202">
        <f t="shared" si="43"/>
        <v>536</v>
      </c>
      <c r="AW22" s="192"/>
      <c r="AX22" s="229">
        <f t="shared" si="26"/>
        <v>54.583295793855406</v>
      </c>
      <c r="AY22" s="229">
        <f t="shared" si="27"/>
        <v>18.788539517526328</v>
      </c>
      <c r="AZ22" s="229">
        <f t="shared" si="28"/>
        <v>73.37183531138173</v>
      </c>
      <c r="BA22" s="53">
        <f t="shared" si="29"/>
        <v>109.80830564624017</v>
      </c>
      <c r="BB22" s="198">
        <f t="shared" si="30"/>
        <v>0.2474601485542787</v>
      </c>
      <c r="BC22" s="211">
        <f t="shared" si="31"/>
        <v>4662.2092915951325</v>
      </c>
      <c r="BD22" s="229">
        <f t="shared" si="32"/>
        <v>1631.5937487592844</v>
      </c>
      <c r="BE22" s="4">
        <f t="shared" si="33"/>
        <v>282.55813888455367</v>
      </c>
      <c r="BF22" s="4">
        <f t="shared" si="34"/>
        <v>98.884469621774869</v>
      </c>
      <c r="BG22" s="4">
        <f t="shared" si="35"/>
        <v>142.87285959327878</v>
      </c>
      <c r="BH22" s="4">
        <f t="shared" si="36"/>
        <v>49.999999999999993</v>
      </c>
      <c r="BI22">
        <f t="shared" si="37"/>
        <v>43.09899474400153</v>
      </c>
      <c r="BJ22">
        <f t="shared" si="38"/>
        <v>30.2728405673802</v>
      </c>
      <c r="BL22" s="40"/>
    </row>
    <row r="23" spans="2:64">
      <c r="B23" s="9">
        <v>2</v>
      </c>
      <c r="C23" s="304"/>
      <c r="D23" s="194">
        <v>2000</v>
      </c>
      <c r="E23" s="191" t="s">
        <v>30</v>
      </c>
      <c r="G23" s="285">
        <v>2</v>
      </c>
      <c r="H23" s="285"/>
      <c r="I23" s="291"/>
      <c r="J23" s="125">
        <f>(4*$D$29*(D23/1000000))/POWER(RADIANS($D$10),2)</f>
        <v>175.0830053339597</v>
      </c>
      <c r="K23" s="191" t="s">
        <v>7</v>
      </c>
      <c r="N23" s="57"/>
      <c r="O23" s="195">
        <f t="shared" si="39"/>
        <v>20</v>
      </c>
      <c r="P23" s="138">
        <f t="shared" si="5"/>
        <v>7.625</v>
      </c>
      <c r="Q23" s="146"/>
      <c r="R23" s="56">
        <f t="shared" si="6"/>
        <v>17.644796960376471</v>
      </c>
      <c r="S23" s="56">
        <f t="shared" si="7"/>
        <v>0.26728099593495935</v>
      </c>
      <c r="T23" s="56">
        <f t="shared" si="8"/>
        <v>17.912077956311432</v>
      </c>
      <c r="U23" s="154">
        <f t="shared" si="0"/>
        <v>140.91838411703236</v>
      </c>
      <c r="V23" s="149">
        <f t="shared" si="9"/>
        <v>8.8921994004802034</v>
      </c>
      <c r="W23" s="162">
        <f t="shared" si="10"/>
        <v>7.863282847640173</v>
      </c>
      <c r="X23" s="4">
        <f t="shared" si="40"/>
        <v>98.88446962177494</v>
      </c>
      <c r="Y23" s="4">
        <f t="shared" si="11"/>
        <v>3.9759948542559806</v>
      </c>
      <c r="Z23" s="4">
        <f t="shared" si="12"/>
        <v>50.000000000000043</v>
      </c>
      <c r="AA23" s="4">
        <f t="shared" si="46"/>
        <v>11.988916273209343</v>
      </c>
      <c r="AB23" s="4">
        <f t="shared" si="47"/>
        <v>5.923161683102089</v>
      </c>
      <c r="AD23" s="192">
        <f t="shared" si="48"/>
        <v>20</v>
      </c>
      <c r="AE23" s="202">
        <f t="shared" si="41"/>
        <v>67</v>
      </c>
      <c r="AG23">
        <f t="shared" si="15"/>
        <v>36.521496054016531</v>
      </c>
      <c r="AH23">
        <f t="shared" si="16"/>
        <v>2.348567439690791</v>
      </c>
      <c r="AI23" s="40">
        <f t="shared" si="17"/>
        <v>38.87006349370732</v>
      </c>
      <c r="AJ23" s="88">
        <f t="shared" si="1"/>
        <v>139.96039857963649</v>
      </c>
      <c r="AK23" s="199">
        <f t="shared" si="18"/>
        <v>7.9636087659121291</v>
      </c>
      <c r="AL23" s="213">
        <f t="shared" si="19"/>
        <v>87.801750536628376</v>
      </c>
      <c r="AM23">
        <f t="shared" si="20"/>
        <v>988.84469621775168</v>
      </c>
      <c r="AN23" s="215">
        <f t="shared" si="2"/>
        <v>8.7801750536628216</v>
      </c>
      <c r="AO23" s="63">
        <f t="shared" si="21"/>
        <v>98.884469621774983</v>
      </c>
      <c r="AP23" s="63">
        <f t="shared" si="22"/>
        <v>4.4396127557978886</v>
      </c>
      <c r="AQ23" s="63">
        <f t="shared" si="23"/>
        <v>49.999999999999993</v>
      </c>
      <c r="AR23" s="63">
        <f t="shared" si="44"/>
        <v>12.946901810605201</v>
      </c>
      <c r="AS23" s="63">
        <f t="shared" si="45"/>
        <v>25.923161683102119</v>
      </c>
      <c r="AU23" s="192">
        <f t="shared" si="42"/>
        <v>20</v>
      </c>
      <c r="AV23" s="202">
        <f t="shared" si="43"/>
        <v>563</v>
      </c>
      <c r="AW23" s="192"/>
      <c r="AX23" s="229">
        <f t="shared" si="26"/>
        <v>55.010167897026925</v>
      </c>
      <c r="AY23" s="229">
        <f t="shared" si="27"/>
        <v>19.734977142476342</v>
      </c>
      <c r="AZ23" s="229">
        <f t="shared" si="28"/>
        <v>74.745145039503271</v>
      </c>
      <c r="BA23" s="53">
        <f t="shared" si="29"/>
        <v>108.43499591811866</v>
      </c>
      <c r="BB23" s="198">
        <f t="shared" si="30"/>
        <v>0.21127094889767781</v>
      </c>
      <c r="BC23" s="211">
        <f t="shared" si="31"/>
        <v>5460.8123355759462</v>
      </c>
      <c r="BD23" s="229">
        <f t="shared" si="32"/>
        <v>1631.5937487592905</v>
      </c>
      <c r="BE23" s="4">
        <f t="shared" si="33"/>
        <v>330.95832336823935</v>
      </c>
      <c r="BF23" s="4">
        <f t="shared" si="34"/>
        <v>98.884469621775239</v>
      </c>
      <c r="BG23" s="4">
        <f t="shared" si="35"/>
        <v>167.34595666747623</v>
      </c>
      <c r="BH23" s="4">
        <f t="shared" si="36"/>
        <v>50.000000000000007</v>
      </c>
      <c r="BI23">
        <f t="shared" si="37"/>
        <v>44.472304472123049</v>
      </c>
      <c r="BJ23">
        <f t="shared" si="38"/>
        <v>30.272840567380221</v>
      </c>
      <c r="BL23" s="40"/>
    </row>
    <row r="24" spans="2:64">
      <c r="B24" s="9">
        <v>3</v>
      </c>
      <c r="C24" s="304"/>
      <c r="D24" s="194">
        <v>17000</v>
      </c>
      <c r="E24" s="191" t="s">
        <v>30</v>
      </c>
      <c r="G24" s="285">
        <v>3</v>
      </c>
      <c r="H24" s="285"/>
      <c r="I24" s="291"/>
      <c r="J24" s="125">
        <f>(4*$D$29*(D24/1000000))/POWER(RADIANS($D$10),2)</f>
        <v>1488.2055453386577</v>
      </c>
      <c r="K24" s="191" t="s">
        <v>7</v>
      </c>
      <c r="N24" s="57"/>
      <c r="O24" s="195">
        <f t="shared" si="39"/>
        <v>21</v>
      </c>
      <c r="P24" s="138">
        <f t="shared" si="5"/>
        <v>8</v>
      </c>
      <c r="Q24" s="146"/>
      <c r="R24" s="56">
        <f t="shared" si="6"/>
        <v>18.061799739838872</v>
      </c>
      <c r="S24" s="56">
        <f t="shared" si="7"/>
        <v>0.28042596294815414</v>
      </c>
      <c r="T24" s="56">
        <f t="shared" si="8"/>
        <v>18.342225702787026</v>
      </c>
      <c r="U24" s="154">
        <f t="shared" si="0"/>
        <v>140.48823637055676</v>
      </c>
      <c r="V24" s="149">
        <f t="shared" si="9"/>
        <v>8.4625608699364498</v>
      </c>
      <c r="W24" s="162">
        <f t="shared" si="10"/>
        <v>8.2624964355638664</v>
      </c>
      <c r="X24" s="4">
        <f t="shared" si="40"/>
        <v>98.884469621774869</v>
      </c>
      <c r="Y24" s="4">
        <f t="shared" si="11"/>
        <v>4.1778534420861293</v>
      </c>
      <c r="Z24" s="4">
        <f t="shared" si="12"/>
        <v>50.000000000000014</v>
      </c>
      <c r="AA24" s="4">
        <f t="shared" si="46"/>
        <v>12.419064019684935</v>
      </c>
      <c r="AB24" s="4">
        <f t="shared" si="47"/>
        <v>5.9231616831020908</v>
      </c>
      <c r="AD24" s="192">
        <f t="shared" si="48"/>
        <v>21</v>
      </c>
      <c r="AE24" s="202">
        <f t="shared" si="41"/>
        <v>70</v>
      </c>
      <c r="AG24">
        <f t="shared" si="15"/>
        <v>36.901960800285138</v>
      </c>
      <c r="AH24">
        <f t="shared" si="16"/>
        <v>2.4537271757963488</v>
      </c>
      <c r="AI24" s="40">
        <f t="shared" si="17"/>
        <v>39.355687976081484</v>
      </c>
      <c r="AJ24" s="88">
        <f t="shared" si="1"/>
        <v>139.4747740972623</v>
      </c>
      <c r="AK24" s="199">
        <f t="shared" si="18"/>
        <v>7.5305846004102301</v>
      </c>
      <c r="AL24" s="213">
        <f t="shared" si="19"/>
        <v>92.850532506843066</v>
      </c>
      <c r="AM24">
        <f t="shared" si="20"/>
        <v>988.84469621774906</v>
      </c>
      <c r="AN24" s="215">
        <f t="shared" si="2"/>
        <v>9.2850532506842889</v>
      </c>
      <c r="AO24" s="63">
        <f t="shared" si="21"/>
        <v>98.884469621774713</v>
      </c>
      <c r="AP24" s="63">
        <f t="shared" si="22"/>
        <v>4.6948996572459176</v>
      </c>
      <c r="AQ24" s="63">
        <f t="shared" si="23"/>
        <v>50.000000000000007</v>
      </c>
      <c r="AR24" s="63">
        <f t="shared" si="44"/>
        <v>13.432526292979393</v>
      </c>
      <c r="AS24" s="63">
        <f t="shared" si="45"/>
        <v>25.923161683102091</v>
      </c>
      <c r="AU24" s="192">
        <f t="shared" si="42"/>
        <v>21</v>
      </c>
      <c r="AV24" s="202">
        <f t="shared" si="43"/>
        <v>590</v>
      </c>
      <c r="AW24" s="192"/>
      <c r="AX24" s="229">
        <f t="shared" si="26"/>
        <v>55.417040232842886</v>
      </c>
      <c r="AY24" s="229">
        <f t="shared" si="27"/>
        <v>20.681414767426364</v>
      </c>
      <c r="AZ24" s="229">
        <f t="shared" si="28"/>
        <v>76.098455000269254</v>
      </c>
      <c r="BA24" s="53">
        <f t="shared" si="29"/>
        <v>107.08168595735265</v>
      </c>
      <c r="BB24" s="198">
        <f t="shared" si="30"/>
        <v>0.18078995008628002</v>
      </c>
      <c r="BC24" s="211">
        <f t="shared" si="31"/>
        <v>6381.4996538174501</v>
      </c>
      <c r="BD24" s="229">
        <f t="shared" si="32"/>
        <v>1631.5937487592844</v>
      </c>
      <c r="BE24" s="4">
        <f t="shared" si="33"/>
        <v>386.75755477681537</v>
      </c>
      <c r="BF24" s="4">
        <f t="shared" si="34"/>
        <v>98.884469621774869</v>
      </c>
      <c r="BG24" s="4">
        <f t="shared" si="35"/>
        <v>195.56031207738278</v>
      </c>
      <c r="BH24" s="4">
        <f t="shared" si="36"/>
        <v>50</v>
      </c>
      <c r="BI24">
        <f t="shared" si="37"/>
        <v>45.825614432889054</v>
      </c>
      <c r="BJ24">
        <f t="shared" si="38"/>
        <v>30.2728405673802</v>
      </c>
      <c r="BL24" s="40"/>
    </row>
    <row r="25" spans="2:64">
      <c r="B25" s="296" t="s">
        <v>185</v>
      </c>
      <c r="C25" s="297"/>
      <c r="D25" s="297"/>
      <c r="E25" s="298"/>
      <c r="G25" s="288" t="s">
        <v>66</v>
      </c>
      <c r="H25" s="288"/>
      <c r="I25" s="288"/>
      <c r="J25" s="288"/>
      <c r="K25" s="288"/>
      <c r="N25" s="57"/>
      <c r="O25" s="195">
        <f t="shared" si="39"/>
        <v>22</v>
      </c>
      <c r="P25" s="138">
        <f t="shared" si="5"/>
        <v>8.375</v>
      </c>
      <c r="Q25" s="146"/>
      <c r="R25" s="56">
        <f t="shared" si="6"/>
        <v>18.459696314177656</v>
      </c>
      <c r="S25" s="56">
        <f t="shared" si="7"/>
        <v>0.29357092996134887</v>
      </c>
      <c r="T25" s="56">
        <f t="shared" si="8"/>
        <v>18.753267244139003</v>
      </c>
      <c r="U25" s="154">
        <f t="shared" si="0"/>
        <v>140.07719482920479</v>
      </c>
      <c r="V25" s="149">
        <f t="shared" si="9"/>
        <v>8.0714159455603074</v>
      </c>
      <c r="W25" s="162">
        <f t="shared" si="10"/>
        <v>8.6629012177290683</v>
      </c>
      <c r="X25" s="4">
        <f t="shared" si="40"/>
        <v>98.88446962177494</v>
      </c>
      <c r="Y25" s="4">
        <f t="shared" si="11"/>
        <v>4.380314346056549</v>
      </c>
      <c r="Z25" s="4">
        <f t="shared" si="12"/>
        <v>50.000000000000043</v>
      </c>
      <c r="AA25" s="4">
        <f t="shared" si="46"/>
        <v>12.830105561036913</v>
      </c>
      <c r="AB25" s="4">
        <f t="shared" si="47"/>
        <v>5.9231616831020908</v>
      </c>
      <c r="AD25" s="192">
        <f t="shared" si="48"/>
        <v>22</v>
      </c>
      <c r="AE25" s="202">
        <f t="shared" si="41"/>
        <v>73</v>
      </c>
      <c r="AG25">
        <f t="shared" si="15"/>
        <v>37.266457202409114</v>
      </c>
      <c r="AH25">
        <f t="shared" si="16"/>
        <v>2.5588869119019062</v>
      </c>
      <c r="AI25" s="40">
        <f t="shared" si="17"/>
        <v>39.825344114311022</v>
      </c>
      <c r="AJ25" s="88">
        <f t="shared" si="1"/>
        <v>139.00511795903276</v>
      </c>
      <c r="AK25" s="199">
        <f t="shared" si="18"/>
        <v>7.1342099346091619</v>
      </c>
      <c r="AL25" s="213">
        <f t="shared" si="19"/>
        <v>98.009281566540693</v>
      </c>
      <c r="AM25">
        <f t="shared" si="20"/>
        <v>988.84469621774804</v>
      </c>
      <c r="AN25" s="215">
        <f t="shared" si="2"/>
        <v>9.8009281566540505</v>
      </c>
      <c r="AO25" s="63">
        <f t="shared" si="21"/>
        <v>98.884469621774613</v>
      </c>
      <c r="AP25" s="63">
        <f t="shared" si="22"/>
        <v>4.9557469409209736</v>
      </c>
      <c r="AQ25" s="63">
        <f t="shared" si="23"/>
        <v>49.999999999999993</v>
      </c>
      <c r="AR25" s="63">
        <f t="shared" si="44"/>
        <v>13.902182431208935</v>
      </c>
      <c r="AS25" s="63">
        <f t="shared" si="45"/>
        <v>25.923161683102087</v>
      </c>
      <c r="AU25" s="192">
        <f t="shared" si="42"/>
        <v>22</v>
      </c>
      <c r="AV25" s="202">
        <f t="shared" si="43"/>
        <v>617</v>
      </c>
      <c r="AW25" s="192"/>
      <c r="AX25" s="229">
        <f t="shared" si="26"/>
        <v>55.805703280664829</v>
      </c>
      <c r="AY25" s="229">
        <f t="shared" si="27"/>
        <v>21.627852392376386</v>
      </c>
      <c r="AZ25" s="229">
        <f t="shared" si="28"/>
        <v>77.433555673041212</v>
      </c>
      <c r="BA25" s="53">
        <f t="shared" si="29"/>
        <v>105.7465852845807</v>
      </c>
      <c r="BB25" s="198">
        <f t="shared" si="30"/>
        <v>0.15503125089410882</v>
      </c>
      <c r="BC25" s="211">
        <f t="shared" si="31"/>
        <v>7441.7963941817816</v>
      </c>
      <c r="BD25" s="229">
        <f t="shared" si="32"/>
        <v>1631.5937487592844</v>
      </c>
      <c r="BE25" s="4">
        <f t="shared" si="33"/>
        <v>451.01796328374462</v>
      </c>
      <c r="BF25" s="4">
        <f t="shared" si="34"/>
        <v>98.884469621774883</v>
      </c>
      <c r="BG25" s="4">
        <f t="shared" si="35"/>
        <v>228.05298193379201</v>
      </c>
      <c r="BH25" s="4">
        <f t="shared" si="36"/>
        <v>50</v>
      </c>
      <c r="BI25">
        <f t="shared" si="37"/>
        <v>47.160715105660998</v>
      </c>
      <c r="BJ25">
        <f t="shared" si="38"/>
        <v>30.272840567380214</v>
      </c>
      <c r="BL25" s="40"/>
    </row>
    <row r="26" spans="2:64">
      <c r="B26" s="9">
        <v>1</v>
      </c>
      <c r="C26" s="304" t="s">
        <v>186</v>
      </c>
      <c r="D26" s="193">
        <v>20</v>
      </c>
      <c r="E26" s="191" t="s">
        <v>3</v>
      </c>
      <c r="G26" s="285">
        <v>1</v>
      </c>
      <c r="H26" s="285"/>
      <c r="I26" s="305" t="s">
        <v>46</v>
      </c>
      <c r="J26" s="126">
        <f>D26/POWER(2,0.5)</f>
        <v>14.142135623730949</v>
      </c>
      <c r="K26" s="191" t="s">
        <v>3</v>
      </c>
      <c r="N26" s="57"/>
      <c r="O26" s="195">
        <f t="shared" si="39"/>
        <v>23</v>
      </c>
      <c r="P26" s="138">
        <f t="shared" si="5"/>
        <v>8.75</v>
      </c>
      <c r="Q26" s="146"/>
      <c r="R26" s="56">
        <f t="shared" si="6"/>
        <v>18.840161060446267</v>
      </c>
      <c r="S26" s="56">
        <f t="shared" si="7"/>
        <v>0.3067158969745436</v>
      </c>
      <c r="T26" s="56">
        <f t="shared" si="8"/>
        <v>19.146876957420812</v>
      </c>
      <c r="U26" s="154">
        <f t="shared" si="0"/>
        <v>139.68358511592299</v>
      </c>
      <c r="V26" s="149">
        <f t="shared" si="9"/>
        <v>7.7138154226186559</v>
      </c>
      <c r="W26" s="162">
        <f t="shared" si="10"/>
        <v>9.0644998866015829</v>
      </c>
      <c r="X26" s="4">
        <f t="shared" si="40"/>
        <v>98.884469621775139</v>
      </c>
      <c r="Y26" s="4">
        <f t="shared" si="11"/>
        <v>4.583378927587197</v>
      </c>
      <c r="Z26" s="4">
        <f t="shared" si="12"/>
        <v>50.000000000000149</v>
      </c>
      <c r="AA26" s="4">
        <f t="shared" si="46"/>
        <v>13.223715274318721</v>
      </c>
      <c r="AB26" s="4">
        <f t="shared" si="47"/>
        <v>5.9231616831020908</v>
      </c>
      <c r="AD26" s="192">
        <f t="shared" si="48"/>
        <v>23</v>
      </c>
      <c r="AE26" s="202">
        <f t="shared" si="41"/>
        <v>76</v>
      </c>
      <c r="AG26">
        <f t="shared" si="15"/>
        <v>37.616271845615827</v>
      </c>
      <c r="AH26">
        <f t="shared" si="16"/>
        <v>2.664046648007464</v>
      </c>
      <c r="AI26" s="40">
        <f t="shared" si="17"/>
        <v>40.280318493623291</v>
      </c>
      <c r="AJ26" s="88">
        <f t="shared" si="1"/>
        <v>138.5501435797205</v>
      </c>
      <c r="AK26" s="199">
        <f t="shared" si="18"/>
        <v>6.7701324613542138</v>
      </c>
      <c r="AL26" s="213">
        <f t="shared" si="19"/>
        <v>103.27992756822063</v>
      </c>
      <c r="AM26">
        <f t="shared" si="20"/>
        <v>988.84469621774974</v>
      </c>
      <c r="AN26" s="215">
        <f t="shared" si="2"/>
        <v>10.327992756822043</v>
      </c>
      <c r="AO26" s="63">
        <f t="shared" si="21"/>
        <v>98.884469621774784</v>
      </c>
      <c r="AP26" s="63">
        <f t="shared" si="22"/>
        <v>5.2222521879956441</v>
      </c>
      <c r="AQ26" s="63">
        <f t="shared" si="23"/>
        <v>50</v>
      </c>
      <c r="AR26" s="63">
        <f t="shared" si="44"/>
        <v>14.357156810521193</v>
      </c>
      <c r="AS26" s="63">
        <f t="shared" si="45"/>
        <v>25.923161683102098</v>
      </c>
      <c r="AU26" s="192">
        <f t="shared" si="42"/>
        <v>23</v>
      </c>
      <c r="AV26" s="202">
        <f t="shared" si="43"/>
        <v>644</v>
      </c>
      <c r="AW26" s="192"/>
      <c r="AX26" s="229">
        <f t="shared" si="26"/>
        <v>56.177717347196243</v>
      </c>
      <c r="AY26" s="229">
        <f t="shared" si="27"/>
        <v>22.574290017326405</v>
      </c>
      <c r="AZ26" s="229">
        <f t="shared" si="28"/>
        <v>78.752007364522655</v>
      </c>
      <c r="BA26" s="53">
        <f t="shared" si="29"/>
        <v>104.42813359309926</v>
      </c>
      <c r="BB26" s="198">
        <f t="shared" si="30"/>
        <v>0.13319768189134326</v>
      </c>
      <c r="BC26" s="211">
        <f t="shared" si="31"/>
        <v>8661.6447636860394</v>
      </c>
      <c r="BD26" s="229">
        <f t="shared" si="32"/>
        <v>1631.5937487592873</v>
      </c>
      <c r="BE26" s="4">
        <f t="shared" si="33"/>
        <v>524.94816749612392</v>
      </c>
      <c r="BF26" s="4">
        <f t="shared" si="34"/>
        <v>98.884469621775054</v>
      </c>
      <c r="BG26" s="4">
        <f t="shared" si="35"/>
        <v>265.43509284319742</v>
      </c>
      <c r="BH26" s="4">
        <f t="shared" si="36"/>
        <v>50</v>
      </c>
      <c r="BI26">
        <f t="shared" si="37"/>
        <v>48.47916679714244</v>
      </c>
      <c r="BJ26">
        <f t="shared" si="38"/>
        <v>30.272840567380214</v>
      </c>
      <c r="BL26" s="40"/>
    </row>
    <row r="27" spans="2:64">
      <c r="B27" s="9">
        <v>2</v>
      </c>
      <c r="C27" s="304"/>
      <c r="D27" s="193">
        <v>200</v>
      </c>
      <c r="E27" s="191" t="s">
        <v>3</v>
      </c>
      <c r="G27" s="285">
        <v>2</v>
      </c>
      <c r="H27" s="285"/>
      <c r="I27" s="306"/>
      <c r="J27" s="126">
        <f>D27/POWER(2,0.5)</f>
        <v>141.42135623730948</v>
      </c>
      <c r="K27" s="191" t="s">
        <v>3</v>
      </c>
      <c r="N27" s="57"/>
      <c r="O27" s="195">
        <f t="shared" si="39"/>
        <v>24</v>
      </c>
      <c r="P27" s="138">
        <f t="shared" si="5"/>
        <v>9.125</v>
      </c>
      <c r="Q27" s="146"/>
      <c r="R27" s="56">
        <f t="shared" si="6"/>
        <v>19.204657462570246</v>
      </c>
      <c r="S27" s="56">
        <f t="shared" si="7"/>
        <v>0.31986086398773828</v>
      </c>
      <c r="T27" s="56">
        <f t="shared" si="8"/>
        <v>19.524518326557985</v>
      </c>
      <c r="U27" s="154">
        <f t="shared" si="0"/>
        <v>139.3059437467858</v>
      </c>
      <c r="V27" s="149">
        <f t="shared" si="9"/>
        <v>7.3856236643185316</v>
      </c>
      <c r="W27" s="162">
        <f t="shared" si="10"/>
        <v>9.4672951400704495</v>
      </c>
      <c r="X27" s="4">
        <f t="shared" si="40"/>
        <v>98.884469621774841</v>
      </c>
      <c r="Y27" s="4">
        <f t="shared" si="11"/>
        <v>4.7870485508402343</v>
      </c>
      <c r="Z27" s="4">
        <f t="shared" si="12"/>
        <v>49.999999999999993</v>
      </c>
      <c r="AA27" s="4">
        <f t="shared" si="46"/>
        <v>13.601356643455894</v>
      </c>
      <c r="AB27" s="4">
        <f t="shared" si="47"/>
        <v>5.9231616831020908</v>
      </c>
      <c r="AD27" s="192">
        <f t="shared" si="48"/>
        <v>24</v>
      </c>
      <c r="AE27" s="202">
        <f t="shared" si="41"/>
        <v>79</v>
      </c>
      <c r="AG27">
        <f t="shared" si="15"/>
        <v>37.952541825808829</v>
      </c>
      <c r="AH27">
        <f t="shared" si="16"/>
        <v>2.7692063841130219</v>
      </c>
      <c r="AI27" s="40">
        <f t="shared" si="17"/>
        <v>40.721748209921849</v>
      </c>
      <c r="AJ27" s="88">
        <f t="shared" si="1"/>
        <v>138.10871386342194</v>
      </c>
      <c r="AK27" s="199">
        <f t="shared" si="18"/>
        <v>6.4346611250804999</v>
      </c>
      <c r="AL27" s="213">
        <f t="shared" si="19"/>
        <v>108.66443106235431</v>
      </c>
      <c r="AM27">
        <f t="shared" si="20"/>
        <v>988.84469621774804</v>
      </c>
      <c r="AN27" s="215">
        <f t="shared" si="2"/>
        <v>10.86644310623541</v>
      </c>
      <c r="AO27" s="63">
        <f t="shared" si="21"/>
        <v>98.884469621774613</v>
      </c>
      <c r="AP27" s="63">
        <f t="shared" si="22"/>
        <v>5.4945145318565736</v>
      </c>
      <c r="AQ27" s="63">
        <f t="shared" si="23"/>
        <v>50</v>
      </c>
      <c r="AR27" s="63">
        <f t="shared" si="44"/>
        <v>14.79858652681976</v>
      </c>
      <c r="AS27" s="63">
        <f t="shared" si="45"/>
        <v>25.923161683102087</v>
      </c>
      <c r="AU27" s="192">
        <f t="shared" si="42"/>
        <v>24</v>
      </c>
      <c r="AV27" s="202">
        <f t="shared" si="43"/>
        <v>671</v>
      </c>
      <c r="AW27" s="192"/>
      <c r="AX27" s="229">
        <f t="shared" si="26"/>
        <v>56.534450403379843</v>
      </c>
      <c r="AY27" s="229">
        <f t="shared" si="27"/>
        <v>23.520727642276427</v>
      </c>
      <c r="AZ27" s="229">
        <f t="shared" si="28"/>
        <v>80.055178045656277</v>
      </c>
      <c r="BA27" s="53">
        <f t="shared" si="29"/>
        <v>103.12496291196564</v>
      </c>
      <c r="BB27" s="198">
        <f t="shared" si="30"/>
        <v>0.11464051611233685</v>
      </c>
      <c r="BC27" s="211">
        <f t="shared" si="31"/>
        <v>10063.728278741721</v>
      </c>
      <c r="BD27" s="229">
        <f t="shared" si="32"/>
        <v>1631.5937487592848</v>
      </c>
      <c r="BE27" s="4">
        <f t="shared" si="33"/>
        <v>609.9229259843471</v>
      </c>
      <c r="BF27" s="4">
        <f t="shared" si="34"/>
        <v>98.884469621774898</v>
      </c>
      <c r="BG27" s="4">
        <f t="shared" si="35"/>
        <v>308.40177851853429</v>
      </c>
      <c r="BH27" s="4">
        <f t="shared" si="36"/>
        <v>50</v>
      </c>
      <c r="BI27">
        <f t="shared" si="37"/>
        <v>49.782337478276062</v>
      </c>
      <c r="BJ27">
        <f t="shared" si="38"/>
        <v>30.272840567380214</v>
      </c>
      <c r="BL27" s="40"/>
    </row>
    <row r="28" spans="2:64">
      <c r="B28" s="9">
        <v>3</v>
      </c>
      <c r="C28" s="304"/>
      <c r="D28" s="194">
        <v>330</v>
      </c>
      <c r="E28" s="191" t="s">
        <v>3</v>
      </c>
      <c r="G28" s="285">
        <v>3</v>
      </c>
      <c r="H28" s="285"/>
      <c r="I28" s="307"/>
      <c r="J28" s="126">
        <f>D28/POWER(2,0.5)</f>
        <v>233.34523779156066</v>
      </c>
      <c r="K28" s="191" t="s">
        <v>3</v>
      </c>
      <c r="N28" s="57"/>
      <c r="O28" s="195">
        <f t="shared" si="39"/>
        <v>25</v>
      </c>
      <c r="P28" s="138">
        <f t="shared" si="5"/>
        <v>9.5</v>
      </c>
      <c r="Q28" s="146"/>
      <c r="R28" s="56">
        <f t="shared" si="6"/>
        <v>19.554472105776956</v>
      </c>
      <c r="S28" s="56">
        <f t="shared" si="7"/>
        <v>0.33300583100093301</v>
      </c>
      <c r="T28" s="56">
        <f t="shared" si="8"/>
        <v>19.887477936777888</v>
      </c>
      <c r="U28" s="154">
        <f t="shared" si="0"/>
        <v>138.94298413656591</v>
      </c>
      <c r="V28" s="149">
        <f t="shared" si="9"/>
        <v>7.0833580291874227</v>
      </c>
      <c r="W28" s="162">
        <f t="shared" si="10"/>
        <v>9.8712896814582454</v>
      </c>
      <c r="X28" s="4">
        <f t="shared" si="40"/>
        <v>98.88446962177494</v>
      </c>
      <c r="Y28" s="4">
        <f t="shared" si="11"/>
        <v>4.9913245827252428</v>
      </c>
      <c r="Z28" s="4">
        <f t="shared" si="12"/>
        <v>50.00000000000005</v>
      </c>
      <c r="AA28" s="4">
        <f t="shared" si="46"/>
        <v>13.964316253675797</v>
      </c>
      <c r="AB28" s="4">
        <f t="shared" si="47"/>
        <v>5.9231616831020908</v>
      </c>
      <c r="AD28" s="192">
        <f t="shared" si="48"/>
        <v>25</v>
      </c>
      <c r="AE28" s="202">
        <f t="shared" si="41"/>
        <v>82</v>
      </c>
      <c r="AG28">
        <f t="shared" si="15"/>
        <v>38.276277047674334</v>
      </c>
      <c r="AH28">
        <f t="shared" si="16"/>
        <v>2.8743661202185797</v>
      </c>
      <c r="AI28" s="40">
        <f t="shared" si="17"/>
        <v>41.150643167892916</v>
      </c>
      <c r="AJ28" s="88">
        <f t="shared" si="1"/>
        <v>137.67981890545087</v>
      </c>
      <c r="AK28" s="199">
        <f t="shared" si="18"/>
        <v>6.1246451595142108</v>
      </c>
      <c r="AL28" s="213">
        <f t="shared" si="19"/>
        <v>114.1647837588982</v>
      </c>
      <c r="AM28">
        <f t="shared" si="20"/>
        <v>988.84469621774986</v>
      </c>
      <c r="AN28" s="215">
        <f t="shared" si="2"/>
        <v>11.416478375889797</v>
      </c>
      <c r="AO28" s="63">
        <f t="shared" si="21"/>
        <v>98.884469621774784</v>
      </c>
      <c r="AP28" s="63">
        <f t="shared" si="22"/>
        <v>5.7726346814403291</v>
      </c>
      <c r="AQ28" s="63">
        <f t="shared" si="23"/>
        <v>49.999999999999993</v>
      </c>
      <c r="AR28" s="63">
        <f t="shared" si="44"/>
        <v>15.227481484790818</v>
      </c>
      <c r="AS28" s="63">
        <f t="shared" si="45"/>
        <v>25.923161683102098</v>
      </c>
      <c r="AU28" s="192">
        <f t="shared" si="42"/>
        <v>25</v>
      </c>
      <c r="AV28" s="202">
        <f t="shared" si="43"/>
        <v>698</v>
      </c>
      <c r="AW28" s="192"/>
      <c r="AX28" s="229">
        <f t="shared" si="26"/>
        <v>56.877108452463219</v>
      </c>
      <c r="AY28" s="229">
        <f t="shared" si="27"/>
        <v>24.467165267226445</v>
      </c>
      <c r="AZ28" s="229">
        <f t="shared" si="28"/>
        <v>81.344273719689667</v>
      </c>
      <c r="BA28" s="53">
        <f t="shared" si="29"/>
        <v>101.83586723793223</v>
      </c>
      <c r="BB28" s="198">
        <f t="shared" si="30"/>
        <v>9.8828760583186209E-2</v>
      </c>
      <c r="BC28" s="211">
        <f t="shared" si="31"/>
        <v>11673.838638481819</v>
      </c>
      <c r="BD28" s="229">
        <f t="shared" si="32"/>
        <v>1631.5937487592819</v>
      </c>
      <c r="BE28" s="4">
        <f t="shared" si="33"/>
        <v>707.50537202920157</v>
      </c>
      <c r="BF28" s="4">
        <f t="shared" si="34"/>
        <v>98.884469621774713</v>
      </c>
      <c r="BG28" s="4">
        <f t="shared" si="35"/>
        <v>357.74342256946602</v>
      </c>
      <c r="BH28" s="4">
        <f t="shared" si="36"/>
        <v>50</v>
      </c>
      <c r="BI28">
        <f t="shared" si="37"/>
        <v>51.071433152309467</v>
      </c>
      <c r="BJ28">
        <f t="shared" si="38"/>
        <v>30.2728405673802</v>
      </c>
      <c r="BL28" s="40"/>
    </row>
    <row r="29" spans="2:64">
      <c r="B29" s="119" t="s">
        <v>80</v>
      </c>
      <c r="C29" s="191" t="s">
        <v>81</v>
      </c>
      <c r="D29" s="193">
        <v>1500</v>
      </c>
      <c r="E29" s="191" t="s">
        <v>82</v>
      </c>
      <c r="G29" s="288" t="s">
        <v>74</v>
      </c>
      <c r="H29" s="288"/>
      <c r="I29" s="288"/>
      <c r="J29" s="288"/>
      <c r="K29" s="288"/>
      <c r="N29" s="57"/>
      <c r="O29" s="195">
        <f t="shared" si="39"/>
        <v>26</v>
      </c>
      <c r="P29" s="138">
        <f t="shared" si="5"/>
        <v>9.875</v>
      </c>
      <c r="Q29" s="146"/>
      <c r="R29" s="56">
        <f t="shared" si="6"/>
        <v>19.890742085969958</v>
      </c>
      <c r="S29" s="56">
        <f t="shared" si="7"/>
        <v>0.34615079801412774</v>
      </c>
      <c r="T29" s="56">
        <f t="shared" si="8"/>
        <v>20.236892883984087</v>
      </c>
      <c r="U29" s="154">
        <f t="shared" si="0"/>
        <v>138.5935691893597</v>
      </c>
      <c r="V29" s="149">
        <f t="shared" si="9"/>
        <v>6.8040648846197964</v>
      </c>
      <c r="W29" s="162">
        <f t="shared" si="10"/>
        <v>10.276486219531302</v>
      </c>
      <c r="X29" s="4">
        <f t="shared" si="40"/>
        <v>98.884469621774883</v>
      </c>
      <c r="Y29" s="4">
        <f t="shared" si="11"/>
        <v>5.1962083929043841</v>
      </c>
      <c r="Z29" s="4">
        <f t="shared" si="12"/>
        <v>50.000000000000014</v>
      </c>
      <c r="AA29" s="4">
        <f t="shared" si="46"/>
        <v>14.313731200881996</v>
      </c>
      <c r="AB29" s="4">
        <f t="shared" si="47"/>
        <v>5.9231616831020908</v>
      </c>
      <c r="AD29" s="192">
        <f t="shared" si="48"/>
        <v>26</v>
      </c>
      <c r="AE29" s="202">
        <f t="shared" si="41"/>
        <v>85</v>
      </c>
      <c r="AG29">
        <f t="shared" si="15"/>
        <v>38.58837851428585</v>
      </c>
      <c r="AH29">
        <f t="shared" si="16"/>
        <v>2.9795258563241376</v>
      </c>
      <c r="AI29" s="40">
        <f t="shared" si="17"/>
        <v>41.567904370609988</v>
      </c>
      <c r="AJ29" s="88">
        <f t="shared" si="1"/>
        <v>137.2625577027338</v>
      </c>
      <c r="AK29" s="199">
        <f t="shared" si="18"/>
        <v>5.8373787409383802</v>
      </c>
      <c r="AL29" s="213">
        <f t="shared" si="19"/>
        <v>119.78300899549316</v>
      </c>
      <c r="AM29">
        <f t="shared" si="20"/>
        <v>988.84469621775008</v>
      </c>
      <c r="AN29" s="215">
        <f t="shared" si="2"/>
        <v>11.978300899549293</v>
      </c>
      <c r="AO29" s="63">
        <f t="shared" si="21"/>
        <v>98.884469621774812</v>
      </c>
      <c r="AP29" s="63">
        <f t="shared" si="22"/>
        <v>6.0567149449075952</v>
      </c>
      <c r="AQ29" s="63">
        <f t="shared" si="23"/>
        <v>50</v>
      </c>
      <c r="AR29" s="63">
        <f t="shared" si="44"/>
        <v>15.64474268750789</v>
      </c>
      <c r="AS29" s="63">
        <f t="shared" si="45"/>
        <v>25.923161683102098</v>
      </c>
      <c r="AU29" s="192">
        <f t="shared" si="42"/>
        <v>26</v>
      </c>
      <c r="AV29" s="202">
        <f t="shared" si="43"/>
        <v>725</v>
      </c>
      <c r="AW29" s="192"/>
      <c r="AX29" s="229">
        <f t="shared" si="26"/>
        <v>57.20676013141987</v>
      </c>
      <c r="AY29" s="229">
        <f t="shared" si="27"/>
        <v>25.413602892176467</v>
      </c>
      <c r="AZ29" s="229">
        <f t="shared" si="28"/>
        <v>82.62036302359634</v>
      </c>
      <c r="BA29" s="53">
        <f t="shared" si="29"/>
        <v>100.55977793402559</v>
      </c>
      <c r="BB29" s="198">
        <f t="shared" si="30"/>
        <v>8.5325508213837081E-2</v>
      </c>
      <c r="BC29" s="211">
        <f t="shared" si="31"/>
        <v>13521.290737559055</v>
      </c>
      <c r="BD29" s="229">
        <f t="shared" si="32"/>
        <v>1631.5937487592905</v>
      </c>
      <c r="BE29" s="4">
        <f t="shared" si="33"/>
        <v>819.47216591267045</v>
      </c>
      <c r="BF29" s="4">
        <f t="shared" si="34"/>
        <v>98.884469621775239</v>
      </c>
      <c r="BG29" s="4">
        <f t="shared" si="35"/>
        <v>414.35837652114759</v>
      </c>
      <c r="BH29" s="4">
        <f t="shared" si="36"/>
        <v>50</v>
      </c>
      <c r="BI29">
        <f t="shared" si="37"/>
        <v>52.347522456216112</v>
      </c>
      <c r="BJ29">
        <f t="shared" si="38"/>
        <v>30.272840567380229</v>
      </c>
      <c r="BL29" s="40"/>
    </row>
    <row r="30" spans="2:64">
      <c r="B30" s="119" t="s">
        <v>187</v>
      </c>
      <c r="C30" s="30" t="s">
        <v>188</v>
      </c>
      <c r="D30" s="193">
        <v>1000</v>
      </c>
      <c r="E30" s="191" t="s">
        <v>189</v>
      </c>
      <c r="G30" s="285">
        <v>1</v>
      </c>
      <c r="H30" s="285"/>
      <c r="I30" s="291" t="s">
        <v>207</v>
      </c>
      <c r="J30" s="127">
        <f>POWER(J26,2)/$D$7</f>
        <v>2.4999999999999996</v>
      </c>
      <c r="K30" s="122" t="s">
        <v>5</v>
      </c>
      <c r="O30" s="195">
        <f t="shared" si="39"/>
        <v>27</v>
      </c>
      <c r="P30" s="138">
        <f t="shared" si="5"/>
        <v>10.25</v>
      </c>
      <c r="Q30" s="146"/>
      <c r="R30" s="56">
        <f t="shared" si="6"/>
        <v>20.214477307835462</v>
      </c>
      <c r="S30" s="56">
        <f t="shared" si="7"/>
        <v>0.35929576502732247</v>
      </c>
      <c r="T30" s="56">
        <f t="shared" si="8"/>
        <v>20.573773072862785</v>
      </c>
      <c r="U30" s="154">
        <f t="shared" si="0"/>
        <v>138.256689000481</v>
      </c>
      <c r="V30" s="149">
        <f t="shared" si="9"/>
        <v>6.5452228369624983</v>
      </c>
      <c r="W30" s="162">
        <f t="shared" si="10"/>
        <v>10.682887468510003</v>
      </c>
      <c r="X30" s="4">
        <f t="shared" si="40"/>
        <v>98.884469621774883</v>
      </c>
      <c r="Y30" s="4">
        <f t="shared" si="11"/>
        <v>5.4017013537976135</v>
      </c>
      <c r="Z30" s="4">
        <f t="shared" si="12"/>
        <v>50.000000000000021</v>
      </c>
      <c r="AA30" s="4">
        <f t="shared" si="46"/>
        <v>14.650611389760694</v>
      </c>
      <c r="AB30" s="4">
        <f t="shared" si="47"/>
        <v>5.9231616831020908</v>
      </c>
      <c r="AD30" s="192">
        <f t="shared" si="48"/>
        <v>27</v>
      </c>
      <c r="AE30" s="202">
        <f t="shared" si="41"/>
        <v>88</v>
      </c>
      <c r="AG30">
        <f t="shared" si="15"/>
        <v>38.889653443003375</v>
      </c>
      <c r="AH30">
        <f t="shared" si="16"/>
        <v>3.084685592429695</v>
      </c>
      <c r="AI30" s="40">
        <f t="shared" si="17"/>
        <v>41.974339035433069</v>
      </c>
      <c r="AJ30" s="88">
        <f t="shared" si="1"/>
        <v>136.85612303791072</v>
      </c>
      <c r="AK30" s="199">
        <f t="shared" si="18"/>
        <v>5.5705251442180446</v>
      </c>
      <c r="AL30" s="213">
        <f t="shared" si="19"/>
        <v>125.52116221244961</v>
      </c>
      <c r="AM30">
        <f t="shared" si="20"/>
        <v>988.84469621774974</v>
      </c>
      <c r="AN30" s="215">
        <f t="shared" si="2"/>
        <v>12.552116221244937</v>
      </c>
      <c r="AO30" s="63">
        <f t="shared" si="21"/>
        <v>98.884469621774784</v>
      </c>
      <c r="AP30" s="63">
        <f t="shared" si="22"/>
        <v>6.3468592536602468</v>
      </c>
      <c r="AQ30" s="63">
        <f t="shared" si="23"/>
        <v>50</v>
      </c>
      <c r="AR30" s="63">
        <f t="shared" si="44"/>
        <v>16.051177352330971</v>
      </c>
      <c r="AS30" s="63">
        <f t="shared" si="45"/>
        <v>25.923161683102098</v>
      </c>
      <c r="AU30" s="192">
        <f t="shared" si="42"/>
        <v>27</v>
      </c>
      <c r="AV30" s="202">
        <f t="shared" si="43"/>
        <v>752</v>
      </c>
      <c r="AW30" s="192"/>
      <c r="AX30" s="229">
        <f t="shared" si="26"/>
        <v>57.524356811832845</v>
      </c>
      <c r="AY30" s="229">
        <f t="shared" si="27"/>
        <v>26.360040517126485</v>
      </c>
      <c r="AZ30" s="229">
        <f t="shared" si="28"/>
        <v>83.884397328959324</v>
      </c>
      <c r="BA30" s="53">
        <f t="shared" si="29"/>
        <v>99.295743628662592</v>
      </c>
      <c r="BB30" s="198">
        <f t="shared" si="30"/>
        <v>7.3769555807328205E-2</v>
      </c>
      <c r="BC30" s="211">
        <f t="shared" si="31"/>
        <v>15639.392040024479</v>
      </c>
      <c r="BD30" s="229">
        <f t="shared" si="32"/>
        <v>1631.5937487592848</v>
      </c>
      <c r="BE30" s="4">
        <f t="shared" si="33"/>
        <v>947.84194181966598</v>
      </c>
      <c r="BF30" s="4">
        <f t="shared" si="34"/>
        <v>98.884469621774898</v>
      </c>
      <c r="BG30" s="4">
        <f t="shared" si="35"/>
        <v>479.26734372196404</v>
      </c>
      <c r="BH30" s="4">
        <f t="shared" si="36"/>
        <v>50</v>
      </c>
      <c r="BI30">
        <f t="shared" si="37"/>
        <v>53.611556761579109</v>
      </c>
      <c r="BJ30">
        <f t="shared" si="38"/>
        <v>30.272840567380214</v>
      </c>
      <c r="BL30" s="40"/>
    </row>
    <row r="31" spans="2:64">
      <c r="B31" s="299" t="s">
        <v>191</v>
      </c>
      <c r="C31" s="299"/>
      <c r="D31" s="299"/>
      <c r="E31" s="299"/>
      <c r="G31" s="285">
        <v>2</v>
      </c>
      <c r="H31" s="285"/>
      <c r="I31" s="291"/>
      <c r="J31" s="127">
        <f>POWER(J27,2)/$D$7</f>
        <v>249.99999999999991</v>
      </c>
      <c r="K31" s="122" t="s">
        <v>5</v>
      </c>
      <c r="O31" s="195">
        <f t="shared" si="39"/>
        <v>28</v>
      </c>
      <c r="P31" s="138">
        <f t="shared" si="5"/>
        <v>10.625</v>
      </c>
      <c r="Q31" s="146"/>
      <c r="R31" s="56">
        <f t="shared" si="6"/>
        <v>20.526578774446982</v>
      </c>
      <c r="S31" s="56">
        <f t="shared" si="7"/>
        <v>0.3724407320405172</v>
      </c>
      <c r="T31" s="56">
        <f t="shared" si="8"/>
        <v>20.899019506487498</v>
      </c>
      <c r="U31" s="154">
        <f t="shared" si="0"/>
        <v>137.9314425668563</v>
      </c>
      <c r="V31" s="149">
        <f t="shared" si="9"/>
        <v>6.3046664540524375</v>
      </c>
      <c r="W31" s="162">
        <f t="shared" si="10"/>
        <v>11.090496148079124</v>
      </c>
      <c r="X31" s="4">
        <f t="shared" si="40"/>
        <v>98.884469621774954</v>
      </c>
      <c r="Y31" s="4">
        <f t="shared" si="11"/>
        <v>5.6078048405879004</v>
      </c>
      <c r="Z31" s="4">
        <f t="shared" si="12"/>
        <v>50.00000000000005</v>
      </c>
      <c r="AA31" s="4">
        <f t="shared" si="46"/>
        <v>14.975857823385404</v>
      </c>
      <c r="AB31" s="4">
        <f t="shared" si="47"/>
        <v>5.9231616831020943</v>
      </c>
      <c r="AD31" s="192">
        <f t="shared" si="48"/>
        <v>28</v>
      </c>
      <c r="AE31" s="202">
        <f t="shared" si="41"/>
        <v>91</v>
      </c>
      <c r="AG31">
        <f t="shared" si="15"/>
        <v>39.18082784642187</v>
      </c>
      <c r="AH31">
        <f t="shared" si="16"/>
        <v>3.1898453285352528</v>
      </c>
      <c r="AI31" s="40">
        <f t="shared" si="17"/>
        <v>42.370673174957126</v>
      </c>
      <c r="AJ31" s="88">
        <f t="shared" si="1"/>
        <v>136.45978889838668</v>
      </c>
      <c r="AK31" s="199">
        <f t="shared" si="18"/>
        <v>5.3220559009476975</v>
      </c>
      <c r="AL31" s="213">
        <f t="shared" si="19"/>
        <v>131.38133143460843</v>
      </c>
      <c r="AM31">
        <f t="shared" si="20"/>
        <v>988.84469621775065</v>
      </c>
      <c r="AN31" s="215">
        <f t="shared" si="2"/>
        <v>13.138133143460818</v>
      </c>
      <c r="AO31" s="63">
        <f t="shared" si="21"/>
        <v>98.884469621774883</v>
      </c>
      <c r="AP31" s="63">
        <f t="shared" si="22"/>
        <v>6.6431731867062229</v>
      </c>
      <c r="AQ31" s="63">
        <f t="shared" si="23"/>
        <v>50</v>
      </c>
      <c r="AR31" s="63">
        <f t="shared" si="44"/>
        <v>16.447511491855025</v>
      </c>
      <c r="AS31" s="63">
        <f t="shared" si="45"/>
        <v>25.923161683102101</v>
      </c>
      <c r="AU31" s="192">
        <f t="shared" si="42"/>
        <v>28</v>
      </c>
      <c r="AV31" s="202">
        <f t="shared" si="43"/>
        <v>779</v>
      </c>
      <c r="AW31" s="192"/>
      <c r="AX31" s="229">
        <f t="shared" si="26"/>
        <v>57.830749153451286</v>
      </c>
      <c r="AY31" s="229">
        <f t="shared" si="27"/>
        <v>27.306478142076507</v>
      </c>
      <c r="AZ31" s="229">
        <f t="shared" si="28"/>
        <v>85.137227295527794</v>
      </c>
      <c r="BA31" s="53">
        <f t="shared" si="29"/>
        <v>98.042913662094122</v>
      </c>
      <c r="BB31" s="198">
        <f t="shared" si="30"/>
        <v>6.3860993415101708E-2</v>
      </c>
      <c r="BC31" s="211">
        <f t="shared" si="31"/>
        <v>18065.973330387387</v>
      </c>
      <c r="BD31" s="229">
        <f t="shared" si="32"/>
        <v>1631.5937487592873</v>
      </c>
      <c r="BE31" s="4">
        <f t="shared" si="33"/>
        <v>1094.9074745689331</v>
      </c>
      <c r="BF31" s="4">
        <f t="shared" si="34"/>
        <v>98.88446962177504</v>
      </c>
      <c r="BG31" s="4">
        <f t="shared" si="35"/>
        <v>553.6296441477939</v>
      </c>
      <c r="BH31" s="4">
        <f t="shared" si="36"/>
        <v>49.999999999999993</v>
      </c>
      <c r="BI31">
        <f t="shared" si="37"/>
        <v>54.864386728147579</v>
      </c>
      <c r="BJ31">
        <f t="shared" si="38"/>
        <v>30.272840567380214</v>
      </c>
      <c r="BL31" s="40"/>
    </row>
    <row r="32" spans="2:64">
      <c r="B32" s="286" t="s">
        <v>24</v>
      </c>
      <c r="C32" s="287"/>
      <c r="D32" s="193">
        <v>0.5</v>
      </c>
      <c r="E32" s="191" t="s">
        <v>23</v>
      </c>
      <c r="G32" s="285">
        <v>3</v>
      </c>
      <c r="H32" s="285"/>
      <c r="I32" s="291"/>
      <c r="J32" s="127">
        <f>POWER(J28,2)/$D$7</f>
        <v>680.62499999999989</v>
      </c>
      <c r="K32" s="122" t="s">
        <v>5</v>
      </c>
      <c r="O32" s="195">
        <f t="shared" si="39"/>
        <v>29</v>
      </c>
      <c r="P32" s="138">
        <f t="shared" si="5"/>
        <v>11</v>
      </c>
      <c r="Q32" s="146"/>
      <c r="R32" s="56">
        <f t="shared" si="6"/>
        <v>20.827853703164504</v>
      </c>
      <c r="S32" s="56">
        <f t="shared" si="7"/>
        <v>0.38558569905371187</v>
      </c>
      <c r="T32" s="56">
        <f t="shared" si="8"/>
        <v>21.213439402218217</v>
      </c>
      <c r="U32" s="154">
        <f t="shared" si="0"/>
        <v>137.61702267112557</v>
      </c>
      <c r="V32" s="149">
        <f t="shared" si="9"/>
        <v>6.0805255899625452</v>
      </c>
      <c r="W32" s="162">
        <f t="shared" si="10"/>
        <v>11.499314983398145</v>
      </c>
      <c r="X32" s="4">
        <f t="shared" si="40"/>
        <v>98.884469621774841</v>
      </c>
      <c r="Y32" s="4">
        <f t="shared" si="11"/>
        <v>5.8145202312264512</v>
      </c>
      <c r="Z32" s="4">
        <f t="shared" si="12"/>
        <v>50</v>
      </c>
      <c r="AA32" s="4">
        <f t="shared" si="46"/>
        <v>15.290277719116126</v>
      </c>
      <c r="AB32" s="4">
        <f t="shared" si="47"/>
        <v>5.9231616831020908</v>
      </c>
      <c r="AD32" s="192">
        <f t="shared" si="48"/>
        <v>29</v>
      </c>
      <c r="AE32" s="202">
        <f t="shared" si="41"/>
        <v>94</v>
      </c>
      <c r="AG32">
        <f t="shared" si="15"/>
        <v>39.46255707199397</v>
      </c>
      <c r="AH32">
        <f t="shared" si="16"/>
        <v>3.2950050646408107</v>
      </c>
      <c r="AI32" s="40">
        <f t="shared" si="17"/>
        <v>42.757562136634782</v>
      </c>
      <c r="AJ32" s="88">
        <f t="shared" si="1"/>
        <v>136.07289993670901</v>
      </c>
      <c r="AK32" s="199">
        <f t="shared" si="18"/>
        <v>5.090201608182813</v>
      </c>
      <c r="AL32" s="213">
        <f t="shared" si="19"/>
        <v>137.36563776017931</v>
      </c>
      <c r="AM32">
        <f t="shared" si="20"/>
        <v>988.84469621774986</v>
      </c>
      <c r="AN32" s="215">
        <f t="shared" si="2"/>
        <v>13.736563776017904</v>
      </c>
      <c r="AO32" s="63">
        <f t="shared" si="21"/>
        <v>98.884469621774798</v>
      </c>
      <c r="AP32" s="63">
        <f t="shared" si="22"/>
        <v>6.9457639953772139</v>
      </c>
      <c r="AQ32" s="63">
        <f t="shared" si="23"/>
        <v>50</v>
      </c>
      <c r="AR32" s="63">
        <f t="shared" si="44"/>
        <v>16.834400453532684</v>
      </c>
      <c r="AS32" s="63">
        <f t="shared" si="45"/>
        <v>25.923161683102098</v>
      </c>
      <c r="AU32" s="192">
        <f t="shared" si="42"/>
        <v>29</v>
      </c>
      <c r="AV32" s="202">
        <f t="shared" si="43"/>
        <v>806</v>
      </c>
      <c r="AW32" s="192"/>
      <c r="AX32" s="229">
        <f t="shared" si="26"/>
        <v>58.126700836101818</v>
      </c>
      <c r="AY32" s="229">
        <f t="shared" si="27"/>
        <v>28.252915767026529</v>
      </c>
      <c r="AZ32" s="229">
        <f t="shared" si="28"/>
        <v>86.379616603128341</v>
      </c>
      <c r="BA32" s="53">
        <f t="shared" si="29"/>
        <v>96.800524354493575</v>
      </c>
      <c r="BB32" s="198">
        <f t="shared" si="30"/>
        <v>5.534981896053108E-2</v>
      </c>
      <c r="BC32" s="211">
        <f t="shared" si="31"/>
        <v>20843.988752916426</v>
      </c>
      <c r="BD32" s="229">
        <f t="shared" si="32"/>
        <v>1631.5937487592848</v>
      </c>
      <c r="BE32" s="4">
        <f t="shared" si="33"/>
        <v>1263.2720456312993</v>
      </c>
      <c r="BF32" s="4">
        <f t="shared" si="34"/>
        <v>98.884469621774898</v>
      </c>
      <c r="BG32" s="4">
        <f t="shared" si="35"/>
        <v>638.76160253638045</v>
      </c>
      <c r="BH32" s="4">
        <f t="shared" si="36"/>
        <v>50</v>
      </c>
      <c r="BI32">
        <f t="shared" si="37"/>
        <v>56.106776035748133</v>
      </c>
      <c r="BJ32">
        <f t="shared" si="38"/>
        <v>30.272840567380207</v>
      </c>
      <c r="BL32" s="40"/>
    </row>
    <row r="33" spans="2:64">
      <c r="B33" s="299" t="s">
        <v>91</v>
      </c>
      <c r="C33" s="299"/>
      <c r="D33" s="299"/>
      <c r="E33" s="299"/>
      <c r="G33" s="288" t="s">
        <v>208</v>
      </c>
      <c r="H33" s="288"/>
      <c r="I33" s="288"/>
      <c r="J33" s="288"/>
      <c r="K33" s="288"/>
      <c r="O33" s="195">
        <f t="shared" si="39"/>
        <v>30</v>
      </c>
      <c r="P33" s="138">
        <f t="shared" si="5"/>
        <v>11.375</v>
      </c>
      <c r="Q33" s="146"/>
      <c r="R33" s="56">
        <f t="shared" si="6"/>
        <v>21.119028106583002</v>
      </c>
      <c r="S33" s="56">
        <f t="shared" si="7"/>
        <v>0.3987306660669066</v>
      </c>
      <c r="T33" s="56">
        <f t="shared" si="8"/>
        <v>21.517758772649909</v>
      </c>
      <c r="U33" s="154">
        <f t="shared" si="0"/>
        <v>137.3127033006939</v>
      </c>
      <c r="V33" s="149">
        <f t="shared" si="9"/>
        <v>5.8711767114464459</v>
      </c>
      <c r="W33" s="162">
        <f t="shared" si="10"/>
        <v>11.909346705111545</v>
      </c>
      <c r="X33" s="4">
        <f t="shared" si="40"/>
        <v>98.884469621775153</v>
      </c>
      <c r="Y33" s="4">
        <f t="shared" si="11"/>
        <v>6.0218489064379064</v>
      </c>
      <c r="Z33" s="4">
        <f t="shared" si="12"/>
        <v>50.000000000000149</v>
      </c>
      <c r="AA33" s="4">
        <f t="shared" si="46"/>
        <v>15.594597089547822</v>
      </c>
      <c r="AB33" s="4">
        <f t="shared" si="47"/>
        <v>5.9231616831020872</v>
      </c>
      <c r="AD33" s="192">
        <f t="shared" si="48"/>
        <v>30</v>
      </c>
      <c r="AE33" s="202">
        <f t="shared" si="41"/>
        <v>97</v>
      </c>
      <c r="AG33">
        <f t="shared" si="15"/>
        <v>39.735434685324897</v>
      </c>
      <c r="AH33">
        <f t="shared" si="16"/>
        <v>3.4001648007463685</v>
      </c>
      <c r="AI33" s="40">
        <f t="shared" si="17"/>
        <v>43.135599486071264</v>
      </c>
      <c r="AJ33" s="88">
        <f t="shared" si="1"/>
        <v>135.69486258727252</v>
      </c>
      <c r="AK33" s="199">
        <f t="shared" si="18"/>
        <v>4.8734118654639769</v>
      </c>
      <c r="AL33" s="213">
        <f t="shared" si="19"/>
        <v>143.47623585665335</v>
      </c>
      <c r="AM33">
        <f t="shared" si="20"/>
        <v>988.84469621774986</v>
      </c>
      <c r="AN33" s="215">
        <f t="shared" si="2"/>
        <v>14.347623585665307</v>
      </c>
      <c r="AO33" s="63">
        <f t="shared" si="21"/>
        <v>98.884469621774798</v>
      </c>
      <c r="AP33" s="63">
        <f t="shared" si="22"/>
        <v>7.2547406284039457</v>
      </c>
      <c r="AQ33" s="63">
        <f t="shared" si="23"/>
        <v>50</v>
      </c>
      <c r="AR33" s="63">
        <f t="shared" si="44"/>
        <v>17.21243780296917</v>
      </c>
      <c r="AS33" s="63">
        <f t="shared" si="45"/>
        <v>25.923161683102094</v>
      </c>
      <c r="AU33" s="192">
        <f t="shared" si="42"/>
        <v>30</v>
      </c>
      <c r="AV33" s="202">
        <f t="shared" si="43"/>
        <v>833</v>
      </c>
      <c r="AW33" s="192"/>
      <c r="AX33" s="229">
        <f t="shared" si="26"/>
        <v>58.412900028135752</v>
      </c>
      <c r="AY33" s="229">
        <f t="shared" si="27"/>
        <v>29.199353391976544</v>
      </c>
      <c r="AZ33" s="229">
        <f t="shared" si="28"/>
        <v>87.612253420112296</v>
      </c>
      <c r="BA33" s="53">
        <f t="shared" si="29"/>
        <v>95.56788753750962</v>
      </c>
      <c r="BB33" s="198">
        <f t="shared" si="30"/>
        <v>4.8026878855870078E-2</v>
      </c>
      <c r="BC33" s="211">
        <f t="shared" si="31"/>
        <v>24022.194058281137</v>
      </c>
      <c r="BD33" s="229">
        <f t="shared" si="32"/>
        <v>1631.5937487592846</v>
      </c>
      <c r="BE33" s="4">
        <f t="shared" si="33"/>
        <v>1455.8905489867363</v>
      </c>
      <c r="BF33" s="4">
        <f t="shared" si="34"/>
        <v>98.884469621774869</v>
      </c>
      <c r="BG33" s="4">
        <f t="shared" si="35"/>
        <v>736.1573331764838</v>
      </c>
      <c r="BH33" s="4">
        <f t="shared" si="36"/>
        <v>50</v>
      </c>
      <c r="BI33">
        <f t="shared" si="37"/>
        <v>57.339412852732096</v>
      </c>
      <c r="BJ33">
        <f t="shared" si="38"/>
        <v>30.2728405673802</v>
      </c>
      <c r="BL33" s="40"/>
    </row>
    <row r="34" spans="2:64">
      <c r="B34" s="300" t="s">
        <v>192</v>
      </c>
      <c r="C34" s="301"/>
      <c r="D34" s="193">
        <v>3.2</v>
      </c>
      <c r="E34" s="191" t="s">
        <v>11</v>
      </c>
      <c r="G34" s="285">
        <v>1</v>
      </c>
      <c r="H34" s="285"/>
      <c r="I34" s="291" t="s">
        <v>49</v>
      </c>
      <c r="J34" s="128">
        <f>J30*$D$11</f>
        <v>0.99999999999999989</v>
      </c>
      <c r="K34" s="122" t="s">
        <v>5</v>
      </c>
      <c r="O34" s="195">
        <f t="shared" si="39"/>
        <v>31</v>
      </c>
      <c r="P34" s="138">
        <f t="shared" si="5"/>
        <v>11.75</v>
      </c>
      <c r="Q34" s="146"/>
      <c r="R34" s="56">
        <f t="shared" si="6"/>
        <v>21.400757332155102</v>
      </c>
      <c r="S34" s="56">
        <f t="shared" si="7"/>
        <v>0.41187563308010133</v>
      </c>
      <c r="T34" s="56">
        <f t="shared" si="8"/>
        <v>21.812632965235203</v>
      </c>
      <c r="U34" s="154">
        <f t="shared" si="0"/>
        <v>137.0178291081086</v>
      </c>
      <c r="V34" s="149">
        <f t="shared" si="9"/>
        <v>5.675203544850894</v>
      </c>
      <c r="W34" s="162">
        <f t="shared" si="10"/>
        <v>12.320594049359229</v>
      </c>
      <c r="X34" s="4">
        <f t="shared" si="40"/>
        <v>98.884469621775111</v>
      </c>
      <c r="Y34" s="4">
        <f t="shared" si="11"/>
        <v>6.2297922497256204</v>
      </c>
      <c r="Z34" s="4">
        <f t="shared" si="12"/>
        <v>50.000000000000135</v>
      </c>
      <c r="AA34" s="4">
        <f t="shared" si="46"/>
        <v>15.889471282133112</v>
      </c>
      <c r="AB34" s="4">
        <f t="shared" si="47"/>
        <v>5.9231616831020908</v>
      </c>
      <c r="AD34" s="192">
        <f t="shared" si="48"/>
        <v>31</v>
      </c>
      <c r="AE34" s="202">
        <f t="shared" si="41"/>
        <v>100</v>
      </c>
      <c r="AG34">
        <f t="shared" si="15"/>
        <v>40</v>
      </c>
      <c r="AH34">
        <f t="shared" si="16"/>
        <v>3.5053245368519264</v>
      </c>
      <c r="AI34" s="40">
        <f t="shared" si="17"/>
        <v>43.50532453685193</v>
      </c>
      <c r="AJ34" s="88">
        <f t="shared" si="1"/>
        <v>135.32513753649187</v>
      </c>
      <c r="AK34" s="199">
        <f t="shared" si="18"/>
        <v>4.6703224231918892</v>
      </c>
      <c r="AL34" s="213">
        <f t="shared" si="19"/>
        <v>149.71531446388832</v>
      </c>
      <c r="AM34">
        <f t="shared" si="20"/>
        <v>988.84469621775008</v>
      </c>
      <c r="AN34" s="215">
        <f t="shared" si="2"/>
        <v>14.971531446388804</v>
      </c>
      <c r="AO34" s="63">
        <f t="shared" si="21"/>
        <v>98.884469621774826</v>
      </c>
      <c r="AP34" s="63">
        <f t="shared" si="22"/>
        <v>7.5702137573542698</v>
      </c>
      <c r="AQ34" s="63">
        <f t="shared" si="23"/>
        <v>49.999999999999993</v>
      </c>
      <c r="AR34" s="63">
        <f t="shared" si="44"/>
        <v>17.582162853749825</v>
      </c>
      <c r="AS34" s="63">
        <f t="shared" si="45"/>
        <v>25.923161683102105</v>
      </c>
      <c r="AU34" s="192">
        <f t="shared" si="42"/>
        <v>31</v>
      </c>
      <c r="AV34" s="202">
        <f t="shared" si="43"/>
        <v>860</v>
      </c>
      <c r="AW34" s="192"/>
      <c r="AX34" s="229">
        <f t="shared" si="26"/>
        <v>58.68996902487136</v>
      </c>
      <c r="AY34" s="229">
        <f t="shared" si="27"/>
        <v>30.145791016926566</v>
      </c>
      <c r="AZ34" s="229">
        <f t="shared" si="28"/>
        <v>88.835760041797926</v>
      </c>
      <c r="BA34" s="53">
        <f t="shared" si="29"/>
        <v>94.34438091582399</v>
      </c>
      <c r="BB34" s="198">
        <f t="shared" si="30"/>
        <v>4.1716612256504443E-2</v>
      </c>
      <c r="BC34" s="211">
        <f t="shared" si="31"/>
        <v>27655.913111913444</v>
      </c>
      <c r="BD34" s="229">
        <f t="shared" si="32"/>
        <v>1631.5937487592848</v>
      </c>
      <c r="BE34" s="4">
        <f t="shared" si="33"/>
        <v>1676.1159461765733</v>
      </c>
      <c r="BF34" s="4">
        <f t="shared" si="34"/>
        <v>98.884469621774883</v>
      </c>
      <c r="BG34" s="4">
        <f t="shared" si="35"/>
        <v>847.51222946716575</v>
      </c>
      <c r="BH34" s="4">
        <f t="shared" si="36"/>
        <v>50</v>
      </c>
      <c r="BI34">
        <f t="shared" si="37"/>
        <v>58.562919474417718</v>
      </c>
      <c r="BJ34">
        <f t="shared" si="38"/>
        <v>30.272840567380207</v>
      </c>
      <c r="BL34" s="40"/>
    </row>
    <row r="35" spans="2:64">
      <c r="B35" s="302"/>
      <c r="C35" s="303"/>
      <c r="D35" s="193">
        <f>D34*1000</f>
        <v>3200</v>
      </c>
      <c r="E35" s="191" t="s">
        <v>31</v>
      </c>
      <c r="G35" s="285">
        <v>2</v>
      </c>
      <c r="H35" s="285"/>
      <c r="I35" s="291"/>
      <c r="J35" s="128">
        <f>J31*$D$11</f>
        <v>99.999999999999972</v>
      </c>
      <c r="K35" s="122" t="s">
        <v>5</v>
      </c>
      <c r="O35" s="195">
        <f t="shared" si="39"/>
        <v>32</v>
      </c>
      <c r="P35" s="138">
        <f t="shared" si="5"/>
        <v>12.125</v>
      </c>
      <c r="Q35" s="146"/>
      <c r="R35" s="56">
        <f t="shared" si="6"/>
        <v>21.673634945486025</v>
      </c>
      <c r="S35" s="56">
        <f t="shared" si="7"/>
        <v>0.42502060009329606</v>
      </c>
      <c r="T35" s="56">
        <f t="shared" si="8"/>
        <v>22.098655545579323</v>
      </c>
      <c r="U35" s="154">
        <f t="shared" si="0"/>
        <v>136.73180652776446</v>
      </c>
      <c r="V35" s="149">
        <f t="shared" si="9"/>
        <v>5.4913650256633204</v>
      </c>
      <c r="W35" s="162">
        <f t="shared" si="10"/>
        <v>12.733059757786917</v>
      </c>
      <c r="X35" s="4">
        <f t="shared" si="40"/>
        <v>98.884469621774841</v>
      </c>
      <c r="Y35" s="4">
        <f t="shared" si="11"/>
        <v>6.4383516473769076</v>
      </c>
      <c r="Z35" s="4">
        <f t="shared" si="12"/>
        <v>50</v>
      </c>
      <c r="AA35" s="4">
        <f t="shared" si="46"/>
        <v>16.175493862477232</v>
      </c>
      <c r="AB35" s="4">
        <f t="shared" si="47"/>
        <v>5.9231616831020908</v>
      </c>
      <c r="AD35" s="192">
        <f t="shared" si="48"/>
        <v>32</v>
      </c>
      <c r="AE35" s="202">
        <f t="shared" si="41"/>
        <v>103</v>
      </c>
      <c r="AG35">
        <f t="shared" si="15"/>
        <v>40.256744494103444</v>
      </c>
      <c r="AH35">
        <f t="shared" si="16"/>
        <v>3.6104842729574838</v>
      </c>
      <c r="AI35" s="40">
        <f t="shared" si="17"/>
        <v>43.867228767060929</v>
      </c>
      <c r="AJ35" s="88">
        <f t="shared" si="1"/>
        <v>134.96323330628286</v>
      </c>
      <c r="AK35" s="199">
        <f t="shared" si="18"/>
        <v>4.4797280720776724</v>
      </c>
      <c r="AL35" s="213">
        <f t="shared" si="19"/>
        <v>156.08509690447082</v>
      </c>
      <c r="AM35">
        <f t="shared" si="20"/>
        <v>988.84469621774883</v>
      </c>
      <c r="AN35" s="215">
        <f t="shared" si="2"/>
        <v>15.608509690447052</v>
      </c>
      <c r="AO35" s="63">
        <f t="shared" si="21"/>
        <v>98.884469621774699</v>
      </c>
      <c r="AP35" s="63">
        <f t="shared" si="22"/>
        <v>7.8922958024391345</v>
      </c>
      <c r="AQ35" s="63">
        <f t="shared" si="23"/>
        <v>49.999999999999993</v>
      </c>
      <c r="AR35" s="63">
        <f t="shared" si="44"/>
        <v>17.944067083958835</v>
      </c>
      <c r="AS35" s="63">
        <f t="shared" si="45"/>
        <v>25.923161683102094</v>
      </c>
      <c r="AU35" s="192">
        <f t="shared" si="42"/>
        <v>32</v>
      </c>
      <c r="AV35" s="202">
        <f t="shared" si="43"/>
        <v>887</v>
      </c>
      <c r="AW35" s="192"/>
      <c r="AX35" s="229">
        <f t="shared" si="26"/>
        <v>58.958472396634527</v>
      </c>
      <c r="AY35" s="229">
        <f t="shared" si="27"/>
        <v>31.092228641876588</v>
      </c>
      <c r="AZ35" s="229">
        <f t="shared" si="28"/>
        <v>90.050701038511107</v>
      </c>
      <c r="BA35" s="53">
        <f t="shared" si="29"/>
        <v>93.129439919110808</v>
      </c>
      <c r="BB35" s="198">
        <f t="shared" si="30"/>
        <v>3.6271204918129345E-2</v>
      </c>
      <c r="BC35" s="211">
        <f t="shared" si="31"/>
        <v>31807.903996942037</v>
      </c>
      <c r="BD35" s="229">
        <f t="shared" si="32"/>
        <v>1631.5937487592844</v>
      </c>
      <c r="BE35" s="4">
        <f t="shared" si="33"/>
        <v>1927.7517573904277</v>
      </c>
      <c r="BF35" s="4">
        <f t="shared" si="34"/>
        <v>98.884469621774869</v>
      </c>
      <c r="BG35" s="4">
        <f t="shared" si="35"/>
        <v>974.74950554112434</v>
      </c>
      <c r="BH35" s="4">
        <f t="shared" si="36"/>
        <v>50.000000000000007</v>
      </c>
      <c r="BI35">
        <f t="shared" si="37"/>
        <v>59.777860471130893</v>
      </c>
      <c r="BJ35">
        <f t="shared" si="38"/>
        <v>30.272840567380214</v>
      </c>
      <c r="BL35" s="40"/>
    </row>
    <row r="36" spans="2:64">
      <c r="B36" s="299" t="s">
        <v>104</v>
      </c>
      <c r="C36" s="299"/>
      <c r="D36" s="299"/>
      <c r="E36" s="299"/>
      <c r="G36" s="285">
        <v>3</v>
      </c>
      <c r="H36" s="285"/>
      <c r="I36" s="291"/>
      <c r="J36" s="128">
        <f>J32*$D$11</f>
        <v>272.24999999999994</v>
      </c>
      <c r="K36" s="122" t="s">
        <v>5</v>
      </c>
      <c r="O36" s="195">
        <f t="shared" si="39"/>
        <v>33</v>
      </c>
      <c r="P36" s="138">
        <f t="shared" si="5"/>
        <v>12.5</v>
      </c>
      <c r="Q36" s="146"/>
      <c r="R36" s="56">
        <f t="shared" si="6"/>
        <v>21.938200260161128</v>
      </c>
      <c r="S36" s="56">
        <f t="shared" si="7"/>
        <v>0.43816556710649079</v>
      </c>
      <c r="T36" s="56">
        <f t="shared" si="8"/>
        <v>22.37636582726762</v>
      </c>
      <c r="U36" s="154">
        <f t="shared" si="0"/>
        <v>136.45409624607618</v>
      </c>
      <c r="V36" s="149">
        <f t="shared" si="9"/>
        <v>5.3185690171406872</v>
      </c>
      <c r="W36" s="162">
        <f t="shared" si="10"/>
        <v>13.14674657755647</v>
      </c>
      <c r="X36" s="4">
        <f t="shared" si="40"/>
        <v>98.88446962177494</v>
      </c>
      <c r="Y36" s="4">
        <f t="shared" si="11"/>
        <v>6.6475284884682697</v>
      </c>
      <c r="Z36" s="4">
        <f t="shared" si="12"/>
        <v>50.000000000000043</v>
      </c>
      <c r="AA36" s="4">
        <f t="shared" si="46"/>
        <v>16.453204144165529</v>
      </c>
      <c r="AB36" s="4">
        <f t="shared" si="47"/>
        <v>5.9231616831020908</v>
      </c>
      <c r="AD36" s="192">
        <f t="shared" si="48"/>
        <v>33</v>
      </c>
      <c r="AE36" s="202">
        <f t="shared" si="41"/>
        <v>106</v>
      </c>
      <c r="AG36">
        <f t="shared" si="15"/>
        <v>40.506117305295405</v>
      </c>
      <c r="AH36">
        <f t="shared" si="16"/>
        <v>3.715644009063042</v>
      </c>
      <c r="AI36" s="40">
        <f t="shared" si="17"/>
        <v>44.221761314358446</v>
      </c>
      <c r="AJ36" s="88">
        <f t="shared" si="1"/>
        <v>134.60870075898535</v>
      </c>
      <c r="AK36" s="199">
        <f t="shared" si="18"/>
        <v>4.3005601362855232</v>
      </c>
      <c r="AL36" s="213">
        <f t="shared" si="19"/>
        <v>162.58784160145501</v>
      </c>
      <c r="AM36">
        <f t="shared" si="20"/>
        <v>988.84469621774986</v>
      </c>
      <c r="AN36" s="215">
        <f t="shared" si="2"/>
        <v>16.258784160145471</v>
      </c>
      <c r="AO36" s="63">
        <f t="shared" si="21"/>
        <v>98.884469621774798</v>
      </c>
      <c r="AP36" s="63">
        <f t="shared" si="22"/>
        <v>8.2211009586915029</v>
      </c>
      <c r="AQ36" s="63">
        <f t="shared" si="23"/>
        <v>50.000000000000007</v>
      </c>
      <c r="AR36" s="63">
        <f t="shared" si="44"/>
        <v>18.298599631256348</v>
      </c>
      <c r="AS36" s="63">
        <f t="shared" si="45"/>
        <v>25.923161683102098</v>
      </c>
      <c r="AU36" s="192">
        <f t="shared" si="42"/>
        <v>33</v>
      </c>
      <c r="AV36" s="202">
        <f t="shared" si="43"/>
        <v>914</v>
      </c>
      <c r="AW36" s="192"/>
      <c r="AX36" s="229">
        <f t="shared" si="26"/>
        <v>59.218923914676623</v>
      </c>
      <c r="AY36" s="229">
        <f t="shared" si="27"/>
        <v>32.03866626682661</v>
      </c>
      <c r="AZ36" s="229">
        <f t="shared" si="28"/>
        <v>91.257590181503232</v>
      </c>
      <c r="BA36" s="53">
        <f t="shared" si="29"/>
        <v>91.922550776118683</v>
      </c>
      <c r="BB36" s="198">
        <f t="shared" si="30"/>
        <v>3.156585271594077E-2</v>
      </c>
      <c r="BC36" s="211">
        <f t="shared" si="31"/>
        <v>36549.337484130359</v>
      </c>
      <c r="BD36" s="229">
        <f t="shared" si="32"/>
        <v>1631.5937487592873</v>
      </c>
      <c r="BE36" s="4">
        <f t="shared" si="33"/>
        <v>2215.1113626745687</v>
      </c>
      <c r="BF36" s="4">
        <f t="shared" si="34"/>
        <v>98.884469621775054</v>
      </c>
      <c r="BG36" s="4">
        <f t="shared" si="35"/>
        <v>1120.0501813617382</v>
      </c>
      <c r="BH36" s="4">
        <f t="shared" si="36"/>
        <v>50</v>
      </c>
      <c r="BI36">
        <f t="shared" si="37"/>
        <v>60.984749614123011</v>
      </c>
      <c r="BJ36">
        <f t="shared" si="38"/>
        <v>30.272840567380221</v>
      </c>
      <c r="BL36" s="40"/>
    </row>
    <row r="37" spans="2:64">
      <c r="B37" s="9">
        <v>1</v>
      </c>
      <c r="C37" s="291" t="s">
        <v>195</v>
      </c>
      <c r="D37" s="194">
        <v>500</v>
      </c>
      <c r="E37" s="191" t="s">
        <v>30</v>
      </c>
      <c r="G37" s="292" t="s">
        <v>215</v>
      </c>
      <c r="H37" s="293"/>
      <c r="I37" s="293"/>
      <c r="J37" s="293"/>
      <c r="K37" s="294"/>
      <c r="O37" s="195">
        <f t="shared" si="39"/>
        <v>34</v>
      </c>
      <c r="P37" s="138">
        <f t="shared" si="5"/>
        <v>12.875</v>
      </c>
      <c r="Q37" s="146"/>
      <c r="R37" s="56">
        <f t="shared" si="6"/>
        <v>22.194944754264576</v>
      </c>
      <c r="S37" s="56">
        <f t="shared" si="7"/>
        <v>0.45131053411968547</v>
      </c>
      <c r="T37" s="56">
        <f t="shared" si="8"/>
        <v>22.64625528838426</v>
      </c>
      <c r="U37" s="154">
        <f t="shared" si="0"/>
        <v>136.18420678495954</v>
      </c>
      <c r="V37" s="149">
        <f t="shared" si="9"/>
        <v>5.1558506217992219</v>
      </c>
      <c r="W37" s="162">
        <f t="shared" si="10"/>
        <v>13.561657261356387</v>
      </c>
      <c r="X37" s="4">
        <f t="shared" si="40"/>
        <v>98.884469621775011</v>
      </c>
      <c r="Y37" s="4">
        <f t="shared" si="11"/>
        <v>6.8573241648707004</v>
      </c>
      <c r="Z37" s="4">
        <f t="shared" si="12"/>
        <v>50.000000000000078</v>
      </c>
      <c r="AA37" s="4">
        <f t="shared" si="46"/>
        <v>16.72309360528217</v>
      </c>
      <c r="AB37" s="4">
        <f t="shared" si="47"/>
        <v>5.9231616831020908</v>
      </c>
      <c r="AD37" s="192">
        <f t="shared" si="48"/>
        <v>34</v>
      </c>
      <c r="AE37" s="202">
        <f t="shared" si="41"/>
        <v>109</v>
      </c>
      <c r="AG37">
        <f t="shared" si="15"/>
        <v>40.748529958812476</v>
      </c>
      <c r="AH37">
        <f t="shared" si="16"/>
        <v>3.8208037451685999</v>
      </c>
      <c r="AI37" s="40">
        <f t="shared" si="17"/>
        <v>44.569333703981073</v>
      </c>
      <c r="AJ37" s="88">
        <f t="shared" si="1"/>
        <v>134.26112836936272</v>
      </c>
      <c r="AK37" s="199">
        <f t="shared" si="18"/>
        <v>4.1318676833175081</v>
      </c>
      <c r="AL37" s="213">
        <f t="shared" si="19"/>
        <v>169.22584260358349</v>
      </c>
      <c r="AM37">
        <f t="shared" si="20"/>
        <v>988.84469621774883</v>
      </c>
      <c r="AN37" s="215">
        <f t="shared" si="2"/>
        <v>16.922584260358317</v>
      </c>
      <c r="AO37" s="63">
        <f t="shared" si="21"/>
        <v>98.884469621774699</v>
      </c>
      <c r="AP37" s="63">
        <f t="shared" si="22"/>
        <v>8.5567452225237535</v>
      </c>
      <c r="AQ37" s="63">
        <f t="shared" si="23"/>
        <v>50</v>
      </c>
      <c r="AR37" s="63">
        <f t="shared" si="44"/>
        <v>18.646172020878975</v>
      </c>
      <c r="AS37" s="63">
        <f t="shared" si="45"/>
        <v>25.923161683102098</v>
      </c>
      <c r="AU37" s="192">
        <f t="shared" si="42"/>
        <v>34</v>
      </c>
      <c r="AV37" s="202">
        <f t="shared" si="43"/>
        <v>941</v>
      </c>
      <c r="AW37" s="192"/>
      <c r="AX37" s="229">
        <f t="shared" si="26"/>
        <v>59.471792468545139</v>
      </c>
      <c r="AY37" s="229">
        <f t="shared" si="27"/>
        <v>32.985103891776625</v>
      </c>
      <c r="AZ37" s="229">
        <f t="shared" si="28"/>
        <v>92.456896360321764</v>
      </c>
      <c r="BA37" s="53">
        <f t="shared" si="29"/>
        <v>90.723244597300152</v>
      </c>
      <c r="BB37" s="198">
        <f t="shared" si="30"/>
        <v>2.7494904582443289E-2</v>
      </c>
      <c r="BC37" s="211">
        <f t="shared" si="31"/>
        <v>41960.902262085518</v>
      </c>
      <c r="BD37" s="229">
        <f t="shared" si="32"/>
        <v>1631.5937487592844</v>
      </c>
      <c r="BE37" s="4">
        <f t="shared" si="33"/>
        <v>2543.084985580942</v>
      </c>
      <c r="BF37" s="4">
        <f t="shared" si="34"/>
        <v>98.884469621774869</v>
      </c>
      <c r="BG37" s="4">
        <f t="shared" si="35"/>
        <v>1285.8869523738344</v>
      </c>
      <c r="BH37" s="4">
        <f t="shared" si="36"/>
        <v>50</v>
      </c>
      <c r="BI37">
        <f t="shared" si="37"/>
        <v>62.184055792941564</v>
      </c>
      <c r="BJ37">
        <f t="shared" si="38"/>
        <v>30.2728405673802</v>
      </c>
      <c r="BL37" s="40"/>
    </row>
    <row r="38" spans="2:64">
      <c r="B38" s="9">
        <v>2</v>
      </c>
      <c r="C38" s="291"/>
      <c r="D38" s="194">
        <v>4000</v>
      </c>
      <c r="E38" s="191" t="s">
        <v>30</v>
      </c>
      <c r="G38" s="295"/>
      <c r="H38" s="295"/>
      <c r="I38" s="295"/>
      <c r="J38" s="132">
        <f>20*LOG10(D32*1000000)</f>
        <v>113.97940008672037</v>
      </c>
      <c r="K38" s="122" t="s">
        <v>13</v>
      </c>
      <c r="O38" s="195">
        <f t="shared" si="39"/>
        <v>35</v>
      </c>
      <c r="P38" s="138">
        <f t="shared" si="5"/>
        <v>13.25</v>
      </c>
      <c r="Q38" s="146"/>
      <c r="R38" s="56">
        <f t="shared" si="6"/>
        <v>22.444317565456533</v>
      </c>
      <c r="S38" s="56">
        <f t="shared" si="7"/>
        <v>0.46445550113288026</v>
      </c>
      <c r="T38" s="56">
        <f t="shared" si="8"/>
        <v>22.908773066589415</v>
      </c>
      <c r="U38" s="154">
        <f t="shared" si="0"/>
        <v>135.92168900675438</v>
      </c>
      <c r="V38" s="149">
        <f t="shared" si="9"/>
        <v>5.002354175858895</v>
      </c>
      <c r="W38" s="162">
        <f t="shared" si="10"/>
        <v>13.977794567412202</v>
      </c>
      <c r="X38" s="4">
        <f t="shared" si="40"/>
        <v>98.884469621774926</v>
      </c>
      <c r="Y38" s="4">
        <f t="shared" si="11"/>
        <v>7.0677400712549421</v>
      </c>
      <c r="Z38" s="4">
        <f t="shared" si="12"/>
        <v>50.000000000000043</v>
      </c>
      <c r="AA38" s="4">
        <f t="shared" si="46"/>
        <v>16.985611383487324</v>
      </c>
      <c r="AB38" s="4">
        <f t="shared" si="47"/>
        <v>5.9231616831020908</v>
      </c>
      <c r="AD38" s="192">
        <f t="shared" si="48"/>
        <v>35</v>
      </c>
      <c r="AE38" s="202">
        <f t="shared" si="41"/>
        <v>112</v>
      </c>
      <c r="AG38">
        <f t="shared" si="15"/>
        <v>40.984360453403632</v>
      </c>
      <c r="AH38">
        <f t="shared" si="16"/>
        <v>3.9259634812741577</v>
      </c>
      <c r="AI38" s="40">
        <f t="shared" si="17"/>
        <v>44.910323934677791</v>
      </c>
      <c r="AJ38" s="88">
        <f t="shared" si="1"/>
        <v>133.920138138666</v>
      </c>
      <c r="AK38" s="199">
        <f t="shared" si="18"/>
        <v>3.9728017537513742</v>
      </c>
      <c r="AL38" s="213">
        <f t="shared" si="19"/>
        <v>176.00143011809601</v>
      </c>
      <c r="AM38">
        <f t="shared" si="20"/>
        <v>988.84469621774895</v>
      </c>
      <c r="AN38" s="215">
        <f t="shared" si="2"/>
        <v>17.600143011809568</v>
      </c>
      <c r="AO38" s="63">
        <f t="shared" si="21"/>
        <v>98.884469621774713</v>
      </c>
      <c r="AP38" s="63">
        <f t="shared" si="22"/>
        <v>8.8993464186685358</v>
      </c>
      <c r="AQ38" s="63">
        <f t="shared" si="23"/>
        <v>50</v>
      </c>
      <c r="AR38" s="63">
        <f t="shared" si="44"/>
        <v>18.987162251575693</v>
      </c>
      <c r="AS38" s="63">
        <f t="shared" si="45"/>
        <v>25.923161683102098</v>
      </c>
      <c r="AU38" s="192">
        <f t="shared" si="42"/>
        <v>35</v>
      </c>
      <c r="AV38" s="202">
        <f t="shared" si="43"/>
        <v>968</v>
      </c>
      <c r="AW38" s="192"/>
      <c r="AX38" s="229">
        <f t="shared" si="26"/>
        <v>59.717507146167875</v>
      </c>
      <c r="AY38" s="229">
        <f t="shared" si="27"/>
        <v>33.931541516726647</v>
      </c>
      <c r="AZ38" s="229">
        <f t="shared" si="28"/>
        <v>93.649048662894529</v>
      </c>
      <c r="BA38" s="53">
        <f t="shared" si="29"/>
        <v>89.531092294727387</v>
      </c>
      <c r="BB38" s="198">
        <f t="shared" si="30"/>
        <v>2.3968706736488224E-2</v>
      </c>
      <c r="BC38" s="211">
        <f t="shared" si="31"/>
        <v>48134.05314576059</v>
      </c>
      <c r="BD38" s="229">
        <f t="shared" si="32"/>
        <v>1631.5937487592901</v>
      </c>
      <c r="BE38" s="4">
        <f t="shared" si="33"/>
        <v>2917.2153421673102</v>
      </c>
      <c r="BF38" s="4">
        <f t="shared" si="34"/>
        <v>98.884469621775224</v>
      </c>
      <c r="BG38" s="4">
        <f t="shared" si="35"/>
        <v>1475.0624407075316</v>
      </c>
      <c r="BH38" s="4">
        <f t="shared" si="36"/>
        <v>50</v>
      </c>
      <c r="BI38">
        <f t="shared" si="37"/>
        <v>63.376208095514308</v>
      </c>
      <c r="BJ38">
        <f t="shared" si="38"/>
        <v>30.272840567380221</v>
      </c>
      <c r="BL38" s="40"/>
    </row>
    <row r="39" spans="2:64">
      <c r="B39" s="9">
        <v>3</v>
      </c>
      <c r="C39" s="291"/>
      <c r="D39" s="194">
        <v>36000</v>
      </c>
      <c r="E39" s="191" t="s">
        <v>30</v>
      </c>
      <c r="G39" s="288" t="s">
        <v>216</v>
      </c>
      <c r="H39" s="288"/>
      <c r="I39" s="288"/>
      <c r="J39" s="133">
        <f>D5</f>
        <v>50</v>
      </c>
      <c r="K39" s="131" t="s">
        <v>217</v>
      </c>
      <c r="O39" s="195">
        <f t="shared" si="39"/>
        <v>36</v>
      </c>
      <c r="P39" s="138">
        <f t="shared" si="5"/>
        <v>13.625</v>
      </c>
      <c r="Q39" s="146"/>
      <c r="R39" s="56">
        <f t="shared" si="6"/>
        <v>22.686730218973601</v>
      </c>
      <c r="S39" s="56">
        <f t="shared" si="7"/>
        <v>0.47760046814607499</v>
      </c>
      <c r="T39" s="56">
        <f t="shared" si="8"/>
        <v>23.164330687119676</v>
      </c>
      <c r="U39" s="154">
        <f t="shared" si="0"/>
        <v>135.66613138622412</v>
      </c>
      <c r="V39" s="149">
        <f t="shared" si="9"/>
        <v>4.8573182170823239</v>
      </c>
      <c r="W39" s="162">
        <f t="shared" si="10"/>
        <v>14.395161259496955</v>
      </c>
      <c r="X39" s="4">
        <f t="shared" si="40"/>
        <v>98.884469621775054</v>
      </c>
      <c r="Y39" s="4">
        <f t="shared" si="11"/>
        <v>7.2787776050967814</v>
      </c>
      <c r="Z39" s="4">
        <f t="shared" si="12"/>
        <v>50.000000000000099</v>
      </c>
      <c r="AA39" s="4">
        <f t="shared" si="46"/>
        <v>17.241169004017586</v>
      </c>
      <c r="AB39" s="4">
        <f t="shared" si="47"/>
        <v>5.9231616831020908</v>
      </c>
      <c r="AD39" s="192">
        <f t="shared" si="48"/>
        <v>36</v>
      </c>
      <c r="AE39" s="202">
        <f t="shared" si="41"/>
        <v>115</v>
      </c>
      <c r="AG39">
        <f t="shared" si="15"/>
        <v>41.213956807072236</v>
      </c>
      <c r="AH39">
        <f t="shared" si="16"/>
        <v>4.0311232173797151</v>
      </c>
      <c r="AI39" s="40">
        <f t="shared" si="17"/>
        <v>45.245080024451951</v>
      </c>
      <c r="AJ39" s="88">
        <f t="shared" si="1"/>
        <v>133.58538204889186</v>
      </c>
      <c r="AK39" s="199">
        <f t="shared" si="18"/>
        <v>3.8226020593796486</v>
      </c>
      <c r="AL39" s="213">
        <f t="shared" si="19"/>
        <v>182.91697105123114</v>
      </c>
      <c r="AM39">
        <f t="shared" si="20"/>
        <v>988.84469621775168</v>
      </c>
      <c r="AN39" s="215">
        <f t="shared" si="2"/>
        <v>18.291697105123081</v>
      </c>
      <c r="AO39" s="63">
        <f t="shared" si="21"/>
        <v>98.884469621774983</v>
      </c>
      <c r="AP39" s="63">
        <f t="shared" si="22"/>
        <v>9.2490242275087926</v>
      </c>
      <c r="AQ39" s="63">
        <f t="shared" si="23"/>
        <v>50</v>
      </c>
      <c r="AR39" s="63">
        <f t="shared" si="44"/>
        <v>19.321918341349832</v>
      </c>
      <c r="AS39" s="63">
        <f t="shared" si="45"/>
        <v>25.923161683102119</v>
      </c>
      <c r="AU39" s="192">
        <f t="shared" si="42"/>
        <v>36</v>
      </c>
      <c r="AV39" s="202">
        <f t="shared" si="43"/>
        <v>995</v>
      </c>
      <c r="AW39" s="192"/>
      <c r="AX39" s="229">
        <f t="shared" si="26"/>
        <v>59.95646161491451</v>
      </c>
      <c r="AY39" s="229">
        <f t="shared" si="27"/>
        <v>34.877979141676668</v>
      </c>
      <c r="AZ39" s="229">
        <f t="shared" si="28"/>
        <v>94.834440756591178</v>
      </c>
      <c r="BA39" s="53">
        <f t="shared" si="29"/>
        <v>88.345700201030738</v>
      </c>
      <c r="BB39" s="198">
        <f t="shared" si="30"/>
        <v>2.0911009390080646E-2</v>
      </c>
      <c r="BC39" s="211">
        <f t="shared" si="31"/>
        <v>55172.420535402132</v>
      </c>
      <c r="BD39" s="229">
        <f t="shared" si="32"/>
        <v>1631.5937487592876</v>
      </c>
      <c r="BE39" s="4">
        <f t="shared" si="33"/>
        <v>3343.7830627516464</v>
      </c>
      <c r="BF39" s="4">
        <f t="shared" si="34"/>
        <v>98.884469621775068</v>
      </c>
      <c r="BG39" s="4">
        <f t="shared" si="35"/>
        <v>1690.7523878832242</v>
      </c>
      <c r="BH39" s="4">
        <f t="shared" si="36"/>
        <v>50</v>
      </c>
      <c r="BI39">
        <f t="shared" si="37"/>
        <v>64.561600189210949</v>
      </c>
      <c r="BJ39">
        <f t="shared" si="38"/>
        <v>30.272840567380229</v>
      </c>
      <c r="BL39" s="40"/>
    </row>
    <row r="40" spans="2:64">
      <c r="B40" s="296" t="s">
        <v>193</v>
      </c>
      <c r="C40" s="297"/>
      <c r="D40" s="297"/>
      <c r="E40" s="298"/>
      <c r="G40" s="286"/>
      <c r="H40" s="289"/>
      <c r="I40" s="287"/>
      <c r="J40" s="132">
        <f>J38+20*LOG10(1/D5)</f>
        <v>80</v>
      </c>
      <c r="K40" s="122" t="s">
        <v>13</v>
      </c>
      <c r="O40" s="195">
        <f t="shared" si="39"/>
        <v>37</v>
      </c>
      <c r="P40" s="138">
        <f t="shared" si="5"/>
        <v>14</v>
      </c>
      <c r="Q40" s="146"/>
      <c r="R40" s="56">
        <f t="shared" si="6"/>
        <v>22.92256071356476</v>
      </c>
      <c r="S40" s="56">
        <f t="shared" si="7"/>
        <v>0.49074543515926972</v>
      </c>
      <c r="T40" s="56">
        <f t="shared" si="8"/>
        <v>23.413306148724029</v>
      </c>
      <c r="U40" s="154">
        <f t="shared" si="0"/>
        <v>135.41715592461978</v>
      </c>
      <c r="V40" s="149">
        <f t="shared" si="9"/>
        <v>4.7200628684966448</v>
      </c>
      <c r="W40" s="162">
        <f t="shared" si="10"/>
        <v>14.81376010694167</v>
      </c>
      <c r="X40" s="4">
        <f t="shared" si="40"/>
        <v>98.884469621775011</v>
      </c>
      <c r="Y40" s="4">
        <f t="shared" si="11"/>
        <v>7.4904381666823481</v>
      </c>
      <c r="Z40" s="4">
        <f t="shared" si="12"/>
        <v>50.000000000000078</v>
      </c>
      <c r="AA40" s="4">
        <f t="shared" si="46"/>
        <v>17.490144465621938</v>
      </c>
      <c r="AB40" s="4">
        <f t="shared" si="47"/>
        <v>5.9231616831020908</v>
      </c>
      <c r="AD40" s="192">
        <f t="shared" si="48"/>
        <v>37</v>
      </c>
      <c r="AE40" s="202">
        <f t="shared" si="41"/>
        <v>118</v>
      </c>
      <c r="AG40">
        <f t="shared" si="15"/>
        <v>41.437640146122511</v>
      </c>
      <c r="AH40">
        <f t="shared" si="16"/>
        <v>4.1362829534852725</v>
      </c>
      <c r="AI40" s="40">
        <f t="shared" si="17"/>
        <v>45.573923099607782</v>
      </c>
      <c r="AJ40" s="88">
        <f t="shared" si="1"/>
        <v>133.25653897373601</v>
      </c>
      <c r="AK40" s="199">
        <f t="shared" si="18"/>
        <v>3.6805857104581641</v>
      </c>
      <c r="AL40" s="213">
        <f t="shared" si="19"/>
        <v>189.97486955653125</v>
      </c>
      <c r="AM40">
        <f t="shared" si="20"/>
        <v>988.84469621775008</v>
      </c>
      <c r="AN40" s="215">
        <f t="shared" si="2"/>
        <v>18.997486955653088</v>
      </c>
      <c r="AO40" s="63">
        <f t="shared" si="21"/>
        <v>98.884469621774826</v>
      </c>
      <c r="AP40" s="63">
        <f t="shared" si="22"/>
        <v>9.6059002128023518</v>
      </c>
      <c r="AQ40" s="63">
        <f t="shared" si="23"/>
        <v>50</v>
      </c>
      <c r="AR40" s="63">
        <f t="shared" si="44"/>
        <v>19.650761416505677</v>
      </c>
      <c r="AS40" s="63">
        <f t="shared" si="45"/>
        <v>25.923161683102105</v>
      </c>
      <c r="AU40" s="192">
        <f t="shared" si="42"/>
        <v>37</v>
      </c>
      <c r="AV40" s="202">
        <f t="shared" si="43"/>
        <v>1022</v>
      </c>
      <c r="AW40" s="192"/>
      <c r="AX40" s="229">
        <f t="shared" si="26"/>
        <v>60.189017915973878</v>
      </c>
      <c r="AY40" s="229">
        <f t="shared" si="27"/>
        <v>35.82441676662669</v>
      </c>
      <c r="AZ40" s="229">
        <f t="shared" si="28"/>
        <v>96.013434682600575</v>
      </c>
      <c r="BA40" s="53">
        <f t="shared" si="29"/>
        <v>87.16670627502134</v>
      </c>
      <c r="BB40" s="198">
        <f t="shared" si="30"/>
        <v>1.8256827020947972E-2</v>
      </c>
      <c r="BC40" s="211">
        <f t="shared" si="31"/>
        <v>63193.401710247927</v>
      </c>
      <c r="BD40" s="229">
        <f t="shared" si="32"/>
        <v>1631.5937487592903</v>
      </c>
      <c r="BE40" s="4">
        <f t="shared" si="33"/>
        <v>3829.9031339544222</v>
      </c>
      <c r="BF40" s="4">
        <f t="shared" si="34"/>
        <v>98.884469621775224</v>
      </c>
      <c r="BG40" s="4">
        <f t="shared" si="35"/>
        <v>1936.5544198211708</v>
      </c>
      <c r="BH40" s="4">
        <f t="shared" si="36"/>
        <v>50</v>
      </c>
      <c r="BI40">
        <f t="shared" si="37"/>
        <v>65.740594115220347</v>
      </c>
      <c r="BJ40">
        <f t="shared" si="38"/>
        <v>30.272840567380229</v>
      </c>
      <c r="BL40" s="40"/>
    </row>
    <row r="41" spans="2:64">
      <c r="B41" s="286" t="s">
        <v>194</v>
      </c>
      <c r="C41" s="287"/>
      <c r="D41" s="193">
        <v>-30</v>
      </c>
      <c r="E41" s="191" t="s">
        <v>13</v>
      </c>
      <c r="G41" s="288" t="s">
        <v>216</v>
      </c>
      <c r="H41" s="288"/>
      <c r="I41" s="288"/>
      <c r="J41" s="133">
        <f>D5</f>
        <v>50</v>
      </c>
      <c r="K41" s="131" t="s">
        <v>218</v>
      </c>
      <c r="L41" s="242">
        <f>D34</f>
        <v>3.2</v>
      </c>
      <c r="M41" s="131" t="s">
        <v>11</v>
      </c>
      <c r="N41" s="174"/>
      <c r="O41" s="195">
        <f t="shared" si="39"/>
        <v>38</v>
      </c>
      <c r="P41" s="138">
        <f t="shared" si="5"/>
        <v>14.375</v>
      </c>
      <c r="Q41" s="146"/>
      <c r="R41" s="56">
        <f t="shared" si="6"/>
        <v>23.152157067233361</v>
      </c>
      <c r="S41" s="56">
        <f t="shared" si="7"/>
        <v>0.50389040217246439</v>
      </c>
      <c r="T41" s="56">
        <f t="shared" si="8"/>
        <v>23.656047469405827</v>
      </c>
      <c r="U41" s="154">
        <f t="shared" si="0"/>
        <v>135.17441460393798</v>
      </c>
      <c r="V41" s="149">
        <f t="shared" si="9"/>
        <v>4.5899791968372936</v>
      </c>
      <c r="W41" s="162">
        <f t="shared" si="10"/>
        <v>15.233593884645856</v>
      </c>
      <c r="X41" s="4">
        <f t="shared" si="40"/>
        <v>98.884469621775054</v>
      </c>
      <c r="Y41" s="4">
        <f t="shared" si="11"/>
        <v>7.7027231591134226</v>
      </c>
      <c r="Z41" s="4">
        <f t="shared" si="12"/>
        <v>50.000000000000107</v>
      </c>
      <c r="AA41" s="4">
        <f t="shared" si="46"/>
        <v>17.73288578630374</v>
      </c>
      <c r="AB41" s="4">
        <f t="shared" si="47"/>
        <v>5.9231616831020872</v>
      </c>
      <c r="AD41" s="195">
        <v>38</v>
      </c>
      <c r="AE41" s="202">
        <f t="shared" si="41"/>
        <v>121</v>
      </c>
      <c r="AG41">
        <f t="shared" si="15"/>
        <v>41.655707406329007</v>
      </c>
      <c r="AH41">
        <f t="shared" si="16"/>
        <v>4.2414426895908308</v>
      </c>
      <c r="AI41" s="40">
        <f t="shared" si="17"/>
        <v>45.897150095919841</v>
      </c>
      <c r="AJ41" s="88">
        <f t="shared" si="1"/>
        <v>132.93331197742395</v>
      </c>
      <c r="AK41" s="199">
        <f t="shared" si="18"/>
        <v>3.5461376199044987</v>
      </c>
      <c r="AL41" s="213">
        <f t="shared" si="19"/>
        <v>197.17756759106075</v>
      </c>
      <c r="AM41">
        <f t="shared" si="20"/>
        <v>988.84469621775008</v>
      </c>
      <c r="AN41" s="215">
        <f t="shared" si="2"/>
        <v>19.717756759106038</v>
      </c>
      <c r="AO41" s="63">
        <f t="shared" si="21"/>
        <v>98.884469621774826</v>
      </c>
      <c r="AP41" s="63">
        <f t="shared" si="22"/>
        <v>9.9700978498063844</v>
      </c>
      <c r="AQ41" s="63">
        <f t="shared" si="23"/>
        <v>50</v>
      </c>
      <c r="AR41" s="63">
        <f t="shared" si="44"/>
        <v>19.973988412817736</v>
      </c>
      <c r="AS41" s="63">
        <f t="shared" si="45"/>
        <v>25.923161683102105</v>
      </c>
      <c r="AU41" s="192">
        <f t="shared" si="42"/>
        <v>38</v>
      </c>
      <c r="AV41" s="202">
        <f t="shared" si="43"/>
        <v>1049</v>
      </c>
      <c r="AW41" s="192"/>
      <c r="AX41" s="229">
        <f t="shared" si="26"/>
        <v>60.415509763871157</v>
      </c>
      <c r="AY41" s="229">
        <f t="shared" si="27"/>
        <v>36.770854391576705</v>
      </c>
      <c r="AZ41" s="229">
        <f t="shared" si="28"/>
        <v>97.186364155447862</v>
      </c>
      <c r="BA41" s="53">
        <f t="shared" si="29"/>
        <v>85.993776802174054</v>
      </c>
      <c r="BB41" s="198">
        <f t="shared" si="30"/>
        <v>1.5950666217021556E-2</v>
      </c>
      <c r="BC41" s="211">
        <f t="shared" si="31"/>
        <v>72329.957143614709</v>
      </c>
      <c r="BD41" s="229">
        <f t="shared" si="32"/>
        <v>1631.5937487592873</v>
      </c>
      <c r="BE41" s="4">
        <f t="shared" si="33"/>
        <v>4383.6337662796823</v>
      </c>
      <c r="BF41" s="4">
        <f t="shared" si="34"/>
        <v>98.884469621775054</v>
      </c>
      <c r="BG41" s="4">
        <f t="shared" si="35"/>
        <v>2216.5430947077534</v>
      </c>
      <c r="BH41" s="4">
        <f t="shared" si="36"/>
        <v>50</v>
      </c>
      <c r="BI41">
        <f t="shared" si="37"/>
        <v>66.913523588067648</v>
      </c>
      <c r="BJ41">
        <f t="shared" si="38"/>
        <v>30.272840567380214</v>
      </c>
      <c r="BL41" s="40"/>
    </row>
    <row r="42" spans="2:64">
      <c r="G42" s="286"/>
      <c r="H42" s="289"/>
      <c r="I42" s="287"/>
      <c r="J42" s="134">
        <f>J40+10*LOG10(D35)</f>
        <v>115.05149978319906</v>
      </c>
      <c r="K42" s="122" t="s">
        <v>13</v>
      </c>
      <c r="O42" s="195">
        <f t="shared" si="39"/>
        <v>39</v>
      </c>
      <c r="P42" s="138">
        <f t="shared" si="5"/>
        <v>14.75</v>
      </c>
      <c r="Q42" s="146"/>
      <c r="R42" s="56">
        <f t="shared" si="6"/>
        <v>23.375840406283636</v>
      </c>
      <c r="S42" s="56">
        <f t="shared" si="7"/>
        <v>0.51703536918565907</v>
      </c>
      <c r="T42" s="56">
        <f t="shared" si="8"/>
        <v>23.892875775469296</v>
      </c>
      <c r="U42" s="154">
        <f t="shared" si="0"/>
        <v>134.9375862978745</v>
      </c>
      <c r="V42" s="149">
        <f t="shared" si="9"/>
        <v>4.4665201942799326</v>
      </c>
      <c r="W42" s="162">
        <f t="shared" si="10"/>
        <v>15.654665373087994</v>
      </c>
      <c r="X42" s="4">
        <f t="shared" si="40"/>
        <v>98.884469621775082</v>
      </c>
      <c r="Y42" s="4">
        <f t="shared" si="11"/>
        <v>7.9156339883127407</v>
      </c>
      <c r="Z42" s="4">
        <f t="shared" si="12"/>
        <v>50.000000000000121</v>
      </c>
      <c r="AA42" s="4">
        <f t="shared" si="46"/>
        <v>17.969714092367209</v>
      </c>
      <c r="AB42" s="4">
        <f t="shared" si="47"/>
        <v>5.9231616831020872</v>
      </c>
      <c r="AD42" s="228">
        <f>AD41+1</f>
        <v>39</v>
      </c>
      <c r="AE42" s="202">
        <f t="shared" si="41"/>
        <v>124</v>
      </c>
      <c r="AG42">
        <f t="shared" ref="AG42:AG61" si="49">20*LOG(AE42)</f>
        <v>41.868433703244705</v>
      </c>
      <c r="AH42">
        <f t="shared" ref="AH42:AH61" si="50">2*$J$6*(AE42/1000)</f>
        <v>4.3466024256963882</v>
      </c>
      <c r="AI42" s="40">
        <f t="shared" ref="AI42:AI61" si="51">AG42+AH42</f>
        <v>46.215036128941094</v>
      </c>
      <c r="AJ42" s="88">
        <f t="shared" ref="AJ42:AJ61" si="52">$AF$4-(AG42+AH42)+$Q$8+$Q$10</f>
        <v>132.61542594440272</v>
      </c>
      <c r="AK42" s="199">
        <f t="shared" ref="AK42:AK61" si="53">POWER(10,(AJ42+$D$16)*0.05)*1000</f>
        <v>3.4187023004464185</v>
      </c>
      <c r="AL42" s="213">
        <f t="shared" ref="AL42:AL61" si="54">POWER(10,0.05*AI42)</f>
        <v>204.52754547964554</v>
      </c>
      <c r="AM42">
        <f t="shared" ref="AM42:AM61" si="55">AK42*POWER(2,0.5)*AL42</f>
        <v>988.84469621775156</v>
      </c>
      <c r="AN42" s="215">
        <f t="shared" ref="AN42:AN61" si="56">AL42*($X$4/$AM$4)</f>
        <v>20.452754547964517</v>
      </c>
      <c r="AO42" s="63">
        <f t="shared" ref="AO42:AO61" si="57">AK42*POWER(2,0.5)*AN42</f>
        <v>98.884469621774969</v>
      </c>
      <c r="AP42" s="63">
        <f t="shared" ref="AP42:AP61" si="58">AL42*(50/AM42)</f>
        <v>10.341742553807808</v>
      </c>
      <c r="AQ42" s="63">
        <f t="shared" ref="AQ42:AQ61" si="59">AK42*POWER(2,0.5)*AP42</f>
        <v>50</v>
      </c>
      <c r="AR42" s="63">
        <f t="shared" ref="AR42:AR61" si="60">20*LOG10(AP42)</f>
        <v>20.291874445838975</v>
      </c>
      <c r="AS42" s="63">
        <f t="shared" ref="AS42:AS61" si="61">AI42-AR42</f>
        <v>25.923161683102119</v>
      </c>
      <c r="AU42" s="192">
        <f t="shared" si="42"/>
        <v>39</v>
      </c>
      <c r="AV42" s="202">
        <f t="shared" si="43"/>
        <v>1076</v>
      </c>
      <c r="AW42" s="192"/>
      <c r="AX42" s="229">
        <f t="shared" si="26"/>
        <v>60.63624542660741</v>
      </c>
      <c r="AY42" s="229">
        <f t="shared" si="27"/>
        <v>37.717292016526727</v>
      </c>
      <c r="AZ42" s="229">
        <f t="shared" si="28"/>
        <v>98.353537443134144</v>
      </c>
      <c r="BA42" s="53">
        <f t="shared" si="29"/>
        <v>84.826603514487772</v>
      </c>
      <c r="BB42" s="198">
        <f t="shared" si="30"/>
        <v>1.3945052791867626E-2</v>
      </c>
      <c r="BC42" s="211">
        <f t="shared" si="31"/>
        <v>82732.637954736681</v>
      </c>
      <c r="BD42" s="229">
        <f t="shared" si="32"/>
        <v>1631.5937487592903</v>
      </c>
      <c r="BE42" s="4">
        <f t="shared" si="33"/>
        <v>5014.0992699840444</v>
      </c>
      <c r="BF42" s="4">
        <f t="shared" si="34"/>
        <v>98.884469621775239</v>
      </c>
      <c r="BG42" s="4">
        <f t="shared" si="35"/>
        <v>2535.3320340203836</v>
      </c>
      <c r="BH42" s="4">
        <f t="shared" si="36"/>
        <v>50.000000000000007</v>
      </c>
      <c r="BI42">
        <f t="shared" si="37"/>
        <v>68.080696875753929</v>
      </c>
      <c r="BJ42">
        <f t="shared" si="38"/>
        <v>30.272840567380214</v>
      </c>
      <c r="BL42" s="40"/>
    </row>
    <row r="43" spans="2:64">
      <c r="G43" s="290" t="s">
        <v>219</v>
      </c>
      <c r="H43" s="290"/>
      <c r="I43" s="290"/>
      <c r="J43" s="128">
        <f>J42-J9</f>
        <v>91.129102242596005</v>
      </c>
      <c r="K43" s="135" t="s">
        <v>13</v>
      </c>
      <c r="O43" s="195">
        <f t="shared" si="39"/>
        <v>40</v>
      </c>
      <c r="P43" s="138">
        <f t="shared" si="5"/>
        <v>15.125</v>
      </c>
      <c r="Q43" s="146"/>
      <c r="R43" s="56">
        <f t="shared" si="6"/>
        <v>23.593907666490132</v>
      </c>
      <c r="S43" s="56">
        <f t="shared" si="7"/>
        <v>0.53018033619885385</v>
      </c>
      <c r="T43" s="56">
        <f t="shared" si="8"/>
        <v>24.124088002688985</v>
      </c>
      <c r="U43" s="154">
        <f t="shared" si="0"/>
        <v>134.70637407065482</v>
      </c>
      <c r="V43" s="149">
        <f t="shared" si="9"/>
        <v>4.3491931017329568</v>
      </c>
      <c r="W43" s="162">
        <f t="shared" si="10"/>
        <v>16.076977358336098</v>
      </c>
      <c r="X43" s="4">
        <f t="shared" si="40"/>
        <v>98.884469621775054</v>
      </c>
      <c r="Y43" s="4">
        <f t="shared" si="11"/>
        <v>8.1291720630293334</v>
      </c>
      <c r="Z43" s="4">
        <f t="shared" si="12"/>
        <v>50.000000000000107</v>
      </c>
      <c r="AA43" s="4">
        <f t="shared" si="46"/>
        <v>18.200926319586895</v>
      </c>
      <c r="AB43" s="4">
        <f t="shared" si="47"/>
        <v>5.9231616831020908</v>
      </c>
      <c r="AD43" s="228">
        <f t="shared" ref="AD43:AD89" si="62">AD42+1</f>
        <v>40</v>
      </c>
      <c r="AE43" s="202">
        <f t="shared" si="41"/>
        <v>127</v>
      </c>
      <c r="AG43">
        <f t="shared" si="49"/>
        <v>42.076074419119138</v>
      </c>
      <c r="AH43">
        <f t="shared" si="50"/>
        <v>4.4517621618019465</v>
      </c>
      <c r="AI43" s="40">
        <f t="shared" si="51"/>
        <v>46.527836580921083</v>
      </c>
      <c r="AJ43" s="88">
        <f t="shared" si="52"/>
        <v>132.30262549242272</v>
      </c>
      <c r="AK43" s="199">
        <f t="shared" si="53"/>
        <v>3.297776824389977</v>
      </c>
      <c r="AL43" s="213">
        <f t="shared" si="54"/>
        <v>212.02732248725309</v>
      </c>
      <c r="AM43">
        <f t="shared" si="55"/>
        <v>988.84469621775077</v>
      </c>
      <c r="AN43" s="215">
        <f t="shared" si="56"/>
        <v>21.202732248725269</v>
      </c>
      <c r="AO43" s="63">
        <f t="shared" si="57"/>
        <v>98.884469621774883</v>
      </c>
      <c r="AP43" s="63">
        <f t="shared" si="58"/>
        <v>10.720961709065138</v>
      </c>
      <c r="AQ43" s="63">
        <f t="shared" si="59"/>
        <v>50</v>
      </c>
      <c r="AR43" s="63">
        <f t="shared" si="60"/>
        <v>20.604674897818974</v>
      </c>
      <c r="AS43" s="63">
        <f t="shared" si="61"/>
        <v>25.923161683102109</v>
      </c>
      <c r="AU43" s="192">
        <f t="shared" si="42"/>
        <v>40</v>
      </c>
      <c r="AV43" s="202">
        <f t="shared" si="43"/>
        <v>1103</v>
      </c>
      <c r="AW43" s="192"/>
      <c r="AX43" s="229">
        <f t="shared" si="26"/>
        <v>60.851510248803812</v>
      </c>
      <c r="AY43" s="229">
        <f t="shared" si="27"/>
        <v>38.663729641476749</v>
      </c>
      <c r="AZ43" s="229">
        <f t="shared" si="28"/>
        <v>99.515239890280554</v>
      </c>
      <c r="BA43" s="53">
        <f t="shared" si="29"/>
        <v>83.664901067341361</v>
      </c>
      <c r="BB43" s="198">
        <f t="shared" si="30"/>
        <v>1.2199303621775551E-2</v>
      </c>
      <c r="BC43" s="211">
        <f t="shared" si="31"/>
        <v>94571.873908434849</v>
      </c>
      <c r="BD43" s="229">
        <f t="shared" si="32"/>
        <v>1631.5937487592844</v>
      </c>
      <c r="BE43" s="4">
        <f t="shared" si="33"/>
        <v>5731.6287217233275</v>
      </c>
      <c r="BF43" s="4">
        <f t="shared" si="34"/>
        <v>98.884469621774869</v>
      </c>
      <c r="BG43" s="4">
        <f t="shared" si="35"/>
        <v>2898.14403801039</v>
      </c>
      <c r="BH43" s="4">
        <f t="shared" si="36"/>
        <v>50</v>
      </c>
      <c r="BI43">
        <f t="shared" si="37"/>
        <v>69.24239932290034</v>
      </c>
      <c r="BJ43">
        <f t="shared" si="38"/>
        <v>30.272840567380214</v>
      </c>
      <c r="BL43" s="40"/>
    </row>
    <row r="44" spans="2:64">
      <c r="G44" s="288" t="s">
        <v>220</v>
      </c>
      <c r="H44" s="288"/>
      <c r="I44" s="288"/>
      <c r="J44" s="288"/>
      <c r="K44" s="288"/>
      <c r="O44" s="195">
        <f t="shared" si="39"/>
        <v>41</v>
      </c>
      <c r="P44" s="138">
        <f t="shared" si="5"/>
        <v>15.5</v>
      </c>
      <c r="Q44" s="146"/>
      <c r="R44" s="56">
        <f t="shared" si="6"/>
        <v>23.806633963405829</v>
      </c>
      <c r="S44" s="56">
        <f t="shared" si="7"/>
        <v>0.54332530321204853</v>
      </c>
      <c r="T44" s="56">
        <f t="shared" si="8"/>
        <v>24.349959266617876</v>
      </c>
      <c r="U44" s="154">
        <f t="shared" si="0"/>
        <v>134.48050280672592</v>
      </c>
      <c r="V44" s="149">
        <f t="shared" si="9"/>
        <v>4.2375528464907628</v>
      </c>
      <c r="W44" s="162">
        <f t="shared" si="10"/>
        <v>16.500532632058277</v>
      </c>
      <c r="X44" s="4">
        <f t="shared" si="40"/>
        <v>98.884469621775025</v>
      </c>
      <c r="Y44" s="4">
        <f t="shared" si="11"/>
        <v>8.3433387948438664</v>
      </c>
      <c r="Z44" s="4">
        <f t="shared" si="12"/>
        <v>50.000000000000092</v>
      </c>
      <c r="AA44" s="4">
        <f t="shared" si="46"/>
        <v>18.426797583515789</v>
      </c>
      <c r="AB44" s="4">
        <f t="shared" si="47"/>
        <v>5.9231616831020872</v>
      </c>
      <c r="AD44" s="228">
        <f t="shared" si="62"/>
        <v>41</v>
      </c>
      <c r="AE44" s="202">
        <f t="shared" si="41"/>
        <v>130</v>
      </c>
      <c r="AG44">
        <f t="shared" si="49"/>
        <v>42.278867046136739</v>
      </c>
      <c r="AH44">
        <f t="shared" si="50"/>
        <v>4.5569218979075048</v>
      </c>
      <c r="AI44" s="40">
        <f t="shared" si="51"/>
        <v>46.835788944044246</v>
      </c>
      <c r="AJ44" s="88">
        <f t="shared" si="52"/>
        <v>131.99467312929954</v>
      </c>
      <c r="AK44" s="199">
        <f t="shared" si="53"/>
        <v>3.1829047581994381</v>
      </c>
      <c r="AL44" s="213">
        <f t="shared" si="54"/>
        <v>219.67945739962019</v>
      </c>
      <c r="AM44">
        <f t="shared" si="55"/>
        <v>988.84469621774895</v>
      </c>
      <c r="AN44" s="215">
        <f t="shared" si="56"/>
        <v>21.967945739961976</v>
      </c>
      <c r="AO44" s="63">
        <f t="shared" si="57"/>
        <v>98.884469621774713</v>
      </c>
      <c r="AP44" s="63">
        <f t="shared" si="58"/>
        <v>11.107884698167284</v>
      </c>
      <c r="AQ44" s="63">
        <f t="shared" si="59"/>
        <v>50.000000000000007</v>
      </c>
      <c r="AR44" s="63">
        <f t="shared" si="60"/>
        <v>20.912627260942152</v>
      </c>
      <c r="AS44" s="63">
        <f t="shared" si="61"/>
        <v>25.923161683102094</v>
      </c>
      <c r="AU44" s="192">
        <f t="shared" si="42"/>
        <v>41</v>
      </c>
      <c r="AV44" s="202">
        <f t="shared" si="43"/>
        <v>1130</v>
      </c>
      <c r="AW44" s="192"/>
      <c r="AX44" s="229">
        <f t="shared" si="26"/>
        <v>61.061568869668392</v>
      </c>
      <c r="AY44" s="229">
        <f t="shared" si="27"/>
        <v>39.610167266426764</v>
      </c>
      <c r="AZ44" s="229">
        <f t="shared" si="28"/>
        <v>100.67173613609515</v>
      </c>
      <c r="BA44" s="53">
        <f t="shared" si="29"/>
        <v>82.508404821526767</v>
      </c>
      <c r="BB44" s="198">
        <f t="shared" si="30"/>
        <v>1.0678499411743123E-2</v>
      </c>
      <c r="BC44" s="211">
        <f t="shared" si="31"/>
        <v>108040.55508216226</v>
      </c>
      <c r="BD44" s="229">
        <f t="shared" si="32"/>
        <v>1631.5937487592846</v>
      </c>
      <c r="BE44" s="4">
        <f t="shared" si="33"/>
        <v>6547.9124292219594</v>
      </c>
      <c r="BF44" s="4">
        <f t="shared" si="34"/>
        <v>98.884469621774898</v>
      </c>
      <c r="BG44" s="4">
        <f t="shared" si="35"/>
        <v>3310.8902005882196</v>
      </c>
      <c r="BH44" s="4">
        <f t="shared" si="36"/>
        <v>50</v>
      </c>
      <c r="BI44">
        <f t="shared" si="37"/>
        <v>70.398895568714948</v>
      </c>
      <c r="BJ44">
        <f t="shared" si="38"/>
        <v>30.2728405673802</v>
      </c>
      <c r="BL44" s="40"/>
    </row>
    <row r="45" spans="2:64">
      <c r="G45" s="285">
        <v>1</v>
      </c>
      <c r="H45" s="285"/>
      <c r="I45" s="285"/>
      <c r="J45" s="194">
        <f>D29*(D37/1000000)/2</f>
        <v>0.375</v>
      </c>
      <c r="K45" s="189" t="s">
        <v>7</v>
      </c>
      <c r="O45" s="195">
        <f t="shared" si="39"/>
        <v>42</v>
      </c>
      <c r="P45" s="138">
        <f t="shared" si="5"/>
        <v>15.875</v>
      </c>
      <c r="Q45" s="146"/>
      <c r="R45" s="56">
        <f t="shared" si="6"/>
        <v>24.014274679280266</v>
      </c>
      <c r="S45" s="56">
        <f t="shared" si="7"/>
        <v>0.55647027022524331</v>
      </c>
      <c r="T45" s="56">
        <f t="shared" si="8"/>
        <v>24.57074494950551</v>
      </c>
      <c r="U45" s="154">
        <f t="shared" si="0"/>
        <v>134.2597171238383</v>
      </c>
      <c r="V45" s="149">
        <f t="shared" si="9"/>
        <v>4.1311964099834029</v>
      </c>
      <c r="W45" s="162">
        <f t="shared" si="10"/>
        <v>16.925333991533279</v>
      </c>
      <c r="X45" s="4">
        <f t="shared" si="40"/>
        <v>98.884469621775111</v>
      </c>
      <c r="Y45" s="4">
        <f t="shared" si="11"/>
        <v>8.5581355981739708</v>
      </c>
      <c r="Z45" s="4">
        <f t="shared" si="12"/>
        <v>50.000000000000135</v>
      </c>
      <c r="AA45" s="4">
        <f t="shared" si="46"/>
        <v>18.647583266403419</v>
      </c>
      <c r="AB45" s="4">
        <f t="shared" si="47"/>
        <v>5.9231616831020908</v>
      </c>
      <c r="AD45" s="228">
        <f t="shared" si="62"/>
        <v>42</v>
      </c>
      <c r="AE45" s="202">
        <f t="shared" si="41"/>
        <v>133</v>
      </c>
      <c r="AG45">
        <f t="shared" si="49"/>
        <v>42.477032819341716</v>
      </c>
      <c r="AH45">
        <f t="shared" si="50"/>
        <v>4.6620816340130622</v>
      </c>
      <c r="AI45" s="40">
        <f t="shared" si="51"/>
        <v>47.139114453354779</v>
      </c>
      <c r="AJ45" s="88">
        <f t="shared" si="52"/>
        <v>131.69134761998902</v>
      </c>
      <c r="AK45" s="199">
        <f t="shared" si="53"/>
        <v>3.0736709179710884</v>
      </c>
      <c r="AL45" s="213">
        <f t="shared" si="54"/>
        <v>227.48654911224932</v>
      </c>
      <c r="AM45">
        <f t="shared" si="55"/>
        <v>988.84469621774986</v>
      </c>
      <c r="AN45" s="215">
        <f t="shared" si="56"/>
        <v>22.748654911224889</v>
      </c>
      <c r="AO45" s="63">
        <f t="shared" si="57"/>
        <v>98.884469621774798</v>
      </c>
      <c r="AP45" s="63">
        <f t="shared" si="58"/>
        <v>11.502642931815622</v>
      </c>
      <c r="AQ45" s="63">
        <f t="shared" si="59"/>
        <v>50</v>
      </c>
      <c r="AR45" s="63">
        <f t="shared" si="60"/>
        <v>21.215952770252681</v>
      </c>
      <c r="AS45" s="63">
        <f t="shared" si="61"/>
        <v>25.923161683102098</v>
      </c>
      <c r="AU45" s="192">
        <f t="shared" si="42"/>
        <v>42</v>
      </c>
      <c r="AV45" s="202">
        <f t="shared" si="43"/>
        <v>1157</v>
      </c>
      <c r="AW45" s="192"/>
      <c r="AX45" s="229">
        <f t="shared" si="26"/>
        <v>61.266667179034997</v>
      </c>
      <c r="AY45" s="229">
        <f t="shared" si="27"/>
        <v>40.556604891376786</v>
      </c>
      <c r="AZ45" s="229">
        <f t="shared" si="28"/>
        <v>101.82327207041178</v>
      </c>
      <c r="BA45" s="53">
        <f t="shared" si="29"/>
        <v>81.35686888721014</v>
      </c>
      <c r="BB45" s="198">
        <f t="shared" si="30"/>
        <v>9.3526230617672727E-3</v>
      </c>
      <c r="BC45" s="211">
        <f t="shared" si="31"/>
        <v>123356.94449245396</v>
      </c>
      <c r="BD45" s="229">
        <f t="shared" si="32"/>
        <v>1631.5937487592846</v>
      </c>
      <c r="BE45" s="4">
        <f t="shared" si="33"/>
        <v>7476.1784540881226</v>
      </c>
      <c r="BF45" s="4">
        <f t="shared" si="34"/>
        <v>98.884469621774883</v>
      </c>
      <c r="BG45" s="4">
        <f t="shared" si="35"/>
        <v>3780.2591664211291</v>
      </c>
      <c r="BH45" s="4">
        <f t="shared" si="36"/>
        <v>50</v>
      </c>
      <c r="BI45">
        <f t="shared" si="37"/>
        <v>71.550431503031561</v>
      </c>
      <c r="BJ45">
        <f t="shared" si="38"/>
        <v>30.272840567380214</v>
      </c>
      <c r="BL45" s="40"/>
    </row>
    <row r="46" spans="2:64">
      <c r="G46" s="285">
        <v>2</v>
      </c>
      <c r="H46" s="285"/>
      <c r="I46" s="285"/>
      <c r="J46" s="194">
        <f>$D$29*(D38/1000000)/2</f>
        <v>3</v>
      </c>
      <c r="K46" s="189" t="s">
        <v>7</v>
      </c>
      <c r="O46" s="195">
        <f t="shared" si="39"/>
        <v>43</v>
      </c>
      <c r="P46" s="138">
        <f t="shared" si="5"/>
        <v>16.25</v>
      </c>
      <c r="Q46" s="146"/>
      <c r="R46" s="56">
        <f t="shared" si="6"/>
        <v>24.217067306297864</v>
      </c>
      <c r="S46" s="56">
        <f t="shared" si="7"/>
        <v>0.5696152372384381</v>
      </c>
      <c r="T46" s="56">
        <f t="shared" si="8"/>
        <v>24.786682543536301</v>
      </c>
      <c r="U46" s="154">
        <f t="shared" si="0"/>
        <v>134.04377952980749</v>
      </c>
      <c r="V46" s="149">
        <f t="shared" si="9"/>
        <v>4.0297579753762642</v>
      </c>
      <c r="W46" s="162">
        <f t="shared" si="10"/>
        <v>17.351384239661094</v>
      </c>
      <c r="X46" s="4">
        <f t="shared" si="40"/>
        <v>98.884469621775068</v>
      </c>
      <c r="Y46" s="4">
        <f t="shared" si="11"/>
        <v>8.7735638902796076</v>
      </c>
      <c r="Z46" s="4">
        <f t="shared" si="12"/>
        <v>50.000000000000107</v>
      </c>
      <c r="AA46" s="4">
        <f t="shared" si="46"/>
        <v>18.863520860434214</v>
      </c>
      <c r="AB46" s="4">
        <f t="shared" si="47"/>
        <v>5.9231616831020872</v>
      </c>
      <c r="AD46" s="228">
        <f t="shared" si="62"/>
        <v>43</v>
      </c>
      <c r="AE46" s="202">
        <f t="shared" si="41"/>
        <v>136</v>
      </c>
      <c r="AG46">
        <f t="shared" si="49"/>
        <v>42.67077816740435</v>
      </c>
      <c r="AH46">
        <f t="shared" si="50"/>
        <v>4.7672413701186205</v>
      </c>
      <c r="AI46" s="40">
        <f t="shared" si="51"/>
        <v>47.438019537522969</v>
      </c>
      <c r="AJ46" s="88">
        <f t="shared" si="52"/>
        <v>131.39244253582083</v>
      </c>
      <c r="AK46" s="199">
        <f t="shared" si="53"/>
        <v>2.9696968190451813</v>
      </c>
      <c r="AL46" s="213">
        <f t="shared" si="54"/>
        <v>235.45123722789197</v>
      </c>
      <c r="AM46">
        <f t="shared" si="55"/>
        <v>988.84469621775088</v>
      </c>
      <c r="AN46" s="215">
        <f t="shared" si="56"/>
        <v>23.545123722789153</v>
      </c>
      <c r="AO46" s="63">
        <f t="shared" si="57"/>
        <v>98.884469621774898</v>
      </c>
      <c r="AP46" s="63">
        <f t="shared" si="58"/>
        <v>11.905369879035275</v>
      </c>
      <c r="AQ46" s="63">
        <f t="shared" si="59"/>
        <v>50</v>
      </c>
      <c r="AR46" s="63">
        <f t="shared" si="60"/>
        <v>21.51485785442086</v>
      </c>
      <c r="AS46" s="63">
        <f t="shared" si="61"/>
        <v>25.923161683102109</v>
      </c>
      <c r="AU46" s="192">
        <f t="shared" si="42"/>
        <v>43</v>
      </c>
      <c r="AV46" s="202">
        <f t="shared" si="43"/>
        <v>1184</v>
      </c>
      <c r="AW46" s="192"/>
      <c r="AX46" s="229">
        <f t="shared" si="26"/>
        <v>61.467034047738018</v>
      </c>
      <c r="AY46" s="229">
        <f t="shared" si="27"/>
        <v>41.503042516326808</v>
      </c>
      <c r="AZ46" s="229">
        <f t="shared" si="28"/>
        <v>102.97007656406483</v>
      </c>
      <c r="BA46" s="53">
        <f t="shared" si="29"/>
        <v>80.21006439355709</v>
      </c>
      <c r="BB46" s="198">
        <f t="shared" si="30"/>
        <v>8.1958350027545694E-3</v>
      </c>
      <c r="BC46" s="211">
        <f t="shared" si="31"/>
        <v>140767.96366709642</v>
      </c>
      <c r="BD46" s="229">
        <f t="shared" si="32"/>
        <v>1631.5937487592878</v>
      </c>
      <c r="BE46" s="4">
        <f t="shared" si="33"/>
        <v>8531.3917373997883</v>
      </c>
      <c r="BF46" s="4">
        <f t="shared" si="34"/>
        <v>98.884469621775068</v>
      </c>
      <c r="BG46" s="4">
        <f t="shared" si="35"/>
        <v>4313.8178169087914</v>
      </c>
      <c r="BH46" s="4">
        <f t="shared" si="36"/>
        <v>50.000000000000007</v>
      </c>
      <c r="BI46">
        <f t="shared" si="37"/>
        <v>72.697235996684611</v>
      </c>
      <c r="BJ46">
        <f t="shared" si="38"/>
        <v>30.272840567380214</v>
      </c>
      <c r="BL46" s="40"/>
    </row>
    <row r="47" spans="2:64">
      <c r="G47" s="285">
        <v>3</v>
      </c>
      <c r="H47" s="285"/>
      <c r="I47" s="285"/>
      <c r="J47" s="194">
        <f>$D$29*(D39/1000000)/2</f>
        <v>26.999999999999996</v>
      </c>
      <c r="K47" s="189" t="s">
        <v>7</v>
      </c>
      <c r="O47" s="195">
        <f t="shared" si="39"/>
        <v>44</v>
      </c>
      <c r="P47" s="138">
        <f t="shared" si="5"/>
        <v>16.625</v>
      </c>
      <c r="Q47" s="146"/>
      <c r="R47" s="56">
        <f t="shared" si="6"/>
        <v>24.415233079502844</v>
      </c>
      <c r="S47" s="56">
        <f t="shared" si="7"/>
        <v>0.58276020425163277</v>
      </c>
      <c r="T47" s="56">
        <f t="shared" si="8"/>
        <v>24.997993283754475</v>
      </c>
      <c r="U47" s="154">
        <f t="shared" si="0"/>
        <v>133.83246878958931</v>
      </c>
      <c r="V47" s="149">
        <f t="shared" si="9"/>
        <v>3.9329047318856305</v>
      </c>
      <c r="W47" s="162">
        <f t="shared" si="10"/>
        <v>17.778686184973562</v>
      </c>
      <c r="X47" s="4">
        <f t="shared" si="40"/>
        <v>98.884469621774926</v>
      </c>
      <c r="Y47" s="4">
        <f t="shared" si="11"/>
        <v>8.9896250912684312</v>
      </c>
      <c r="Z47" s="4">
        <f t="shared" si="12"/>
        <v>50.000000000000043</v>
      </c>
      <c r="AA47" s="4">
        <f t="shared" si="46"/>
        <v>19.074831600652388</v>
      </c>
      <c r="AB47" s="4">
        <f t="shared" si="47"/>
        <v>5.9231616831020872</v>
      </c>
      <c r="AD47" s="228">
        <f t="shared" si="62"/>
        <v>44</v>
      </c>
      <c r="AE47" s="202">
        <f t="shared" si="41"/>
        <v>139</v>
      </c>
      <c r="AG47">
        <f t="shared" si="49"/>
        <v>42.860296005081899</v>
      </c>
      <c r="AH47">
        <f t="shared" si="50"/>
        <v>4.8724011062241779</v>
      </c>
      <c r="AI47" s="40">
        <f t="shared" si="51"/>
        <v>47.732697111306081</v>
      </c>
      <c r="AJ47" s="88">
        <f t="shared" si="52"/>
        <v>131.09776496203773</v>
      </c>
      <c r="AK47" s="199">
        <f t="shared" si="53"/>
        <v>2.8706367148862255</v>
      </c>
      <c r="AL47" s="213">
        <f t="shared" si="54"/>
        <v>243.57620266263348</v>
      </c>
      <c r="AM47">
        <f t="shared" si="55"/>
        <v>988.84469621775145</v>
      </c>
      <c r="AN47" s="215">
        <f t="shared" si="56"/>
        <v>24.3576202662633</v>
      </c>
      <c r="AO47" s="63">
        <f t="shared" si="57"/>
        <v>98.884469621774954</v>
      </c>
      <c r="AP47" s="63">
        <f t="shared" si="58"/>
        <v>12.316201097821132</v>
      </c>
      <c r="AQ47" s="63">
        <f t="shared" si="59"/>
        <v>50.000000000000007</v>
      </c>
      <c r="AR47" s="63">
        <f t="shared" si="60"/>
        <v>21.809535428203969</v>
      </c>
      <c r="AS47" s="63">
        <f t="shared" si="61"/>
        <v>25.923161683102112</v>
      </c>
      <c r="AU47" s="192">
        <f t="shared" si="42"/>
        <v>44</v>
      </c>
      <c r="AV47" s="202">
        <f t="shared" si="43"/>
        <v>1211</v>
      </c>
      <c r="AW47" s="192"/>
      <c r="AX47" s="229">
        <f t="shared" si="26"/>
        <v>61.662882862861046</v>
      </c>
      <c r="AY47" s="229">
        <f t="shared" si="27"/>
        <v>42.44948014127683</v>
      </c>
      <c r="AZ47" s="229">
        <f t="shared" si="28"/>
        <v>104.11236300413788</v>
      </c>
      <c r="BA47" s="53">
        <f t="shared" si="29"/>
        <v>79.06777795348404</v>
      </c>
      <c r="BB47" s="198">
        <f t="shared" si="30"/>
        <v>7.1858621997475444E-3</v>
      </c>
      <c r="BC47" s="211">
        <f t="shared" si="31"/>
        <v>160552.89843017093</v>
      </c>
      <c r="BD47" s="229">
        <f t="shared" si="32"/>
        <v>1631.5937487592873</v>
      </c>
      <c r="BE47" s="4">
        <f t="shared" si="33"/>
        <v>9730.4786927376372</v>
      </c>
      <c r="BF47" s="4">
        <f t="shared" si="34"/>
        <v>98.88446962177504</v>
      </c>
      <c r="BG47" s="4">
        <f t="shared" si="35"/>
        <v>4920.1248335334749</v>
      </c>
      <c r="BH47" s="4">
        <f t="shared" si="36"/>
        <v>50.000000000000007</v>
      </c>
      <c r="BI47">
        <f t="shared" si="37"/>
        <v>73.839522436757662</v>
      </c>
      <c r="BJ47">
        <f t="shared" si="38"/>
        <v>30.272840567380214</v>
      </c>
      <c r="BL47" s="40"/>
    </row>
    <row r="48" spans="2:64">
      <c r="O48" s="195">
        <f t="shared" si="39"/>
        <v>45</v>
      </c>
      <c r="P48" s="138">
        <f t="shared" si="5"/>
        <v>17</v>
      </c>
      <c r="Q48" s="146"/>
      <c r="R48" s="56">
        <f t="shared" si="6"/>
        <v>24.608978427565479</v>
      </c>
      <c r="S48" s="56">
        <f t="shared" si="7"/>
        <v>0.59590517126482756</v>
      </c>
      <c r="T48" s="56">
        <f t="shared" si="8"/>
        <v>25.204883598830307</v>
      </c>
      <c r="U48" s="154">
        <f t="shared" si="0"/>
        <v>133.62557847451347</v>
      </c>
      <c r="V48" s="149">
        <f t="shared" si="9"/>
        <v>3.8403332344053744</v>
      </c>
      <c r="W48" s="162">
        <f t="shared" si="10"/>
        <v>18.207242641645031</v>
      </c>
      <c r="X48" s="4">
        <f t="shared" si="40"/>
        <v>98.884469621774798</v>
      </c>
      <c r="Y48" s="4">
        <f t="shared" si="11"/>
        <v>9.2063206241011724</v>
      </c>
      <c r="Z48" s="4">
        <f t="shared" si="12"/>
        <v>49.999999999999979</v>
      </c>
      <c r="AA48" s="4">
        <f t="shared" si="46"/>
        <v>19.28172191572822</v>
      </c>
      <c r="AB48" s="4">
        <f t="shared" si="47"/>
        <v>5.9231616831020872</v>
      </c>
      <c r="AD48" s="228">
        <f t="shared" si="62"/>
        <v>45</v>
      </c>
      <c r="AE48" s="202">
        <f t="shared" si="41"/>
        <v>142</v>
      </c>
      <c r="AG48">
        <f t="shared" si="49"/>
        <v>43.045766887661124</v>
      </c>
      <c r="AH48">
        <f t="shared" si="50"/>
        <v>4.9775608423297353</v>
      </c>
      <c r="AI48" s="40">
        <f t="shared" si="51"/>
        <v>48.023327729990861</v>
      </c>
      <c r="AJ48" s="88">
        <f t="shared" si="52"/>
        <v>130.80713434335294</v>
      </c>
      <c r="AK48" s="199">
        <f t="shared" si="53"/>
        <v>2.7761741380860609</v>
      </c>
      <c r="AL48" s="213">
        <f t="shared" si="54"/>
        <v>251.86416826070439</v>
      </c>
      <c r="AM48">
        <f t="shared" si="55"/>
        <v>988.84469621775145</v>
      </c>
      <c r="AN48" s="215">
        <f t="shared" si="56"/>
        <v>25.186416826070392</v>
      </c>
      <c r="AO48" s="63">
        <f t="shared" si="57"/>
        <v>98.884469621774969</v>
      </c>
      <c r="AP48" s="63">
        <f t="shared" si="58"/>
        <v>12.735274266225215</v>
      </c>
      <c r="AQ48" s="63">
        <f t="shared" si="59"/>
        <v>50</v>
      </c>
      <c r="AR48" s="63">
        <f t="shared" si="60"/>
        <v>22.100166046888752</v>
      </c>
      <c r="AS48" s="63">
        <f t="shared" si="61"/>
        <v>25.923161683102109</v>
      </c>
      <c r="AU48" s="192">
        <f t="shared" si="42"/>
        <v>45</v>
      </c>
      <c r="AV48" s="202">
        <f t="shared" si="43"/>
        <v>1238</v>
      </c>
      <c r="AW48" s="192"/>
      <c r="AX48" s="229">
        <f t="shared" si="26"/>
        <v>61.854412893681989</v>
      </c>
      <c r="AY48" s="229">
        <f t="shared" si="27"/>
        <v>43.395917766226844</v>
      </c>
      <c r="AZ48" s="229">
        <f t="shared" si="28"/>
        <v>105.25033065990883</v>
      </c>
      <c r="BA48" s="53">
        <f t="shared" si="29"/>
        <v>77.92981029771309</v>
      </c>
      <c r="BB48" s="198">
        <f t="shared" si="30"/>
        <v>6.3034817802819307E-3</v>
      </c>
      <c r="BC48" s="211">
        <f t="shared" si="31"/>
        <v>183027.57810742318</v>
      </c>
      <c r="BD48" s="229">
        <f t="shared" si="32"/>
        <v>1631.5937487592844</v>
      </c>
      <c r="BE48" s="4">
        <f t="shared" si="33"/>
        <v>11092.580491358987</v>
      </c>
      <c r="BF48" s="4">
        <f t="shared" si="34"/>
        <v>98.884469621774869</v>
      </c>
      <c r="BG48" s="4">
        <f t="shared" si="35"/>
        <v>5608.8587691207804</v>
      </c>
      <c r="BH48" s="4">
        <f t="shared" si="36"/>
        <v>50</v>
      </c>
      <c r="BI48">
        <f t="shared" si="37"/>
        <v>74.977490092528612</v>
      </c>
      <c r="BJ48">
        <f t="shared" si="38"/>
        <v>30.272840567380214</v>
      </c>
      <c r="BL48" s="40"/>
    </row>
    <row r="49" spans="15:64">
      <c r="O49" s="195">
        <f t="shared" si="39"/>
        <v>46</v>
      </c>
      <c r="P49" s="138">
        <f t="shared" si="5"/>
        <v>17.375</v>
      </c>
      <c r="Q49" s="146"/>
      <c r="R49" s="56">
        <f t="shared" si="6"/>
        <v>24.798496265243028</v>
      </c>
      <c r="S49" s="56">
        <f t="shared" si="7"/>
        <v>0.60905013827802224</v>
      </c>
      <c r="T49" s="56">
        <f t="shared" si="8"/>
        <v>25.407546403521049</v>
      </c>
      <c r="U49" s="154">
        <f t="shared" si="0"/>
        <v>133.42291566982274</v>
      </c>
      <c r="V49" s="149">
        <f t="shared" si="9"/>
        <v>3.751766234548934</v>
      </c>
      <c r="W49" s="162">
        <f t="shared" si="10"/>
        <v>18.637056429502938</v>
      </c>
      <c r="X49" s="4">
        <f t="shared" si="40"/>
        <v>98.884469621774969</v>
      </c>
      <c r="Y49" s="4">
        <f t="shared" si="11"/>
        <v>9.423651914596995</v>
      </c>
      <c r="Z49" s="4">
        <f t="shared" si="12"/>
        <v>50.000000000000064</v>
      </c>
      <c r="AA49" s="4">
        <f t="shared" si="46"/>
        <v>19.484384720418962</v>
      </c>
      <c r="AB49" s="4">
        <f t="shared" si="47"/>
        <v>5.9231616831020872</v>
      </c>
      <c r="AD49" s="228">
        <f t="shared" si="62"/>
        <v>46</v>
      </c>
      <c r="AE49" s="202">
        <f t="shared" si="41"/>
        <v>145</v>
      </c>
      <c r="AG49">
        <f t="shared" si="49"/>
        <v>43.227360044699495</v>
      </c>
      <c r="AH49">
        <f t="shared" si="50"/>
        <v>5.0827205784352927</v>
      </c>
      <c r="AI49" s="40">
        <f t="shared" si="51"/>
        <v>48.310080623134787</v>
      </c>
      <c r="AJ49" s="88">
        <f t="shared" si="52"/>
        <v>130.52038145020902</v>
      </c>
      <c r="AK49" s="199">
        <f t="shared" si="53"/>
        <v>2.6860188707684269</v>
      </c>
      <c r="AL49" s="213">
        <f t="shared" si="54"/>
        <v>260.31789941814083</v>
      </c>
      <c r="AM49">
        <f t="shared" si="55"/>
        <v>988.84469621775145</v>
      </c>
      <c r="AN49" s="215">
        <f t="shared" si="56"/>
        <v>26.031789941814033</v>
      </c>
      <c r="AO49" s="63">
        <f t="shared" si="57"/>
        <v>98.884469621774954</v>
      </c>
      <c r="AP49" s="63">
        <f t="shared" si="58"/>
        <v>13.162729213891478</v>
      </c>
      <c r="AQ49" s="63">
        <f t="shared" si="59"/>
        <v>49.999999999999993</v>
      </c>
      <c r="AR49" s="63">
        <f t="shared" si="60"/>
        <v>22.386918940032675</v>
      </c>
      <c r="AS49" s="63">
        <f t="shared" si="61"/>
        <v>25.923161683102112</v>
      </c>
      <c r="AU49" s="192">
        <f t="shared" si="42"/>
        <v>46</v>
      </c>
      <c r="AV49" s="202">
        <f t="shared" si="43"/>
        <v>1265</v>
      </c>
      <c r="AW49" s="192"/>
      <c r="AX49" s="229">
        <f t="shared" si="26"/>
        <v>62.041810510236736</v>
      </c>
      <c r="AY49" s="229">
        <f t="shared" si="27"/>
        <v>44.342355391176866</v>
      </c>
      <c r="AZ49" s="229">
        <f t="shared" si="28"/>
        <v>106.38416590141361</v>
      </c>
      <c r="BA49" s="53">
        <f t="shared" si="29"/>
        <v>76.795975056208306</v>
      </c>
      <c r="BB49" s="198">
        <f t="shared" si="30"/>
        <v>5.5320836678151514E-3</v>
      </c>
      <c r="BC49" s="211">
        <f t="shared" si="31"/>
        <v>208549.08804098412</v>
      </c>
      <c r="BD49" s="229">
        <f t="shared" si="32"/>
        <v>1631.5937487592876</v>
      </c>
      <c r="BE49" s="4">
        <f t="shared" si="33"/>
        <v>12639.33866915056</v>
      </c>
      <c r="BF49" s="4">
        <f t="shared" si="34"/>
        <v>98.884469621775068</v>
      </c>
      <c r="BG49" s="4">
        <f t="shared" si="35"/>
        <v>6390.962462303225</v>
      </c>
      <c r="BH49" s="4">
        <f t="shared" si="36"/>
        <v>50</v>
      </c>
      <c r="BI49">
        <f t="shared" si="37"/>
        <v>76.111325334033396</v>
      </c>
      <c r="BJ49">
        <f t="shared" si="38"/>
        <v>30.272840567380214</v>
      </c>
      <c r="BL49" s="40"/>
    </row>
    <row r="50" spans="15:64">
      <c r="O50" s="195">
        <f t="shared" si="39"/>
        <v>47</v>
      </c>
      <c r="P50" s="138">
        <f t="shared" si="5"/>
        <v>17.75</v>
      </c>
      <c r="Q50" s="146"/>
      <c r="R50" s="56">
        <f t="shared" si="6"/>
        <v>24.983967147822259</v>
      </c>
      <c r="S50" s="56">
        <f t="shared" si="7"/>
        <v>0.62219510529121691</v>
      </c>
      <c r="T50" s="56">
        <f t="shared" si="8"/>
        <v>25.606162253113474</v>
      </c>
      <c r="U50" s="154">
        <f t="shared" si="0"/>
        <v>133.22429982023033</v>
      </c>
      <c r="V50" s="149">
        <f t="shared" si="9"/>
        <v>3.6669499133901202</v>
      </c>
      <c r="W50" s="162">
        <f t="shared" si="10"/>
        <v>19.068130374038574</v>
      </c>
      <c r="X50" s="4">
        <f t="shared" si="40"/>
        <v>98.884469621775025</v>
      </c>
      <c r="Y50" s="4">
        <f t="shared" si="11"/>
        <v>9.6416203914389396</v>
      </c>
      <c r="Z50" s="4">
        <f t="shared" si="12"/>
        <v>50.000000000000092</v>
      </c>
      <c r="AA50" s="4">
        <f t="shared" si="46"/>
        <v>19.683000570011387</v>
      </c>
      <c r="AB50" s="4">
        <f t="shared" si="47"/>
        <v>5.9231616831020872</v>
      </c>
      <c r="AD50" s="228">
        <f t="shared" si="62"/>
        <v>47</v>
      </c>
      <c r="AE50" s="202">
        <f t="shared" si="41"/>
        <v>148</v>
      </c>
      <c r="AG50">
        <f t="shared" si="49"/>
        <v>43.40523430789915</v>
      </c>
      <c r="AH50">
        <f t="shared" si="50"/>
        <v>5.187880314540851</v>
      </c>
      <c r="AI50" s="40">
        <f t="shared" si="51"/>
        <v>48.593114622439998</v>
      </c>
      <c r="AJ50" s="88">
        <f t="shared" si="52"/>
        <v>130.2373474509038</v>
      </c>
      <c r="AK50" s="199">
        <f t="shared" si="53"/>
        <v>2.5999042834663384</v>
      </c>
      <c r="AL50" s="213">
        <f t="shared" si="54"/>
        <v>268.94020471541563</v>
      </c>
      <c r="AM50">
        <f t="shared" si="55"/>
        <v>988.84469621775065</v>
      </c>
      <c r="AN50" s="215">
        <f t="shared" si="56"/>
        <v>26.894020471541513</v>
      </c>
      <c r="AO50" s="63">
        <f t="shared" si="57"/>
        <v>98.884469621774883</v>
      </c>
      <c r="AP50" s="63">
        <f t="shared" si="58"/>
        <v>13.598707954044235</v>
      </c>
      <c r="AQ50" s="63">
        <f t="shared" si="59"/>
        <v>50</v>
      </c>
      <c r="AR50" s="63">
        <f t="shared" si="60"/>
        <v>22.669952939337893</v>
      </c>
      <c r="AS50" s="63">
        <f t="shared" si="61"/>
        <v>25.923161683102105</v>
      </c>
      <c r="AU50" s="192">
        <f t="shared" si="42"/>
        <v>47</v>
      </c>
      <c r="AV50" s="202">
        <f t="shared" si="43"/>
        <v>1292</v>
      </c>
      <c r="AW50" s="192"/>
      <c r="AX50" s="229">
        <f t="shared" si="26"/>
        <v>62.22525027318131</v>
      </c>
      <c r="AY50" s="229">
        <f t="shared" si="27"/>
        <v>45.288793016126888</v>
      </c>
      <c r="AZ50" s="229">
        <f t="shared" si="28"/>
        <v>107.5140432893082</v>
      </c>
      <c r="BA50" s="53">
        <f t="shared" si="29"/>
        <v>75.666097668313711</v>
      </c>
      <c r="BB50" s="198">
        <f t="shared" si="30"/>
        <v>4.8572993614084039E-3</v>
      </c>
      <c r="BC50" s="211">
        <f t="shared" si="31"/>
        <v>237521.08281725191</v>
      </c>
      <c r="BD50" s="229">
        <f t="shared" si="32"/>
        <v>1631.5937487592848</v>
      </c>
      <c r="BE50" s="4">
        <f t="shared" si="33"/>
        <v>14395.217140439518</v>
      </c>
      <c r="BF50" s="4">
        <f t="shared" si="34"/>
        <v>98.884469621774883</v>
      </c>
      <c r="BG50" s="4">
        <f t="shared" si="35"/>
        <v>7278.8058607686635</v>
      </c>
      <c r="BH50" s="4">
        <f t="shared" si="36"/>
        <v>50</v>
      </c>
      <c r="BI50">
        <f t="shared" si="37"/>
        <v>77.241202721928005</v>
      </c>
      <c r="BJ50">
        <f t="shared" si="38"/>
        <v>30.2728405673802</v>
      </c>
      <c r="BL50" s="40"/>
    </row>
    <row r="51" spans="15:64">
      <c r="O51" s="195">
        <f t="shared" si="39"/>
        <v>48</v>
      </c>
      <c r="P51" s="138">
        <f t="shared" si="5"/>
        <v>18.125</v>
      </c>
      <c r="Q51" s="146"/>
      <c r="R51" s="56">
        <f t="shared" si="6"/>
        <v>25.165560304860627</v>
      </c>
      <c r="S51" s="56">
        <f t="shared" si="7"/>
        <v>0.63534007230441158</v>
      </c>
      <c r="T51" s="56">
        <f t="shared" si="8"/>
        <v>25.800900377165039</v>
      </c>
      <c r="U51" s="154">
        <f t="shared" si="0"/>
        <v>133.02956169617875</v>
      </c>
      <c r="V51" s="149">
        <f t="shared" si="9"/>
        <v>3.5856514577258674</v>
      </c>
      <c r="W51" s="162">
        <f t="shared" si="10"/>
        <v>19.500467306417661</v>
      </c>
      <c r="X51" s="4">
        <f t="shared" si="40"/>
        <v>98.884469621774784</v>
      </c>
      <c r="Y51" s="4">
        <f t="shared" si="11"/>
        <v>9.8602274861792658</v>
      </c>
      <c r="Z51" s="4">
        <f t="shared" si="12"/>
        <v>49.999999999999964</v>
      </c>
      <c r="AA51" s="4">
        <f t="shared" si="46"/>
        <v>19.877738694062948</v>
      </c>
      <c r="AB51" s="4">
        <f t="shared" si="47"/>
        <v>5.9231616831020908</v>
      </c>
      <c r="AD51" s="228">
        <f t="shared" si="62"/>
        <v>48</v>
      </c>
      <c r="AE51" s="202">
        <f t="shared" si="41"/>
        <v>151</v>
      </c>
      <c r="AG51">
        <f t="shared" si="49"/>
        <v>43.579538945863384</v>
      </c>
      <c r="AH51">
        <f t="shared" si="50"/>
        <v>5.2930400506464084</v>
      </c>
      <c r="AI51" s="40">
        <f t="shared" si="51"/>
        <v>48.872578996509795</v>
      </c>
      <c r="AJ51" s="88">
        <f t="shared" si="52"/>
        <v>129.95788307683401</v>
      </c>
      <c r="AK51" s="199">
        <f t="shared" si="53"/>
        <v>2.5175849912276087</v>
      </c>
      <c r="AL51" s="213">
        <f t="shared" si="54"/>
        <v>277.73393655916834</v>
      </c>
      <c r="AM51">
        <f t="shared" si="55"/>
        <v>988.84469621775065</v>
      </c>
      <c r="AN51" s="215">
        <f t="shared" si="56"/>
        <v>27.773393655916781</v>
      </c>
      <c r="AO51" s="63">
        <f t="shared" si="57"/>
        <v>98.884469621774883</v>
      </c>
      <c r="AP51" s="63">
        <f t="shared" si="58"/>
        <v>14.043354715936573</v>
      </c>
      <c r="AQ51" s="63">
        <f t="shared" si="59"/>
        <v>50</v>
      </c>
      <c r="AR51" s="63">
        <f t="shared" si="60"/>
        <v>22.94941731340769</v>
      </c>
      <c r="AS51" s="63">
        <f t="shared" si="61"/>
        <v>25.923161683102105</v>
      </c>
      <c r="AU51" s="192">
        <f t="shared" si="42"/>
        <v>48</v>
      </c>
      <c r="AV51" s="202">
        <f t="shared" si="43"/>
        <v>1319</v>
      </c>
      <c r="AW51" s="192"/>
      <c r="AX51" s="229">
        <f t="shared" si="26"/>
        <v>62.404895910927308</v>
      </c>
      <c r="AY51" s="229">
        <f t="shared" si="27"/>
        <v>46.23523064107691</v>
      </c>
      <c r="AZ51" s="229">
        <f t="shared" si="28"/>
        <v>108.64012655200422</v>
      </c>
      <c r="BA51" s="53">
        <f t="shared" si="29"/>
        <v>74.540014405617697</v>
      </c>
      <c r="BB51" s="198">
        <f t="shared" si="30"/>
        <v>4.2666862402284712E-3</v>
      </c>
      <c r="BC51" s="211">
        <f t="shared" si="31"/>
        <v>270399.77606309566</v>
      </c>
      <c r="BD51" s="229">
        <f t="shared" si="32"/>
        <v>1631.5937487592846</v>
      </c>
      <c r="BE51" s="4">
        <f t="shared" si="33"/>
        <v>16387.865215945203</v>
      </c>
      <c r="BF51" s="4">
        <f t="shared" si="34"/>
        <v>98.884469621774898</v>
      </c>
      <c r="BG51" s="4">
        <f t="shared" si="35"/>
        <v>8286.3695778656966</v>
      </c>
      <c r="BH51" s="4">
        <f t="shared" si="36"/>
        <v>50</v>
      </c>
      <c r="BI51">
        <f t="shared" si="37"/>
        <v>78.367285984624019</v>
      </c>
      <c r="BJ51">
        <f t="shared" si="38"/>
        <v>30.2728405673802</v>
      </c>
      <c r="BL51" s="40"/>
    </row>
    <row r="52" spans="15:64">
      <c r="O52" s="195">
        <f t="shared" si="39"/>
        <v>49</v>
      </c>
      <c r="P52" s="138">
        <f t="shared" si="5"/>
        <v>18.5</v>
      </c>
      <c r="Q52" s="146"/>
      <c r="R52" s="56">
        <f t="shared" si="6"/>
        <v>25.343434568060275</v>
      </c>
      <c r="S52" s="56">
        <f t="shared" si="7"/>
        <v>0.64848503931760637</v>
      </c>
      <c r="T52" s="56">
        <f t="shared" si="8"/>
        <v>25.991919607377881</v>
      </c>
      <c r="U52" s="154">
        <f t="shared" si="0"/>
        <v>132.83854246596593</v>
      </c>
      <c r="V52" s="149">
        <f t="shared" si="9"/>
        <v>3.5076569311177841</v>
      </c>
      <c r="W52" s="162">
        <f t="shared" si="10"/>
        <v>19.93407006349117</v>
      </c>
      <c r="X52" s="4">
        <f t="shared" si="40"/>
        <v>98.884469621775111</v>
      </c>
      <c r="Y52" s="4">
        <f t="shared" si="11"/>
        <v>10.07947463324493</v>
      </c>
      <c r="Z52" s="4">
        <f t="shared" si="12"/>
        <v>50.000000000000128</v>
      </c>
      <c r="AA52" s="4">
        <f t="shared" si="46"/>
        <v>20.06875792427579</v>
      </c>
      <c r="AB52" s="4">
        <f t="shared" si="47"/>
        <v>5.9231616831020908</v>
      </c>
      <c r="AD52" s="228">
        <f t="shared" si="62"/>
        <v>49</v>
      </c>
      <c r="AE52" s="202">
        <f t="shared" si="41"/>
        <v>154</v>
      </c>
      <c r="AG52">
        <f t="shared" si="49"/>
        <v>43.750414416729264</v>
      </c>
      <c r="AH52">
        <f t="shared" si="50"/>
        <v>5.3981997867519667</v>
      </c>
      <c r="AI52" s="40">
        <f t="shared" si="51"/>
        <v>49.14861420348123</v>
      </c>
      <c r="AJ52" s="88">
        <f t="shared" si="52"/>
        <v>129.68184786986257</v>
      </c>
      <c r="AK52" s="199">
        <f t="shared" si="53"/>
        <v>2.4388347836899982</v>
      </c>
      <c r="AL52" s="213">
        <f t="shared" si="54"/>
        <v>286.70199183316248</v>
      </c>
      <c r="AM52">
        <f t="shared" si="55"/>
        <v>988.84469621774974</v>
      </c>
      <c r="AN52" s="215">
        <f t="shared" si="56"/>
        <v>28.670199183316193</v>
      </c>
      <c r="AO52" s="63">
        <f t="shared" si="57"/>
        <v>98.884469621774784</v>
      </c>
      <c r="AP52" s="63">
        <f t="shared" si="58"/>
        <v>14.496815977765477</v>
      </c>
      <c r="AQ52" s="63">
        <f t="shared" si="59"/>
        <v>50</v>
      </c>
      <c r="AR52" s="63">
        <f t="shared" si="60"/>
        <v>23.225452520379136</v>
      </c>
      <c r="AS52" s="63">
        <f t="shared" si="61"/>
        <v>25.923161683102094</v>
      </c>
      <c r="AU52" s="192">
        <f t="shared" si="42"/>
        <v>49</v>
      </c>
      <c r="AV52" s="202">
        <f t="shared" si="43"/>
        <v>1346</v>
      </c>
      <c r="AW52" s="192"/>
      <c r="AX52" s="229">
        <f t="shared" si="26"/>
        <v>62.580901197759161</v>
      </c>
      <c r="AY52" s="229">
        <f t="shared" si="27"/>
        <v>47.181668266026932</v>
      </c>
      <c r="AZ52" s="229">
        <f t="shared" si="28"/>
        <v>109.76256946378609</v>
      </c>
      <c r="BA52" s="53">
        <f t="shared" si="29"/>
        <v>73.417571493835823</v>
      </c>
      <c r="BB52" s="198">
        <f t="shared" si="30"/>
        <v>3.7494585915788929E-3</v>
      </c>
      <c r="BC52" s="211">
        <f t="shared" si="31"/>
        <v>307700.69216938538</v>
      </c>
      <c r="BD52" s="229">
        <f t="shared" si="32"/>
        <v>1631.5937487592903</v>
      </c>
      <c r="BE52" s="4">
        <f t="shared" si="33"/>
        <v>18648.52679814458</v>
      </c>
      <c r="BF52" s="4">
        <f t="shared" si="34"/>
        <v>98.884469621775224</v>
      </c>
      <c r="BG52" s="4">
        <f t="shared" si="35"/>
        <v>9429.4517983833175</v>
      </c>
      <c r="BH52" s="4">
        <f t="shared" si="36"/>
        <v>49.999999999999993</v>
      </c>
      <c r="BI52">
        <f t="shared" si="37"/>
        <v>79.489728896405879</v>
      </c>
      <c r="BJ52">
        <f t="shared" si="38"/>
        <v>30.272840567380214</v>
      </c>
      <c r="BL52" s="40"/>
    </row>
    <row r="53" spans="15:64">
      <c r="O53" s="195">
        <f t="shared" si="39"/>
        <v>50</v>
      </c>
      <c r="P53" s="138">
        <f t="shared" si="5"/>
        <v>18.875</v>
      </c>
      <c r="Q53" s="146"/>
      <c r="R53" s="56">
        <f t="shared" si="6"/>
        <v>25.517739206024519</v>
      </c>
      <c r="S53" s="56">
        <f t="shared" si="7"/>
        <v>0.66163000633080105</v>
      </c>
      <c r="T53" s="56">
        <f t="shared" si="8"/>
        <v>26.179369212355319</v>
      </c>
      <c r="U53" s="154">
        <f t="shared" si="0"/>
        <v>132.65109286098848</v>
      </c>
      <c r="V53" s="149">
        <f t="shared" si="9"/>
        <v>3.4327693987167454</v>
      </c>
      <c r="W53" s="162">
        <f t="shared" si="10"/>
        <v>20.368941487805987</v>
      </c>
      <c r="X53" s="4">
        <f t="shared" si="40"/>
        <v>98.884469621775111</v>
      </c>
      <c r="Y53" s="4">
        <f t="shared" si="11"/>
        <v>10.299363269942971</v>
      </c>
      <c r="Z53" s="4">
        <f t="shared" si="12"/>
        <v>50.000000000000128</v>
      </c>
      <c r="AA53" s="4">
        <f t="shared" si="46"/>
        <v>20.256207529253235</v>
      </c>
      <c r="AB53" s="4">
        <f t="shared" si="47"/>
        <v>5.9231616831020837</v>
      </c>
      <c r="AD53" s="228">
        <f t="shared" si="62"/>
        <v>50</v>
      </c>
      <c r="AE53" s="202">
        <f t="shared" si="41"/>
        <v>157</v>
      </c>
      <c r="AG53">
        <f t="shared" si="49"/>
        <v>43.91799304818467</v>
      </c>
      <c r="AH53">
        <f t="shared" si="50"/>
        <v>5.5033595228575241</v>
      </c>
      <c r="AI53" s="40">
        <f t="shared" si="51"/>
        <v>49.421352571042192</v>
      </c>
      <c r="AJ53" s="88">
        <f t="shared" si="52"/>
        <v>129.40910950230159</v>
      </c>
      <c r="AK53" s="199">
        <f t="shared" si="53"/>
        <v>2.363444792480355</v>
      </c>
      <c r="AL53" s="213">
        <f t="shared" si="54"/>
        <v>295.8473125585956</v>
      </c>
      <c r="AM53">
        <f t="shared" si="55"/>
        <v>988.84469621774747</v>
      </c>
      <c r="AN53" s="215">
        <f t="shared" si="56"/>
        <v>29.584731255859506</v>
      </c>
      <c r="AO53" s="63">
        <f t="shared" si="57"/>
        <v>98.884469621774556</v>
      </c>
      <c r="AP53" s="63">
        <f t="shared" si="58"/>
        <v>14.959240500059721</v>
      </c>
      <c r="AQ53" s="63">
        <f t="shared" si="59"/>
        <v>49.999999999999993</v>
      </c>
      <c r="AR53" s="63">
        <f t="shared" si="60"/>
        <v>23.498190887940112</v>
      </c>
      <c r="AS53" s="63">
        <f t="shared" si="61"/>
        <v>25.92316168310208</v>
      </c>
      <c r="AU53" s="192">
        <f t="shared" si="42"/>
        <v>50</v>
      </c>
      <c r="AV53" s="202">
        <f t="shared" si="43"/>
        <v>1373</v>
      </c>
      <c r="AW53" s="192"/>
      <c r="AX53" s="229">
        <f t="shared" si="26"/>
        <v>62.753410744735099</v>
      </c>
      <c r="AY53" s="229">
        <f t="shared" si="27"/>
        <v>48.128105890976947</v>
      </c>
      <c r="AZ53" s="229">
        <f t="shared" si="28"/>
        <v>110.88151663571205</v>
      </c>
      <c r="BA53" s="53">
        <f t="shared" si="29"/>
        <v>72.29862432190987</v>
      </c>
      <c r="BB53" s="198">
        <f t="shared" si="30"/>
        <v>3.2962580474699982E-3</v>
      </c>
      <c r="BC53" s="211">
        <f t="shared" si="31"/>
        <v>350006.275987642</v>
      </c>
      <c r="BD53" s="229">
        <f t="shared" si="32"/>
        <v>1631.5937487592846</v>
      </c>
      <c r="BE53" s="4">
        <f t="shared" si="33"/>
        <v>21212.50157500862</v>
      </c>
      <c r="BF53" s="4">
        <f t="shared" si="34"/>
        <v>98.884469621774898</v>
      </c>
      <c r="BG53" s="4">
        <f t="shared" si="35"/>
        <v>10725.901476816696</v>
      </c>
      <c r="BH53" s="4">
        <f t="shared" si="36"/>
        <v>50</v>
      </c>
      <c r="BI53">
        <f t="shared" si="37"/>
        <v>80.608676068331846</v>
      </c>
      <c r="BJ53">
        <f t="shared" si="38"/>
        <v>30.2728405673802</v>
      </c>
      <c r="BL53" s="40"/>
    </row>
    <row r="54" spans="15:64">
      <c r="O54" s="195">
        <f t="shared" si="39"/>
        <v>51</v>
      </c>
      <c r="P54" s="138">
        <f t="shared" si="5"/>
        <v>19.25</v>
      </c>
      <c r="Q54" s="146"/>
      <c r="R54" s="56">
        <f t="shared" si="6"/>
        <v>25.688614676890392</v>
      </c>
      <c r="S54" s="56">
        <f t="shared" si="7"/>
        <v>0.67477497334399583</v>
      </c>
      <c r="T54" s="56">
        <f t="shared" si="8"/>
        <v>26.363389650234389</v>
      </c>
      <c r="U54" s="154">
        <f t="shared" si="0"/>
        <v>132.46707242310941</v>
      </c>
      <c r="V54" s="149">
        <f t="shared" si="9"/>
        <v>3.3608072712640138</v>
      </c>
      <c r="W54" s="162">
        <f t="shared" si="10"/>
        <v>20.805084427615625</v>
      </c>
      <c r="X54" s="4">
        <f t="shared" si="40"/>
        <v>98.884469621775068</v>
      </c>
      <c r="Y54" s="4">
        <f t="shared" si="11"/>
        <v>10.51989483646593</v>
      </c>
      <c r="Z54" s="4">
        <f t="shared" si="12"/>
        <v>50.000000000000114</v>
      </c>
      <c r="AA54" s="4">
        <f t="shared" si="46"/>
        <v>20.440227967132302</v>
      </c>
      <c r="AB54" s="4">
        <f t="shared" si="47"/>
        <v>5.9231616831020872</v>
      </c>
      <c r="AD54" s="228">
        <f t="shared" si="62"/>
        <v>51</v>
      </c>
      <c r="AE54" s="202">
        <f t="shared" si="41"/>
        <v>160</v>
      </c>
      <c r="AG54">
        <f t="shared" si="49"/>
        <v>44.082399653118493</v>
      </c>
      <c r="AH54">
        <f t="shared" si="50"/>
        <v>5.6085192589630823</v>
      </c>
      <c r="AI54" s="40">
        <f t="shared" si="51"/>
        <v>49.690918912081578</v>
      </c>
      <c r="AJ54" s="88">
        <f t="shared" si="52"/>
        <v>129.13954316126222</v>
      </c>
      <c r="AK54" s="199">
        <f t="shared" si="53"/>
        <v>2.2912218647887967</v>
      </c>
      <c r="AL54" s="213">
        <f t="shared" si="54"/>
        <v>305.17288656390213</v>
      </c>
      <c r="AM54">
        <f t="shared" si="55"/>
        <v>988.84469621775168</v>
      </c>
      <c r="AN54" s="215">
        <f t="shared" si="56"/>
        <v>30.517288656390154</v>
      </c>
      <c r="AO54" s="63">
        <f t="shared" si="57"/>
        <v>98.884469621774983</v>
      </c>
      <c r="AP54" s="63">
        <f t="shared" si="58"/>
        <v>15.430779359547707</v>
      </c>
      <c r="AQ54" s="63">
        <f t="shared" si="59"/>
        <v>49.999999999999993</v>
      </c>
      <c r="AR54" s="63">
        <f t="shared" si="60"/>
        <v>23.76775722897947</v>
      </c>
      <c r="AS54" s="63">
        <f t="shared" si="61"/>
        <v>25.923161683102109</v>
      </c>
      <c r="AU54" s="192">
        <f t="shared" si="42"/>
        <v>51</v>
      </c>
      <c r="AV54" s="202">
        <f t="shared" si="43"/>
        <v>1400</v>
      </c>
      <c r="AW54" s="192"/>
      <c r="AX54" s="229">
        <f t="shared" si="26"/>
        <v>62.922560713564764</v>
      </c>
      <c r="AY54" s="229">
        <f t="shared" si="27"/>
        <v>49.074543515926969</v>
      </c>
      <c r="AZ54" s="229">
        <f t="shared" si="28"/>
        <v>111.99710422949173</v>
      </c>
      <c r="BA54" s="53">
        <f t="shared" si="29"/>
        <v>71.18303672813019</v>
      </c>
      <c r="BB54" s="198">
        <f t="shared" si="30"/>
        <v>2.8989573327628327E-3</v>
      </c>
      <c r="BC54" s="211">
        <f t="shared" si="31"/>
        <v>397974.46856167947</v>
      </c>
      <c r="BD54" s="229">
        <f t="shared" si="32"/>
        <v>1631.5937487592873</v>
      </c>
      <c r="BE54" s="4">
        <f t="shared" si="33"/>
        <v>24119.664761313921</v>
      </c>
      <c r="BF54" s="4">
        <f t="shared" si="34"/>
        <v>98.88446962177504</v>
      </c>
      <c r="BG54" s="4">
        <f t="shared" si="35"/>
        <v>12195.881139662099</v>
      </c>
      <c r="BH54" s="4">
        <f t="shared" si="36"/>
        <v>50</v>
      </c>
      <c r="BI54">
        <f t="shared" si="37"/>
        <v>81.724263662111525</v>
      </c>
      <c r="BJ54">
        <f t="shared" si="38"/>
        <v>30.2728405673802</v>
      </c>
      <c r="BL54" s="40"/>
    </row>
    <row r="55" spans="15:64">
      <c r="O55" s="195">
        <f t="shared" si="39"/>
        <v>52</v>
      </c>
      <c r="P55" s="138">
        <f t="shared" si="5"/>
        <v>19.625</v>
      </c>
      <c r="Q55" s="146"/>
      <c r="R55" s="56">
        <f t="shared" si="6"/>
        <v>25.856193308345805</v>
      </c>
      <c r="S55" s="56">
        <f t="shared" si="7"/>
        <v>0.68791994035719051</v>
      </c>
      <c r="T55" s="56">
        <f t="shared" si="8"/>
        <v>26.544113248702995</v>
      </c>
      <c r="U55" s="154">
        <f t="shared" si="0"/>
        <v>132.28634882464081</v>
      </c>
      <c r="V55" s="149">
        <f t="shared" si="9"/>
        <v>3.2916028389519512</v>
      </c>
      <c r="W55" s="162">
        <f t="shared" si="10"/>
        <v>21.242501736891054</v>
      </c>
      <c r="X55" s="4">
        <f t="shared" si="40"/>
        <v>98.884469621775125</v>
      </c>
      <c r="Y55" s="4">
        <f t="shared" si="11"/>
        <v>10.741070775897326</v>
      </c>
      <c r="Z55" s="4">
        <f t="shared" si="12"/>
        <v>50.000000000000142</v>
      </c>
      <c r="AA55" s="4">
        <f t="shared" si="46"/>
        <v>20.620951565600905</v>
      </c>
      <c r="AB55" s="4">
        <f t="shared" si="47"/>
        <v>5.9231616831020908</v>
      </c>
      <c r="AD55" s="228">
        <f t="shared" si="62"/>
        <v>52</v>
      </c>
      <c r="AE55" s="202">
        <f t="shared" si="41"/>
        <v>163</v>
      </c>
      <c r="AG55">
        <f t="shared" si="49"/>
        <v>44.243752088079155</v>
      </c>
      <c r="AH55">
        <f t="shared" si="50"/>
        <v>5.7136789950686397</v>
      </c>
      <c r="AI55" s="40">
        <f t="shared" si="51"/>
        <v>49.957431083147796</v>
      </c>
      <c r="AJ55" s="88">
        <f t="shared" si="52"/>
        <v>128.87303099019601</v>
      </c>
      <c r="AK55" s="199">
        <f t="shared" si="53"/>
        <v>2.2219871165554448</v>
      </c>
      <c r="AL55" s="213">
        <f t="shared" si="54"/>
        <v>314.68174816416683</v>
      </c>
      <c r="AM55">
        <f t="shared" si="55"/>
        <v>988.84469621775168</v>
      </c>
      <c r="AN55" s="215">
        <f t="shared" si="56"/>
        <v>31.468174816416624</v>
      </c>
      <c r="AO55" s="63">
        <f t="shared" si="57"/>
        <v>98.884469621774983</v>
      </c>
      <c r="AP55" s="63">
        <f t="shared" si="58"/>
        <v>15.911585983511779</v>
      </c>
      <c r="AQ55" s="63">
        <f t="shared" si="59"/>
        <v>49.999999999999993</v>
      </c>
      <c r="AR55" s="63">
        <f t="shared" si="60"/>
        <v>24.034269400045684</v>
      </c>
      <c r="AS55" s="63">
        <f t="shared" si="61"/>
        <v>25.923161683102112</v>
      </c>
      <c r="AU55" s="192">
        <f t="shared" si="42"/>
        <v>52</v>
      </c>
      <c r="AV55" s="202">
        <f t="shared" si="43"/>
        <v>1427</v>
      </c>
      <c r="AW55" s="192"/>
      <c r="AX55" s="229">
        <f t="shared" si="26"/>
        <v>63.088479462292938</v>
      </c>
      <c r="AY55" s="229">
        <f t="shared" si="27"/>
        <v>50.020981140876991</v>
      </c>
      <c r="AZ55" s="229">
        <f t="shared" si="28"/>
        <v>113.10946060316994</v>
      </c>
      <c r="BA55" s="53">
        <f t="shared" si="29"/>
        <v>70.07068035445198</v>
      </c>
      <c r="BB55" s="198">
        <f t="shared" si="30"/>
        <v>2.5504922294759215E-3</v>
      </c>
      <c r="BC55" s="211">
        <f t="shared" si="31"/>
        <v>452348.37046585954</v>
      </c>
      <c r="BD55" s="229">
        <f t="shared" si="32"/>
        <v>1631.5937487592846</v>
      </c>
      <c r="BE55" s="4">
        <f t="shared" si="33"/>
        <v>27415.052755506655</v>
      </c>
      <c r="BF55" s="4">
        <f t="shared" si="34"/>
        <v>98.884469621774883</v>
      </c>
      <c r="BG55" s="4">
        <f t="shared" si="35"/>
        <v>13862.163017290288</v>
      </c>
      <c r="BH55" s="4">
        <f t="shared" si="36"/>
        <v>50</v>
      </c>
      <c r="BI55">
        <f t="shared" si="37"/>
        <v>82.836620035789736</v>
      </c>
      <c r="BJ55">
        <f t="shared" si="38"/>
        <v>30.2728405673802</v>
      </c>
      <c r="BL55" s="40"/>
    </row>
    <row r="56" spans="15:64">
      <c r="O56" s="12">
        <f t="shared" si="39"/>
        <v>53</v>
      </c>
      <c r="P56" s="138">
        <f t="shared" si="5"/>
        <v>20</v>
      </c>
      <c r="Q56" s="146"/>
      <c r="R56" s="11">
        <f t="shared" si="6"/>
        <v>26.020599913279625</v>
      </c>
      <c r="S56" s="11">
        <f t="shared" si="7"/>
        <v>0.70106490737038529</v>
      </c>
      <c r="T56" s="11">
        <f t="shared" si="8"/>
        <v>26.721664820650009</v>
      </c>
      <c r="U56" s="154">
        <f t="shared" si="0"/>
        <v>132.10879725269379</v>
      </c>
      <c r="V56" s="163">
        <f t="shared" si="9"/>
        <v>3.2250009702254432</v>
      </c>
      <c r="W56" s="162">
        <f t="shared" si="10"/>
        <v>21.681196275331491</v>
      </c>
      <c r="X56" s="164">
        <f t="shared" si="40"/>
        <v>98.884469621775096</v>
      </c>
      <c r="Y56" s="4">
        <f t="shared" si="11"/>
        <v>10.962892534217115</v>
      </c>
      <c r="Z56" s="4">
        <f t="shared" si="12"/>
        <v>50.000000000000128</v>
      </c>
      <c r="AA56" s="4">
        <f t="shared" si="46"/>
        <v>20.798503137547925</v>
      </c>
      <c r="AB56" s="4">
        <f t="shared" si="47"/>
        <v>5.9231616831020837</v>
      </c>
      <c r="AC56" s="153"/>
      <c r="AD56" s="228">
        <f t="shared" si="62"/>
        <v>53</v>
      </c>
      <c r="AE56" s="202">
        <f t="shared" si="41"/>
        <v>166</v>
      </c>
      <c r="AF56" s="153"/>
      <c r="AG56">
        <f t="shared" si="49"/>
        <v>44.4021617608011</v>
      </c>
      <c r="AH56">
        <f t="shared" si="50"/>
        <v>5.818838731174198</v>
      </c>
      <c r="AI56" s="40">
        <f t="shared" si="51"/>
        <v>50.221000491975296</v>
      </c>
      <c r="AJ56" s="88">
        <f t="shared" si="52"/>
        <v>128.60946158136849</v>
      </c>
      <c r="AK56" s="199">
        <f t="shared" si="53"/>
        <v>2.1555746425476174</v>
      </c>
      <c r="AL56" s="213">
        <f t="shared" si="54"/>
        <v>324.37697885030479</v>
      </c>
      <c r="AM56">
        <f t="shared" si="55"/>
        <v>988.84469621774895</v>
      </c>
      <c r="AN56" s="215">
        <f t="shared" si="56"/>
        <v>32.437697885030417</v>
      </c>
      <c r="AO56" s="63">
        <f t="shared" si="57"/>
        <v>98.884469621774699</v>
      </c>
      <c r="AP56" s="63">
        <f t="shared" si="58"/>
        <v>16.401816184635493</v>
      </c>
      <c r="AQ56" s="63">
        <f t="shared" si="59"/>
        <v>50.000000000000007</v>
      </c>
      <c r="AR56" s="63">
        <f t="shared" si="60"/>
        <v>24.297838808873205</v>
      </c>
      <c r="AS56" s="63">
        <f t="shared" si="61"/>
        <v>25.923161683102091</v>
      </c>
      <c r="AT56" s="153"/>
      <c r="AU56" s="192">
        <f t="shared" si="42"/>
        <v>53</v>
      </c>
      <c r="AV56" s="202">
        <f t="shared" si="43"/>
        <v>1454</v>
      </c>
      <c r="AW56" s="23"/>
      <c r="AX56" s="229">
        <f t="shared" si="26"/>
        <v>63.251288130460381</v>
      </c>
      <c r="AY56" s="229">
        <f t="shared" si="27"/>
        <v>50.967418765827006</v>
      </c>
      <c r="AZ56" s="229">
        <f t="shared" si="28"/>
        <v>114.21870689628739</v>
      </c>
      <c r="BA56" s="53">
        <f t="shared" si="29"/>
        <v>68.961434061334529</v>
      </c>
      <c r="BB56" s="198">
        <f t="shared" si="30"/>
        <v>2.2447174880416989E-3</v>
      </c>
      <c r="BC56" s="211">
        <f t="shared" si="31"/>
        <v>513967.12950981501</v>
      </c>
      <c r="BD56" s="229">
        <f t="shared" si="32"/>
        <v>1631.5937487592907</v>
      </c>
      <c r="BE56" s="4">
        <f t="shared" si="33"/>
        <v>31149.523000594869</v>
      </c>
      <c r="BF56" s="4">
        <f t="shared" si="34"/>
        <v>98.884469621775253</v>
      </c>
      <c r="BG56" s="4">
        <f t="shared" si="35"/>
        <v>15750.462696386583</v>
      </c>
      <c r="BH56" s="4">
        <f t="shared" si="36"/>
        <v>50</v>
      </c>
      <c r="BI56">
        <f t="shared" si="37"/>
        <v>83.945866328907158</v>
      </c>
      <c r="BJ56">
        <f t="shared" si="38"/>
        <v>30.272840567380229</v>
      </c>
      <c r="BK56" s="153"/>
      <c r="BL56" s="40"/>
    </row>
    <row r="57" spans="15:64">
      <c r="O57" s="195">
        <f t="shared" si="39"/>
        <v>54</v>
      </c>
      <c r="P57" s="138">
        <f t="shared" si="5"/>
        <v>20.375</v>
      </c>
      <c r="Q57" s="146"/>
      <c r="R57" s="56">
        <f t="shared" si="6"/>
        <v>26.181952348240284</v>
      </c>
      <c r="S57" s="56">
        <f t="shared" si="7"/>
        <v>0.71420987438357997</v>
      </c>
      <c r="T57" s="56">
        <f t="shared" si="8"/>
        <v>26.896162222623865</v>
      </c>
      <c r="U57" s="154">
        <f t="shared" si="0"/>
        <v>131.93429985071992</v>
      </c>
      <c r="V57" s="149">
        <f t="shared" si="9"/>
        <v>3.1608579542739985</v>
      </c>
      <c r="W57" s="162">
        <f t="shared" si="10"/>
        <v>22.121170908375142</v>
      </c>
      <c r="X57" s="4">
        <f t="shared" si="40"/>
        <v>98.884469621774841</v>
      </c>
      <c r="Y57" s="4">
        <f t="shared" si="11"/>
        <v>11.185361560307115</v>
      </c>
      <c r="Z57" s="4">
        <f t="shared" si="12"/>
        <v>49.999999999999993</v>
      </c>
      <c r="AA57" s="4">
        <f t="shared" si="46"/>
        <v>20.973000539521777</v>
      </c>
      <c r="AB57" s="4">
        <f t="shared" si="47"/>
        <v>5.9231616831020872</v>
      </c>
      <c r="AD57" s="228">
        <f t="shared" si="62"/>
        <v>54</v>
      </c>
      <c r="AE57" s="202">
        <f t="shared" si="41"/>
        <v>169</v>
      </c>
      <c r="AG57">
        <f t="shared" si="49"/>
        <v>44.557734092273471</v>
      </c>
      <c r="AH57">
        <f t="shared" si="50"/>
        <v>5.9239984672797563</v>
      </c>
      <c r="AI57" s="40">
        <f t="shared" si="51"/>
        <v>50.48173255955323</v>
      </c>
      <c r="AJ57" s="88">
        <f t="shared" si="52"/>
        <v>128.34872951379057</v>
      </c>
      <c r="AK57" s="199">
        <f t="shared" si="53"/>
        <v>2.0918303638320479</v>
      </c>
      <c r="AL57" s="213">
        <f t="shared" si="54"/>
        <v>334.26170798812586</v>
      </c>
      <c r="AM57">
        <f t="shared" si="55"/>
        <v>988.84469621775065</v>
      </c>
      <c r="AN57" s="215">
        <f t="shared" si="56"/>
        <v>33.426170798812521</v>
      </c>
      <c r="AO57" s="63">
        <f t="shared" si="57"/>
        <v>98.884469621774869</v>
      </c>
      <c r="AP57" s="63">
        <f t="shared" si="58"/>
        <v>16.901628196351222</v>
      </c>
      <c r="AQ57" s="63">
        <f t="shared" si="59"/>
        <v>50</v>
      </c>
      <c r="AR57" s="63">
        <f t="shared" si="60"/>
        <v>24.558570876451121</v>
      </c>
      <c r="AS57" s="63">
        <f t="shared" si="61"/>
        <v>25.923161683102109</v>
      </c>
      <c r="AU57" s="192">
        <f t="shared" si="42"/>
        <v>54</v>
      </c>
      <c r="AV57" s="202">
        <f t="shared" si="43"/>
        <v>1481</v>
      </c>
      <c r="AW57" s="192"/>
      <c r="AX57" s="229">
        <f t="shared" si="26"/>
        <v>63.411101170424175</v>
      </c>
      <c r="AY57" s="229">
        <f t="shared" si="27"/>
        <v>51.913856390777035</v>
      </c>
      <c r="AZ57" s="229">
        <f t="shared" si="28"/>
        <v>115.32495756120122</v>
      </c>
      <c r="BA57" s="53">
        <f t="shared" si="29"/>
        <v>67.855183396420699</v>
      </c>
      <c r="BB57" s="198">
        <f t="shared" si="30"/>
        <v>1.9762830999170587E-3</v>
      </c>
      <c r="BC57" s="211">
        <f t="shared" si="31"/>
        <v>583778.20664341643</v>
      </c>
      <c r="BD57" s="229">
        <f t="shared" si="32"/>
        <v>1631.5937487592876</v>
      </c>
      <c r="BE57" s="4">
        <f t="shared" si="33"/>
        <v>35380.497372328289</v>
      </c>
      <c r="BF57" s="4">
        <f t="shared" si="34"/>
        <v>98.884469621775068</v>
      </c>
      <c r="BG57" s="4">
        <f t="shared" si="35"/>
        <v>17889.815007177454</v>
      </c>
      <c r="BH57" s="4">
        <f t="shared" si="36"/>
        <v>50.000000000000007</v>
      </c>
      <c r="BI57">
        <f t="shared" si="37"/>
        <v>85.052116993821002</v>
      </c>
      <c r="BJ57">
        <f t="shared" si="38"/>
        <v>30.272840567380214</v>
      </c>
      <c r="BL57" s="40"/>
    </row>
    <row r="58" spans="15:64">
      <c r="O58" s="195">
        <f t="shared" si="39"/>
        <v>55</v>
      </c>
      <c r="P58" s="138">
        <f t="shared" si="5"/>
        <v>20.75</v>
      </c>
      <c r="Q58" s="146"/>
      <c r="R58" s="56">
        <f t="shared" si="6"/>
        <v>26.340362020962228</v>
      </c>
      <c r="S58" s="56">
        <f t="shared" si="7"/>
        <v>0.72735484139677475</v>
      </c>
      <c r="T58" s="56">
        <f t="shared" si="8"/>
        <v>27.067716862359003</v>
      </c>
      <c r="U58" s="154">
        <f t="shared" si="0"/>
        <v>131.7627452109848</v>
      </c>
      <c r="V58" s="149">
        <f t="shared" si="9"/>
        <v>3.0990404690367428</v>
      </c>
      <c r="W58" s="162">
        <f t="shared" si="10"/>
        <v>22.562428507210083</v>
      </c>
      <c r="X58" s="4">
        <f t="shared" si="40"/>
        <v>98.884469621775082</v>
      </c>
      <c r="Y58" s="4">
        <f t="shared" si="11"/>
        <v>11.408479305956517</v>
      </c>
      <c r="Z58" s="4">
        <f t="shared" si="12"/>
        <v>50.000000000000121</v>
      </c>
      <c r="AA58" s="4">
        <f t="shared" si="46"/>
        <v>21.144555179256916</v>
      </c>
      <c r="AB58" s="4">
        <f t="shared" si="47"/>
        <v>5.9231616831020872</v>
      </c>
      <c r="AD58" s="228">
        <f t="shared" si="62"/>
        <v>55</v>
      </c>
      <c r="AE58" s="202">
        <f t="shared" si="41"/>
        <v>172</v>
      </c>
      <c r="AG58">
        <f t="shared" si="49"/>
        <v>44.710568938150971</v>
      </c>
      <c r="AH58">
        <f t="shared" si="50"/>
        <v>6.0291582033853128</v>
      </c>
      <c r="AI58" s="40">
        <f t="shared" si="51"/>
        <v>50.739727141536285</v>
      </c>
      <c r="AJ58" s="88">
        <f t="shared" si="52"/>
        <v>128.0907349318075</v>
      </c>
      <c r="AK58" s="199">
        <f t="shared" si="53"/>
        <v>2.0306109958670802</v>
      </c>
      <c r="AL58" s="213">
        <f t="shared" si="54"/>
        <v>344.33911352743013</v>
      </c>
      <c r="AM58">
        <f t="shared" si="55"/>
        <v>988.84469621774986</v>
      </c>
      <c r="AN58" s="215">
        <f t="shared" si="56"/>
        <v>34.433911352742946</v>
      </c>
      <c r="AO58" s="63">
        <f t="shared" si="57"/>
        <v>98.884469621774798</v>
      </c>
      <c r="AP58" s="63">
        <f t="shared" si="58"/>
        <v>17.411182708695264</v>
      </c>
      <c r="AQ58" s="63">
        <f t="shared" si="59"/>
        <v>50</v>
      </c>
      <c r="AR58" s="63">
        <f t="shared" si="60"/>
        <v>24.816565458434194</v>
      </c>
      <c r="AS58" s="63">
        <f t="shared" si="61"/>
        <v>25.923161683102091</v>
      </c>
      <c r="AU58" s="229">
        <f t="shared" si="42"/>
        <v>55</v>
      </c>
      <c r="AV58" s="202">
        <f t="shared" si="43"/>
        <v>1508</v>
      </c>
      <c r="AX58" s="229">
        <f t="shared" si="26"/>
        <v>63.568026830675102</v>
      </c>
      <c r="AY58" s="229">
        <f t="shared" si="27"/>
        <v>52.86029401572705</v>
      </c>
      <c r="AZ58" s="229">
        <f t="shared" si="28"/>
        <v>116.42832084640216</v>
      </c>
      <c r="BA58" s="53">
        <f t="shared" si="29"/>
        <v>66.751820111219757</v>
      </c>
      <c r="BB58" s="198">
        <f t="shared" si="30"/>
        <v>1.7405279132315606E-3</v>
      </c>
      <c r="BC58" s="211">
        <f t="shared" si="31"/>
        <v>662851.19308844081</v>
      </c>
      <c r="BD58" s="229">
        <f t="shared" si="32"/>
        <v>1631.5937487592903</v>
      </c>
      <c r="BE58" s="4">
        <f t="shared" si="33"/>
        <v>40172.799581117652</v>
      </c>
      <c r="BF58" s="4">
        <f t="shared" si="34"/>
        <v>98.884469621775239</v>
      </c>
      <c r="BG58" s="4">
        <f t="shared" si="35"/>
        <v>20312.997447817248</v>
      </c>
      <c r="BH58" s="4">
        <f t="shared" si="36"/>
        <v>50</v>
      </c>
      <c r="BI58">
        <f t="shared" si="37"/>
        <v>86.15548027902193</v>
      </c>
      <c r="BJ58">
        <f t="shared" si="38"/>
        <v>30.272840567380229</v>
      </c>
      <c r="BL58" s="40"/>
    </row>
    <row r="59" spans="15:64">
      <c r="O59" s="195">
        <f t="shared" si="39"/>
        <v>56</v>
      </c>
      <c r="P59" s="138">
        <f t="shared" si="5"/>
        <v>21.125</v>
      </c>
      <c r="Q59" s="146"/>
      <c r="R59" s="56">
        <f t="shared" si="6"/>
        <v>26.495934352434599</v>
      </c>
      <c r="S59" s="56">
        <f t="shared" si="7"/>
        <v>0.74049980840996954</v>
      </c>
      <c r="T59" s="56">
        <f t="shared" si="8"/>
        <v>27.236434160844567</v>
      </c>
      <c r="U59" s="154">
        <f t="shared" si="0"/>
        <v>131.59402791249923</v>
      </c>
      <c r="V59" s="149">
        <f t="shared" si="9"/>
        <v>3.0394246591239544</v>
      </c>
      <c r="W59" s="162">
        <f t="shared" si="10"/>
        <v>23.004971948785073</v>
      </c>
      <c r="X59" s="4">
        <f t="shared" si="40"/>
        <v>98.884469621774926</v>
      </c>
      <c r="Y59" s="4">
        <f t="shared" si="11"/>
        <v>11.632247225867339</v>
      </c>
      <c r="Z59" s="4">
        <f t="shared" si="12"/>
        <v>50.000000000000036</v>
      </c>
      <c r="AA59" s="4">
        <f t="shared" si="46"/>
        <v>21.313272477742476</v>
      </c>
      <c r="AB59" s="4">
        <f t="shared" si="47"/>
        <v>5.9231616831020908</v>
      </c>
      <c r="AD59" s="228">
        <f t="shared" si="62"/>
        <v>56</v>
      </c>
      <c r="AE59" s="202">
        <f t="shared" si="41"/>
        <v>175</v>
      </c>
      <c r="AG59">
        <f t="shared" si="49"/>
        <v>44.860760973725888</v>
      </c>
      <c r="AH59">
        <f t="shared" si="50"/>
        <v>6.1343179394908711</v>
      </c>
      <c r="AI59" s="40">
        <f t="shared" si="51"/>
        <v>50.995078913216759</v>
      </c>
      <c r="AJ59" s="88">
        <f t="shared" si="52"/>
        <v>127.83538316012704</v>
      </c>
      <c r="AK59" s="199">
        <f t="shared" si="53"/>
        <v>1.9717831227404574</v>
      </c>
      <c r="AL59" s="213">
        <f t="shared" si="54"/>
        <v>354.61242272127885</v>
      </c>
      <c r="AM59">
        <f t="shared" si="55"/>
        <v>988.84469621774974</v>
      </c>
      <c r="AN59" s="215">
        <f t="shared" si="56"/>
        <v>35.461242272127819</v>
      </c>
      <c r="AO59" s="63">
        <f t="shared" si="57"/>
        <v>98.884469621774784</v>
      </c>
      <c r="AP59" s="63">
        <f t="shared" si="58"/>
        <v>17.93064290467666</v>
      </c>
      <c r="AQ59" s="63">
        <f t="shared" si="59"/>
        <v>49.999999999999993</v>
      </c>
      <c r="AR59" s="63">
        <f t="shared" si="60"/>
        <v>25.071917230114661</v>
      </c>
      <c r="AS59" s="63">
        <f t="shared" si="61"/>
        <v>25.923161683102098</v>
      </c>
      <c r="AU59" s="229">
        <f t="shared" si="42"/>
        <v>56</v>
      </c>
      <c r="AV59" s="202">
        <f t="shared" si="43"/>
        <v>1535</v>
      </c>
      <c r="AX59" s="229">
        <f t="shared" si="26"/>
        <v>63.722167596264107</v>
      </c>
      <c r="AY59" s="229">
        <f t="shared" si="27"/>
        <v>53.806731640677064</v>
      </c>
      <c r="AZ59" s="229">
        <f t="shared" si="28"/>
        <v>117.52889923694117</v>
      </c>
      <c r="BA59" s="53">
        <f t="shared" si="29"/>
        <v>65.651241720680744</v>
      </c>
      <c r="BB59" s="198">
        <f t="shared" si="30"/>
        <v>1.5333880451854727E-3</v>
      </c>
      <c r="BC59" s="211">
        <f t="shared" si="31"/>
        <v>752393.37329627085</v>
      </c>
      <c r="BD59" s="229">
        <f t="shared" si="32"/>
        <v>1631.5937487592878</v>
      </c>
      <c r="BE59" s="4">
        <f t="shared" si="33"/>
        <v>45599.598381592201</v>
      </c>
      <c r="BF59" s="4">
        <f t="shared" si="34"/>
        <v>98.884469621775082</v>
      </c>
      <c r="BG59" s="4">
        <f t="shared" si="35"/>
        <v>23057.007109411061</v>
      </c>
      <c r="BH59" s="4">
        <f t="shared" si="36"/>
        <v>50</v>
      </c>
      <c r="BI59">
        <f t="shared" si="37"/>
        <v>87.256058669560957</v>
      </c>
      <c r="BJ59">
        <f t="shared" si="38"/>
        <v>30.272840567380214</v>
      </c>
      <c r="BL59" s="40"/>
    </row>
    <row r="60" spans="15:64">
      <c r="O60" s="195">
        <f t="shared" si="39"/>
        <v>57</v>
      </c>
      <c r="P60" s="138">
        <f t="shared" si="5"/>
        <v>21.5</v>
      </c>
      <c r="Q60" s="146"/>
      <c r="R60" s="56">
        <f t="shared" si="6"/>
        <v>26.64876919831211</v>
      </c>
      <c r="S60" s="56">
        <f t="shared" si="7"/>
        <v>0.7536447754231641</v>
      </c>
      <c r="T60" s="56">
        <f t="shared" si="8"/>
        <v>27.402413973735275</v>
      </c>
      <c r="U60" s="154">
        <f t="shared" si="0"/>
        <v>131.42804809960853</v>
      </c>
      <c r="V60" s="149">
        <f t="shared" si="9"/>
        <v>2.9818953102353478</v>
      </c>
      <c r="W60" s="162">
        <f t="shared" si="10"/>
        <v>23.44880411582044</v>
      </c>
      <c r="X60" s="4">
        <f t="shared" si="40"/>
        <v>98.884469621775054</v>
      </c>
      <c r="Y60" s="4">
        <f t="shared" si="11"/>
        <v>11.856666777659946</v>
      </c>
      <c r="Z60" s="4">
        <f t="shared" si="12"/>
        <v>50.000000000000099</v>
      </c>
      <c r="AA60" s="4">
        <f t="shared" si="46"/>
        <v>21.479252290633184</v>
      </c>
      <c r="AB60" s="4">
        <f t="shared" si="47"/>
        <v>5.9231616831020908</v>
      </c>
      <c r="AD60" s="228">
        <f t="shared" si="62"/>
        <v>57</v>
      </c>
      <c r="AE60" s="202">
        <f t="shared" si="41"/>
        <v>178</v>
      </c>
      <c r="AG60">
        <f t="shared" si="49"/>
        <v>45.008400046177883</v>
      </c>
      <c r="AH60">
        <f t="shared" si="50"/>
        <v>6.2394776755964285</v>
      </c>
      <c r="AI60" s="40">
        <f t="shared" si="51"/>
        <v>51.247877721774309</v>
      </c>
      <c r="AJ60" s="88">
        <f t="shared" si="52"/>
        <v>127.58258435156949</v>
      </c>
      <c r="AK60" s="199">
        <f t="shared" si="53"/>
        <v>1.9152223650297135</v>
      </c>
      <c r="AL60" s="213">
        <f t="shared" si="54"/>
        <v>365.08491285557596</v>
      </c>
      <c r="AM60">
        <f t="shared" si="55"/>
        <v>988.84469621775077</v>
      </c>
      <c r="AN60" s="215">
        <f t="shared" si="56"/>
        <v>36.508491285557525</v>
      </c>
      <c r="AO60" s="63">
        <f t="shared" si="57"/>
        <v>98.884469621774883</v>
      </c>
      <c r="AP60" s="63">
        <f t="shared" si="58"/>
        <v>18.460174497168037</v>
      </c>
      <c r="AQ60" s="63">
        <f t="shared" si="59"/>
        <v>50</v>
      </c>
      <c r="AR60" s="63">
        <f t="shared" si="60"/>
        <v>25.3247160386722</v>
      </c>
      <c r="AS60" s="63">
        <f t="shared" si="61"/>
        <v>25.923161683102109</v>
      </c>
      <c r="AU60" s="229">
        <f t="shared" si="42"/>
        <v>57</v>
      </c>
      <c r="AV60" s="202">
        <f t="shared" si="43"/>
        <v>1562</v>
      </c>
      <c r="AX60" s="229">
        <f t="shared" si="26"/>
        <v>63.873620590825631</v>
      </c>
      <c r="AY60" s="229">
        <f t="shared" si="27"/>
        <v>54.753169265627093</v>
      </c>
      <c r="AZ60" s="229">
        <f t="shared" si="28"/>
        <v>118.62678985645272</v>
      </c>
      <c r="BA60" s="53">
        <f t="shared" si="29"/>
        <v>64.553351101169199</v>
      </c>
      <c r="BB60" s="198">
        <f t="shared" si="30"/>
        <v>1.3513179387075079E-3</v>
      </c>
      <c r="BC60" s="211">
        <f t="shared" si="31"/>
        <v>853767.25257770333</v>
      </c>
      <c r="BD60" s="229">
        <f t="shared" si="32"/>
        <v>1631.5937487592903</v>
      </c>
      <c r="BE60" s="4">
        <f t="shared" si="33"/>
        <v>51743.469853194176</v>
      </c>
      <c r="BF60" s="4">
        <f t="shared" si="34"/>
        <v>98.884469621775239</v>
      </c>
      <c r="BG60" s="4">
        <f t="shared" si="35"/>
        <v>26163.597808183928</v>
      </c>
      <c r="BH60" s="4">
        <f t="shared" si="36"/>
        <v>50</v>
      </c>
      <c r="BI60">
        <f t="shared" si="37"/>
        <v>88.353949289072503</v>
      </c>
      <c r="BJ60">
        <f t="shared" si="38"/>
        <v>30.272840567380214</v>
      </c>
      <c r="BL60" s="40"/>
    </row>
    <row r="61" spans="15:64">
      <c r="O61" s="195">
        <f t="shared" si="39"/>
        <v>58</v>
      </c>
      <c r="P61" s="138">
        <f t="shared" si="5"/>
        <v>21.875</v>
      </c>
      <c r="Q61" s="146"/>
      <c r="R61" s="56">
        <f t="shared" si="6"/>
        <v>26.798961233887017</v>
      </c>
      <c r="S61" s="56">
        <f t="shared" si="7"/>
        <v>0.76678974243635889</v>
      </c>
      <c r="T61" s="56">
        <f t="shared" si="8"/>
        <v>27.565750976323375</v>
      </c>
      <c r="U61" s="154">
        <f t="shared" si="0"/>
        <v>131.26471109702041</v>
      </c>
      <c r="V61" s="149">
        <f t="shared" si="9"/>
        <v>2.9263451084951635</v>
      </c>
      <c r="W61" s="162">
        <f t="shared" si="10"/>
        <v>23.893927896818894</v>
      </c>
      <c r="X61" s="4">
        <f t="shared" si="40"/>
        <v>98.884469621774784</v>
      </c>
      <c r="Y61" s="4">
        <f t="shared" si="11"/>
        <v>12.081739421878506</v>
      </c>
      <c r="Z61" s="4">
        <f t="shared" si="12"/>
        <v>49.999999999999972</v>
      </c>
      <c r="AA61" s="4">
        <f t="shared" si="46"/>
        <v>21.642589293221285</v>
      </c>
      <c r="AB61" s="4">
        <f t="shared" si="47"/>
        <v>5.9231616831020908</v>
      </c>
      <c r="AD61" s="228">
        <f t="shared" si="62"/>
        <v>58</v>
      </c>
      <c r="AE61" s="202">
        <f t="shared" si="41"/>
        <v>181</v>
      </c>
      <c r="AG61">
        <f t="shared" si="49"/>
        <v>45.153571497383695</v>
      </c>
      <c r="AH61">
        <f t="shared" si="50"/>
        <v>6.3446374117019868</v>
      </c>
      <c r="AI61" s="40">
        <f t="shared" si="51"/>
        <v>51.498208909085683</v>
      </c>
      <c r="AJ61" s="88">
        <f t="shared" si="52"/>
        <v>127.33225316425811</v>
      </c>
      <c r="AK61" s="199">
        <f t="shared" si="53"/>
        <v>1.8608126304228696</v>
      </c>
      <c r="AL61" s="213">
        <f t="shared" si="54"/>
        <v>375.75991198910975</v>
      </c>
      <c r="AM61">
        <f t="shared" si="55"/>
        <v>988.84469621774815</v>
      </c>
      <c r="AN61" s="215">
        <f t="shared" si="56"/>
        <v>37.575991198910906</v>
      </c>
      <c r="AO61" s="63">
        <f t="shared" si="57"/>
        <v>98.884469621774628</v>
      </c>
      <c r="AP61" s="63">
        <f t="shared" si="58"/>
        <v>18.999945766325155</v>
      </c>
      <c r="AQ61" s="63">
        <f t="shared" si="59"/>
        <v>50</v>
      </c>
      <c r="AR61" s="63">
        <f t="shared" si="60"/>
        <v>25.575047225983596</v>
      </c>
      <c r="AS61" s="63">
        <f t="shared" si="61"/>
        <v>25.923161683102087</v>
      </c>
      <c r="AU61" s="229">
        <f t="shared" si="42"/>
        <v>58</v>
      </c>
      <c r="AV61" s="202">
        <f t="shared" si="43"/>
        <v>1589</v>
      </c>
      <c r="AX61" s="229">
        <f t="shared" si="26"/>
        <v>64.022477944147596</v>
      </c>
      <c r="AY61" s="229">
        <f t="shared" si="27"/>
        <v>55.699606890577108</v>
      </c>
      <c r="AZ61" s="229">
        <f t="shared" si="28"/>
        <v>119.72208483472471</v>
      </c>
      <c r="BA61" s="53">
        <f t="shared" si="29"/>
        <v>63.458056122897204</v>
      </c>
      <c r="BB61" s="198">
        <f t="shared" si="30"/>
        <v>1.1912222402262354E-3</v>
      </c>
      <c r="BC61" s="211">
        <f t="shared" si="31"/>
        <v>968510.29550133226</v>
      </c>
      <c r="BD61" s="229">
        <f t="shared" si="32"/>
        <v>1631.5937487592846</v>
      </c>
      <c r="BE61" s="4">
        <f t="shared" si="33"/>
        <v>58697.593666747445</v>
      </c>
      <c r="BF61" s="4">
        <f t="shared" si="34"/>
        <v>98.884469621774898</v>
      </c>
      <c r="BG61" s="4">
        <f t="shared" si="35"/>
        <v>29679.884966396141</v>
      </c>
      <c r="BH61" s="4">
        <f t="shared" si="36"/>
        <v>50.000000000000007</v>
      </c>
      <c r="BI61">
        <f t="shared" si="37"/>
        <v>89.449244267344511</v>
      </c>
      <c r="BJ61">
        <f t="shared" si="38"/>
        <v>30.2728405673802</v>
      </c>
      <c r="BL61" s="40"/>
    </row>
    <row r="62" spans="15:64">
      <c r="O62" s="195">
        <f t="shared" si="39"/>
        <v>59</v>
      </c>
      <c r="P62" s="138">
        <f t="shared" si="5"/>
        <v>22.25</v>
      </c>
      <c r="Q62" s="146"/>
      <c r="R62" s="56">
        <f t="shared" si="6"/>
        <v>26.946600306339008</v>
      </c>
      <c r="S62" s="56">
        <f t="shared" si="7"/>
        <v>0.77993470944955356</v>
      </c>
      <c r="T62" s="56">
        <f t="shared" si="8"/>
        <v>27.72653501578856</v>
      </c>
      <c r="U62" s="154">
        <f t="shared" si="0"/>
        <v>131.10392705755524</v>
      </c>
      <c r="V62" s="149">
        <f t="shared" si="9"/>
        <v>2.8726739746860988</v>
      </c>
      <c r="W62" s="162">
        <f t="shared" si="10"/>
        <v>24.340346186076587</v>
      </c>
      <c r="X62" s="4">
        <f t="shared" si="40"/>
        <v>98.884469621774997</v>
      </c>
      <c r="Y62" s="4">
        <f t="shared" si="11"/>
        <v>12.307466621996586</v>
      </c>
      <c r="Z62" s="4">
        <f t="shared" si="12"/>
        <v>50.000000000000071</v>
      </c>
      <c r="AA62" s="4">
        <f t="shared" si="46"/>
        <v>21.803373332686469</v>
      </c>
      <c r="AB62" s="4">
        <f t="shared" si="47"/>
        <v>5.9231616831020908</v>
      </c>
      <c r="AD62" s="230">
        <f t="shared" si="62"/>
        <v>59</v>
      </c>
      <c r="AE62" s="202">
        <f t="shared" si="41"/>
        <v>184</v>
      </c>
      <c r="AG62">
        <f t="shared" ref="AG62:AG89" si="63">20*LOG(AE62)</f>
        <v>45.296356460190729</v>
      </c>
      <c r="AH62">
        <f t="shared" ref="AH62:AH89" si="64">2*$J$6*(AE62/1000)</f>
        <v>6.4497971478075442</v>
      </c>
      <c r="AI62" s="40">
        <f t="shared" ref="AI62:AI89" si="65">AG62+AH62</f>
        <v>51.746153607998274</v>
      </c>
      <c r="AJ62" s="88">
        <f t="shared" ref="AJ62:AJ89" si="66">$AF$4-(AG62+AH62)+$Q$8+$Q$10</f>
        <v>127.08430846534552</v>
      </c>
      <c r="AK62" s="199">
        <f t="shared" ref="AK62:AK89" si="67">POWER(10,(AJ62+$D$16)*0.05)*1000</f>
        <v>1.8084454376539267</v>
      </c>
      <c r="AL62" s="213">
        <f t="shared" ref="AL62:AL89" si="68">POWER(10,0.05*AI62)</f>
        <v>386.64079970419732</v>
      </c>
      <c r="AM62">
        <f t="shared" ref="AM62:AM89" si="69">AK62*POWER(2,0.5)*AL62</f>
        <v>988.84469621774838</v>
      </c>
      <c r="AN62" s="215">
        <f t="shared" ref="AN62:AN89" si="70">AL62*($X$4/$AM$4)</f>
        <v>38.664079970419657</v>
      </c>
      <c r="AO62" s="63">
        <f t="shared" ref="AO62:AO89" si="71">AK62*POWER(2,0.5)*AN62</f>
        <v>98.884469621774642</v>
      </c>
      <c r="AP62" s="63">
        <f t="shared" ref="AP62:AP89" si="72">AL62*(50/AM62)</f>
        <v>19.550127597542232</v>
      </c>
      <c r="AQ62" s="63">
        <f t="shared" ref="AQ62:AQ89" si="73">AK62*POWER(2,0.5)*AP62</f>
        <v>50</v>
      </c>
      <c r="AR62" s="63">
        <f t="shared" ref="AR62:AR89" si="74">20*LOG10(AP62)</f>
        <v>25.822991924896183</v>
      </c>
      <c r="AS62" s="63">
        <f t="shared" ref="AS62:AS89" si="75">AI62-AR62</f>
        <v>25.923161683102091</v>
      </c>
      <c r="AU62" s="229">
        <f t="shared" si="42"/>
        <v>59</v>
      </c>
      <c r="AV62" s="202">
        <f t="shared" si="43"/>
        <v>1616</v>
      </c>
      <c r="AX62" s="229">
        <f t="shared" si="26"/>
        <v>64.168827128771341</v>
      </c>
      <c r="AY62" s="229">
        <f t="shared" si="27"/>
        <v>56.64604451552713</v>
      </c>
      <c r="AZ62" s="229">
        <f t="shared" si="28"/>
        <v>120.81487164429848</v>
      </c>
      <c r="BA62" s="53">
        <f t="shared" si="29"/>
        <v>62.365269313323438</v>
      </c>
      <c r="BB62" s="198">
        <f t="shared" si="30"/>
        <v>1.0503969515000141E-3</v>
      </c>
      <c r="BC62" s="211">
        <f t="shared" si="31"/>
        <v>1098357.1517812568</v>
      </c>
      <c r="BD62" s="229">
        <f t="shared" si="32"/>
        <v>1631.5937487592848</v>
      </c>
      <c r="BE62" s="4">
        <f t="shared" si="33"/>
        <v>66567.10010795499</v>
      </c>
      <c r="BF62" s="4">
        <f t="shared" si="34"/>
        <v>98.884469621774883</v>
      </c>
      <c r="BG62" s="4">
        <f t="shared" si="35"/>
        <v>33659.026722077178</v>
      </c>
      <c r="BH62" s="4">
        <f t="shared" si="36"/>
        <v>50.000000000000007</v>
      </c>
      <c r="BI62">
        <f t="shared" si="37"/>
        <v>90.542031076918278</v>
      </c>
      <c r="BJ62">
        <f t="shared" si="38"/>
        <v>30.2728405673802</v>
      </c>
      <c r="BL62" s="40"/>
    </row>
    <row r="63" spans="15:64">
      <c r="O63" s="195">
        <f t="shared" si="39"/>
        <v>60</v>
      </c>
      <c r="P63" s="138">
        <f t="shared" si="5"/>
        <v>22.625</v>
      </c>
      <c r="Q63" s="146"/>
      <c r="R63" s="56">
        <f t="shared" si="6"/>
        <v>27.091771757544819</v>
      </c>
      <c r="S63" s="56">
        <f t="shared" si="7"/>
        <v>0.79307967646274835</v>
      </c>
      <c r="T63" s="56">
        <f t="shared" si="8"/>
        <v>27.884851434007569</v>
      </c>
      <c r="U63" s="154">
        <f t="shared" si="0"/>
        <v>130.94561063933622</v>
      </c>
      <c r="V63" s="149">
        <f t="shared" si="9"/>
        <v>2.8207884646918822</v>
      </c>
      <c r="W63" s="162">
        <f t="shared" si="10"/>
        <v>24.78806188369386</v>
      </c>
      <c r="X63" s="4">
        <f t="shared" si="40"/>
        <v>98.884469621774883</v>
      </c>
      <c r="Y63" s="4">
        <f t="shared" si="11"/>
        <v>12.533849844422591</v>
      </c>
      <c r="Z63" s="4">
        <f t="shared" si="12"/>
        <v>50.000000000000014</v>
      </c>
      <c r="AA63" s="4">
        <f t="shared" si="46"/>
        <v>21.961689750905478</v>
      </c>
      <c r="AB63" s="4">
        <f t="shared" si="47"/>
        <v>5.9231616831020908</v>
      </c>
      <c r="AD63" s="230">
        <f t="shared" si="62"/>
        <v>60</v>
      </c>
      <c r="AE63" s="202">
        <f t="shared" si="41"/>
        <v>187</v>
      </c>
      <c r="AG63">
        <f t="shared" si="63"/>
        <v>45.436832130729982</v>
      </c>
      <c r="AH63">
        <f t="shared" si="64"/>
        <v>6.5549568839131025</v>
      </c>
      <c r="AI63" s="40">
        <f t="shared" si="65"/>
        <v>51.991789014643082</v>
      </c>
      <c r="AJ63" s="88">
        <f t="shared" si="66"/>
        <v>126.83867305870072</v>
      </c>
      <c r="AK63" s="199">
        <f t="shared" si="67"/>
        <v>1.7580193055197457</v>
      </c>
      <c r="AL63" s="213">
        <f t="shared" si="68"/>
        <v>397.73100786808715</v>
      </c>
      <c r="AM63">
        <f t="shared" si="69"/>
        <v>988.84469621775077</v>
      </c>
      <c r="AN63" s="215">
        <f t="shared" si="70"/>
        <v>39.773100786808641</v>
      </c>
      <c r="AO63" s="63">
        <f t="shared" si="71"/>
        <v>98.884469621774883</v>
      </c>
      <c r="AP63" s="63">
        <f t="shared" si="72"/>
        <v>20.110893519951887</v>
      </c>
      <c r="AQ63" s="63">
        <f t="shared" si="73"/>
        <v>49.999999999999993</v>
      </c>
      <c r="AR63" s="63">
        <f t="shared" si="74"/>
        <v>26.06862733154097</v>
      </c>
      <c r="AS63" s="63">
        <f t="shared" si="75"/>
        <v>25.923161683102112</v>
      </c>
      <c r="AU63" s="229">
        <f t="shared" si="42"/>
        <v>60</v>
      </c>
      <c r="AV63" s="202">
        <f t="shared" si="43"/>
        <v>1643</v>
      </c>
      <c r="AX63" s="229">
        <f t="shared" si="26"/>
        <v>64.312751268701234</v>
      </c>
      <c r="AY63" s="229">
        <f t="shared" si="27"/>
        <v>57.592482140477152</v>
      </c>
      <c r="AZ63" s="229">
        <f t="shared" si="28"/>
        <v>121.90523340917838</v>
      </c>
      <c r="BA63" s="53">
        <f t="shared" si="29"/>
        <v>61.274907548443537</v>
      </c>
      <c r="BB63" s="198">
        <f t="shared" si="30"/>
        <v>9.2647854041657727E-4</v>
      </c>
      <c r="BC63" s="211">
        <f t="shared" si="31"/>
        <v>1245264.6807885275</v>
      </c>
      <c r="BD63" s="229">
        <f t="shared" si="32"/>
        <v>1631.5937487592844</v>
      </c>
      <c r="BE63" s="4">
        <f t="shared" si="33"/>
        <v>75470.586714456251</v>
      </c>
      <c r="BF63" s="4">
        <f t="shared" si="34"/>
        <v>98.884469621774855</v>
      </c>
      <c r="BG63" s="4">
        <f t="shared" si="35"/>
        <v>38160.990802259024</v>
      </c>
      <c r="BH63" s="4">
        <f t="shared" si="36"/>
        <v>49.999999999999993</v>
      </c>
      <c r="BI63">
        <f t="shared" si="37"/>
        <v>91.632392841798179</v>
      </c>
      <c r="BJ63">
        <f t="shared" si="38"/>
        <v>30.2728405673802</v>
      </c>
      <c r="BL63" s="40"/>
    </row>
    <row r="64" spans="15:64">
      <c r="O64" s="195">
        <f t="shared" si="39"/>
        <v>61</v>
      </c>
      <c r="P64" s="138">
        <f t="shared" si="5"/>
        <v>23</v>
      </c>
      <c r="Q64" s="146"/>
      <c r="R64" s="56">
        <f t="shared" si="6"/>
        <v>27.234556720351858</v>
      </c>
      <c r="S64" s="56">
        <f t="shared" si="7"/>
        <v>0.80622464347594303</v>
      </c>
      <c r="T64" s="56">
        <f t="shared" si="8"/>
        <v>28.040781363827801</v>
      </c>
      <c r="U64" s="154">
        <f t="shared" si="0"/>
        <v>130.78968070951601</v>
      </c>
      <c r="V64" s="149">
        <f t="shared" si="9"/>
        <v>2.7706012285923545</v>
      </c>
      <c r="W64" s="162">
        <f t="shared" si="10"/>
        <v>25.237077895586268</v>
      </c>
      <c r="X64" s="4">
        <f t="shared" si="40"/>
        <v>98.884469621775011</v>
      </c>
      <c r="Y64" s="4">
        <f t="shared" si="11"/>
        <v>12.760890558505325</v>
      </c>
      <c r="Z64" s="4">
        <f t="shared" si="12"/>
        <v>50.000000000000078</v>
      </c>
      <c r="AA64" s="4">
        <f t="shared" si="46"/>
        <v>22.11761968072571</v>
      </c>
      <c r="AB64" s="4">
        <f t="shared" si="47"/>
        <v>5.9231616831020908</v>
      </c>
      <c r="AD64" s="230">
        <f t="shared" si="62"/>
        <v>61</v>
      </c>
      <c r="AE64" s="202">
        <f t="shared" si="41"/>
        <v>190</v>
      </c>
      <c r="AG64">
        <f t="shared" si="63"/>
        <v>45.575072019056577</v>
      </c>
      <c r="AH64">
        <f t="shared" si="64"/>
        <v>6.6601166200186599</v>
      </c>
      <c r="AI64" s="40">
        <f t="shared" si="65"/>
        <v>52.23518863907524</v>
      </c>
      <c r="AJ64" s="88">
        <f t="shared" si="66"/>
        <v>126.59527343426856</v>
      </c>
      <c r="AK64" s="199">
        <f t="shared" si="67"/>
        <v>1.7094391997851803</v>
      </c>
      <c r="AL64" s="213">
        <f t="shared" si="68"/>
        <v>409.03402140526066</v>
      </c>
      <c r="AM64">
        <f t="shared" si="69"/>
        <v>988.84469621775077</v>
      </c>
      <c r="AN64" s="215">
        <f t="shared" si="70"/>
        <v>40.903402140525991</v>
      </c>
      <c r="AO64" s="63">
        <f t="shared" si="71"/>
        <v>98.884469621774898</v>
      </c>
      <c r="AP64" s="63">
        <f t="shared" si="72"/>
        <v>20.682419745475805</v>
      </c>
      <c r="AQ64" s="63">
        <f t="shared" si="73"/>
        <v>50</v>
      </c>
      <c r="AR64" s="63">
        <f t="shared" si="74"/>
        <v>26.312026955973138</v>
      </c>
      <c r="AS64" s="63">
        <f t="shared" si="75"/>
        <v>25.923161683102101</v>
      </c>
      <c r="AU64" s="229">
        <f t="shared" si="42"/>
        <v>61</v>
      </c>
      <c r="AV64" s="202">
        <f t="shared" si="43"/>
        <v>1670</v>
      </c>
      <c r="AX64" s="229">
        <f t="shared" si="26"/>
        <v>64.454329422951673</v>
      </c>
      <c r="AY64" s="229">
        <f t="shared" si="27"/>
        <v>58.538919765427167</v>
      </c>
      <c r="AZ64" s="229">
        <f t="shared" si="28"/>
        <v>122.99324918837884</v>
      </c>
      <c r="BA64" s="53">
        <f t="shared" si="29"/>
        <v>60.186891769243076</v>
      </c>
      <c r="BB64" s="198">
        <f t="shared" si="30"/>
        <v>8.1739989098407787E-4</v>
      </c>
      <c r="BC64" s="211">
        <f t="shared" si="31"/>
        <v>1411440.124490723</v>
      </c>
      <c r="BD64" s="229">
        <f t="shared" si="32"/>
        <v>1631.5937487592846</v>
      </c>
      <c r="BE64" s="4">
        <f t="shared" si="33"/>
        <v>85541.825726710536</v>
      </c>
      <c r="BF64" s="4">
        <f t="shared" si="34"/>
        <v>98.884469621774883</v>
      </c>
      <c r="BG64" s="4">
        <f t="shared" si="35"/>
        <v>43253.417879420864</v>
      </c>
      <c r="BH64" s="4">
        <f t="shared" si="36"/>
        <v>50.000000000000007</v>
      </c>
      <c r="BI64">
        <f t="shared" si="37"/>
        <v>92.72040862099864</v>
      </c>
      <c r="BJ64">
        <f t="shared" si="38"/>
        <v>30.2728405673802</v>
      </c>
      <c r="BL64" s="40"/>
    </row>
    <row r="65" spans="15:64">
      <c r="O65" s="195">
        <f t="shared" si="39"/>
        <v>62</v>
      </c>
      <c r="P65" s="138">
        <f t="shared" si="5"/>
        <v>23.375</v>
      </c>
      <c r="Q65" s="146"/>
      <c r="R65" s="56">
        <f t="shared" si="6"/>
        <v>27.375032390891111</v>
      </c>
      <c r="S65" s="56">
        <f t="shared" si="7"/>
        <v>0.81936961048913781</v>
      </c>
      <c r="T65" s="56">
        <f t="shared" si="8"/>
        <v>28.194402001380247</v>
      </c>
      <c r="U65" s="154">
        <f t="shared" si="0"/>
        <v>130.63606007196356</v>
      </c>
      <c r="V65" s="149">
        <f t="shared" si="9"/>
        <v>2.7220305218241188</v>
      </c>
      <c r="W65" s="162">
        <f t="shared" si="10"/>
        <v>25.687397133495569</v>
      </c>
      <c r="X65" s="4">
        <f t="shared" si="40"/>
        <v>98.884469621775082</v>
      </c>
      <c r="Y65" s="4">
        <f t="shared" si="11"/>
        <v>12.988590236539569</v>
      </c>
      <c r="Z65" s="4">
        <f t="shared" si="12"/>
        <v>50.000000000000114</v>
      </c>
      <c r="AA65" s="4">
        <f t="shared" si="46"/>
        <v>22.27124031827816</v>
      </c>
      <c r="AB65" s="4">
        <f t="shared" si="47"/>
        <v>5.9231616831020872</v>
      </c>
      <c r="AD65" s="230">
        <f t="shared" si="62"/>
        <v>62</v>
      </c>
      <c r="AE65" s="202">
        <f t="shared" si="41"/>
        <v>193</v>
      </c>
      <c r="AG65">
        <f t="shared" si="63"/>
        <v>45.711146180155481</v>
      </c>
      <c r="AH65">
        <f t="shared" si="64"/>
        <v>6.7652763561242182</v>
      </c>
      <c r="AI65" s="40">
        <f t="shared" si="65"/>
        <v>52.476422536279699</v>
      </c>
      <c r="AJ65" s="88">
        <f t="shared" si="66"/>
        <v>126.3540395370641</v>
      </c>
      <c r="AK65" s="199">
        <f t="shared" si="67"/>
        <v>1.6626160316776211</v>
      </c>
      <c r="AL65" s="213">
        <f t="shared" si="68"/>
        <v>420.55337908079309</v>
      </c>
      <c r="AM65">
        <f t="shared" si="69"/>
        <v>988.84469621774986</v>
      </c>
      <c r="AN65" s="215">
        <f t="shared" si="70"/>
        <v>42.055337908079231</v>
      </c>
      <c r="AO65" s="63">
        <f t="shared" si="71"/>
        <v>98.884469621774798</v>
      </c>
      <c r="AP65" s="63">
        <f t="shared" si="72"/>
        <v>21.264885208434418</v>
      </c>
      <c r="AQ65" s="63">
        <f t="shared" si="73"/>
        <v>50</v>
      </c>
      <c r="AR65" s="63">
        <f t="shared" si="74"/>
        <v>26.553260853177601</v>
      </c>
      <c r="AS65" s="63">
        <f t="shared" si="75"/>
        <v>25.923161683102098</v>
      </c>
      <c r="AU65" s="229">
        <f t="shared" si="42"/>
        <v>62</v>
      </c>
      <c r="AV65" s="202">
        <f t="shared" si="43"/>
        <v>1697</v>
      </c>
      <c r="AX65" s="229">
        <f t="shared" si="26"/>
        <v>64.593636846353519</v>
      </c>
      <c r="AY65" s="229">
        <f t="shared" si="27"/>
        <v>59.485357390377196</v>
      </c>
      <c r="AZ65" s="229">
        <f t="shared" si="28"/>
        <v>124.07899423673072</v>
      </c>
      <c r="BA65" s="53">
        <f t="shared" si="29"/>
        <v>59.101146720891194</v>
      </c>
      <c r="BB65" s="198">
        <f t="shared" si="30"/>
        <v>7.2135213751679729E-4</v>
      </c>
      <c r="BC65" s="211">
        <f t="shared" si="31"/>
        <v>1599372.8220738864</v>
      </c>
      <c r="BD65" s="229">
        <f t="shared" si="32"/>
        <v>1631.5937487592848</v>
      </c>
      <c r="BE65" s="4">
        <f t="shared" si="33"/>
        <v>96931.686186296211</v>
      </c>
      <c r="BF65" s="4">
        <f t="shared" si="34"/>
        <v>98.884469621774898</v>
      </c>
      <c r="BG65" s="4">
        <f t="shared" si="35"/>
        <v>49012.593462376892</v>
      </c>
      <c r="BH65" s="4">
        <f t="shared" si="36"/>
        <v>50.000000000000007</v>
      </c>
      <c r="BI65">
        <f t="shared" si="37"/>
        <v>93.806153669350522</v>
      </c>
      <c r="BJ65">
        <f t="shared" si="38"/>
        <v>30.2728405673802</v>
      </c>
      <c r="BL65" s="40"/>
    </row>
    <row r="66" spans="15:64">
      <c r="O66" s="195">
        <f t="shared" si="39"/>
        <v>63</v>
      </c>
      <c r="P66" s="138">
        <f t="shared" si="5"/>
        <v>23.75</v>
      </c>
      <c r="Q66" s="146"/>
      <c r="R66" s="56">
        <f t="shared" si="6"/>
        <v>27.513272279217706</v>
      </c>
      <c r="S66" s="56">
        <f t="shared" si="7"/>
        <v>0.83251457750233249</v>
      </c>
      <c r="T66" s="56">
        <f t="shared" si="8"/>
        <v>28.345786856720039</v>
      </c>
      <c r="U66" s="154">
        <f t="shared" si="0"/>
        <v>130.48467521662377</v>
      </c>
      <c r="V66" s="149">
        <f t="shared" si="9"/>
        <v>2.6749997626523974</v>
      </c>
      <c r="W66" s="162">
        <f t="shared" si="10"/>
        <v>26.139022515000629</v>
      </c>
      <c r="X66" s="4">
        <f t="shared" si="40"/>
        <v>98.884469621775139</v>
      </c>
      <c r="Y66" s="4">
        <f t="shared" si="11"/>
        <v>13.216950353771573</v>
      </c>
      <c r="Z66" s="4">
        <f t="shared" si="12"/>
        <v>50.000000000000149</v>
      </c>
      <c r="AA66" s="4">
        <f t="shared" si="46"/>
        <v>22.422625173617952</v>
      </c>
      <c r="AB66" s="4">
        <f t="shared" si="47"/>
        <v>5.9231616831020872</v>
      </c>
      <c r="AD66" s="230">
        <f t="shared" si="62"/>
        <v>63</v>
      </c>
      <c r="AE66" s="202">
        <f t="shared" si="41"/>
        <v>196</v>
      </c>
      <c r="AG66">
        <f t="shared" si="63"/>
        <v>45.84512142712952</v>
      </c>
      <c r="AH66">
        <f t="shared" si="64"/>
        <v>6.8704360922297756</v>
      </c>
      <c r="AI66" s="40">
        <f t="shared" si="65"/>
        <v>52.715557519359294</v>
      </c>
      <c r="AJ66" s="88">
        <f t="shared" si="66"/>
        <v>126.1149045539845</v>
      </c>
      <c r="AK66" s="199">
        <f t="shared" si="67"/>
        <v>1.6174662024434121</v>
      </c>
      <c r="AL66" s="213">
        <f t="shared" si="68"/>
        <v>432.29267429492694</v>
      </c>
      <c r="AM66">
        <f t="shared" si="69"/>
        <v>988.84469621774963</v>
      </c>
      <c r="AN66" s="215">
        <f t="shared" si="70"/>
        <v>43.229267429492616</v>
      </c>
      <c r="AO66" s="63">
        <f t="shared" si="71"/>
        <v>98.884469621774784</v>
      </c>
      <c r="AP66" s="63">
        <f t="shared" si="72"/>
        <v>21.858471605723892</v>
      </c>
      <c r="AQ66" s="63">
        <f t="shared" si="73"/>
        <v>50</v>
      </c>
      <c r="AR66" s="63">
        <f t="shared" si="74"/>
        <v>26.792395836257196</v>
      </c>
      <c r="AS66" s="63">
        <f t="shared" si="75"/>
        <v>25.923161683102098</v>
      </c>
      <c r="AU66" s="229">
        <f t="shared" si="42"/>
        <v>63</v>
      </c>
      <c r="AV66" s="202">
        <f t="shared" si="43"/>
        <v>1724</v>
      </c>
      <c r="AX66" s="229">
        <f t="shared" si="26"/>
        <v>64.730745229773873</v>
      </c>
      <c r="AY66" s="229">
        <f t="shared" si="27"/>
        <v>60.431795015327211</v>
      </c>
      <c r="AZ66" s="229">
        <f t="shared" si="28"/>
        <v>125.16254024510108</v>
      </c>
      <c r="BA66" s="53">
        <f t="shared" si="29"/>
        <v>58.017600712520832</v>
      </c>
      <c r="BB66" s="198">
        <f t="shared" si="30"/>
        <v>6.3675156731288554E-4</v>
      </c>
      <c r="BC66" s="211">
        <f t="shared" si="31"/>
        <v>1811869.9083191487</v>
      </c>
      <c r="BD66" s="229">
        <f t="shared" si="32"/>
        <v>1631.5937487592873</v>
      </c>
      <c r="BE66" s="4">
        <f t="shared" si="33"/>
        <v>109810.29747388787</v>
      </c>
      <c r="BF66" s="4">
        <f t="shared" si="34"/>
        <v>98.884469621775054</v>
      </c>
      <c r="BG66" s="4">
        <f t="shared" si="35"/>
        <v>55524.541868861314</v>
      </c>
      <c r="BH66" s="4">
        <f t="shared" si="36"/>
        <v>50.000000000000007</v>
      </c>
      <c r="BI66">
        <f t="shared" si="37"/>
        <v>94.88969967772087</v>
      </c>
      <c r="BJ66">
        <f t="shared" si="38"/>
        <v>30.272840567380214</v>
      </c>
      <c r="BL66" s="40"/>
    </row>
    <row r="67" spans="15:64">
      <c r="O67" s="195">
        <f t="shared" si="39"/>
        <v>64</v>
      </c>
      <c r="P67" s="138">
        <f t="shared" si="5"/>
        <v>24.125</v>
      </c>
      <c r="Q67" s="146"/>
      <c r="R67" s="56">
        <f t="shared" si="6"/>
        <v>27.649346440316602</v>
      </c>
      <c r="S67" s="56">
        <f t="shared" si="7"/>
        <v>0.84565954451552727</v>
      </c>
      <c r="T67" s="56">
        <f t="shared" si="8"/>
        <v>28.49500598483213</v>
      </c>
      <c r="U67" s="154">
        <f t="shared" si="0"/>
        <v>130.33545608851168</v>
      </c>
      <c r="V67" s="149">
        <f t="shared" si="9"/>
        <v>2.6294371309148779</v>
      </c>
      <c r="W67" s="162">
        <f t="shared" si="10"/>
        <v>26.591956963528514</v>
      </c>
      <c r="X67" s="4">
        <f t="shared" si="40"/>
        <v>98.884469621775082</v>
      </c>
      <c r="Y67" s="4">
        <f t="shared" si="11"/>
        <v>13.445972388404677</v>
      </c>
      <c r="Z67" s="4">
        <f t="shared" si="12"/>
        <v>50.000000000000121</v>
      </c>
      <c r="AA67" s="4">
        <f t="shared" si="46"/>
        <v>22.571844301730046</v>
      </c>
      <c r="AB67" s="4">
        <f t="shared" si="47"/>
        <v>5.9231616831020837</v>
      </c>
      <c r="AD67" s="230">
        <f t="shared" si="62"/>
        <v>64</v>
      </c>
      <c r="AE67" s="202">
        <f t="shared" si="41"/>
        <v>199</v>
      </c>
      <c r="AG67">
        <f t="shared" si="63"/>
        <v>45.977061528194135</v>
      </c>
      <c r="AH67">
        <f t="shared" si="64"/>
        <v>6.9755958283353339</v>
      </c>
      <c r="AI67" s="40">
        <f t="shared" si="65"/>
        <v>52.952657356529471</v>
      </c>
      <c r="AJ67" s="88">
        <f t="shared" si="66"/>
        <v>125.87780471681432</v>
      </c>
      <c r="AK67" s="199">
        <f t="shared" si="67"/>
        <v>1.5739111891053177</v>
      </c>
      <c r="AL67" s="213">
        <f t="shared" si="68"/>
        <v>444.25555588901437</v>
      </c>
      <c r="AM67">
        <f t="shared" si="69"/>
        <v>988.84469621774997</v>
      </c>
      <c r="AN67" s="215">
        <f t="shared" si="70"/>
        <v>44.425555588901354</v>
      </c>
      <c r="AO67" s="63">
        <f t="shared" si="71"/>
        <v>98.884469621774812</v>
      </c>
      <c r="AP67" s="63">
        <f t="shared" si="72"/>
        <v>22.463363437567878</v>
      </c>
      <c r="AQ67" s="63">
        <f t="shared" si="73"/>
        <v>50.000000000000007</v>
      </c>
      <c r="AR67" s="63">
        <f t="shared" si="74"/>
        <v>27.02949567342737</v>
      </c>
      <c r="AS67" s="63">
        <f t="shared" si="75"/>
        <v>25.923161683102101</v>
      </c>
      <c r="AU67" s="229">
        <f t="shared" si="42"/>
        <v>64</v>
      </c>
      <c r="AV67" s="202">
        <f t="shared" si="43"/>
        <v>1751</v>
      </c>
      <c r="AX67" s="229">
        <f t="shared" si="26"/>
        <v>64.865722921668919</v>
      </c>
      <c r="AY67" s="229">
        <f t="shared" si="27"/>
        <v>61.378232640277226</v>
      </c>
      <c r="AZ67" s="229">
        <f t="shared" si="28"/>
        <v>126.24395556194614</v>
      </c>
      <c r="BA67" s="53">
        <f t="shared" si="29"/>
        <v>56.936185395675778</v>
      </c>
      <c r="BB67" s="198">
        <f t="shared" si="30"/>
        <v>5.6221089408813518E-4</v>
      </c>
      <c r="BC67" s="211">
        <f t="shared" si="31"/>
        <v>2052096.4926524677</v>
      </c>
      <c r="BD67" s="229">
        <f t="shared" si="32"/>
        <v>1631.5937487592846</v>
      </c>
      <c r="BE67" s="4">
        <f t="shared" si="33"/>
        <v>124369.48440317993</v>
      </c>
      <c r="BF67" s="4">
        <f t="shared" si="34"/>
        <v>98.884469621774883</v>
      </c>
      <c r="BG67" s="4">
        <f t="shared" si="35"/>
        <v>62886.257507818555</v>
      </c>
      <c r="BH67" s="4">
        <f t="shared" si="36"/>
        <v>50</v>
      </c>
      <c r="BI67">
        <f t="shared" si="37"/>
        <v>95.971114994565937</v>
      </c>
      <c r="BJ67">
        <f t="shared" si="38"/>
        <v>30.2728405673802</v>
      </c>
      <c r="BL67" s="40"/>
    </row>
    <row r="68" spans="15:64">
      <c r="O68" s="195">
        <f t="shared" si="39"/>
        <v>65</v>
      </c>
      <c r="P68" s="138">
        <f t="shared" si="5"/>
        <v>24.5</v>
      </c>
      <c r="Q68" s="146"/>
      <c r="R68" s="56">
        <f t="shared" si="6"/>
        <v>27.783321687290648</v>
      </c>
      <c r="S68" s="56">
        <f t="shared" si="7"/>
        <v>0.85880451152872195</v>
      </c>
      <c r="T68" s="56">
        <f t="shared" si="8"/>
        <v>28.642126198819369</v>
      </c>
      <c r="U68" s="154">
        <f t="shared" ref="U68:U88" si="76">$Q$4-(R68+S68)+$Q$8+$Q$10</f>
        <v>130.18833587452443</v>
      </c>
      <c r="V68" s="149">
        <f t="shared" si="9"/>
        <v>2.585275203615649</v>
      </c>
      <c r="W68" s="162">
        <f t="shared" si="10"/>
        <v>27.046203408365432</v>
      </c>
      <c r="X68" s="4">
        <f t="shared" si="40"/>
        <v>98.884469621774926</v>
      </c>
      <c r="Y68" s="4">
        <f t="shared" si="11"/>
        <v>13.675657821604842</v>
      </c>
      <c r="Z68" s="4">
        <f t="shared" si="12"/>
        <v>50.000000000000043</v>
      </c>
      <c r="AA68" s="4">
        <f t="shared" si="46"/>
        <v>22.718964515717282</v>
      </c>
      <c r="AB68" s="4">
        <f t="shared" si="47"/>
        <v>5.9231616831020872</v>
      </c>
      <c r="AD68" s="230">
        <f t="shared" si="62"/>
        <v>65</v>
      </c>
      <c r="AE68" s="202">
        <f t="shared" si="41"/>
        <v>202</v>
      </c>
      <c r="AG68">
        <f t="shared" si="63"/>
        <v>46.10702738893248</v>
      </c>
      <c r="AH68">
        <f t="shared" si="64"/>
        <v>7.0807555644408913</v>
      </c>
      <c r="AI68" s="40">
        <f t="shared" si="65"/>
        <v>53.187782953373372</v>
      </c>
      <c r="AJ68" s="88">
        <f t="shared" si="66"/>
        <v>125.64267911997041</v>
      </c>
      <c r="AK68" s="199">
        <f t="shared" si="67"/>
        <v>1.5318771671377125</v>
      </c>
      <c r="AL68" s="213">
        <f t="shared" si="68"/>
        <v>456.44572896298212</v>
      </c>
      <c r="AM68">
        <f t="shared" si="69"/>
        <v>988.84469621774792</v>
      </c>
      <c r="AN68" s="215">
        <f t="shared" si="70"/>
        <v>45.644572896298122</v>
      </c>
      <c r="AO68" s="63">
        <f t="shared" si="71"/>
        <v>98.884469621774599</v>
      </c>
      <c r="AP68" s="63">
        <f t="shared" si="72"/>
        <v>23.079748048851886</v>
      </c>
      <c r="AQ68" s="63">
        <f t="shared" si="73"/>
        <v>50</v>
      </c>
      <c r="AR68" s="63">
        <f t="shared" si="74"/>
        <v>27.264621270271292</v>
      </c>
      <c r="AS68" s="63">
        <f t="shared" si="75"/>
        <v>25.92316168310208</v>
      </c>
      <c r="AU68" s="229">
        <f t="shared" si="42"/>
        <v>65</v>
      </c>
      <c r="AV68" s="202">
        <f t="shared" si="43"/>
        <v>1778</v>
      </c>
      <c r="AX68" s="229">
        <f t="shared" si="26"/>
        <v>64.998635132683901</v>
      </c>
      <c r="AY68" s="229">
        <f t="shared" si="27"/>
        <v>62.324670265227255</v>
      </c>
      <c r="AZ68" s="229">
        <f t="shared" si="28"/>
        <v>127.32330539791116</v>
      </c>
      <c r="BA68" s="53">
        <f t="shared" si="29"/>
        <v>55.85683555971076</v>
      </c>
      <c r="BB68" s="198">
        <f t="shared" si="30"/>
        <v>4.9651430451059695E-4</v>
      </c>
      <c r="BC68" s="211">
        <f t="shared" si="31"/>
        <v>2323620.8774014222</v>
      </c>
      <c r="BD68" s="229">
        <f t="shared" si="32"/>
        <v>1631.5937487592846</v>
      </c>
      <c r="BE68" s="4">
        <f t="shared" si="33"/>
        <v>140825.5077212984</v>
      </c>
      <c r="BF68" s="4">
        <f t="shared" si="34"/>
        <v>98.884469621774883</v>
      </c>
      <c r="BG68" s="4">
        <f t="shared" si="35"/>
        <v>71207.090587604209</v>
      </c>
      <c r="BH68" s="4">
        <f t="shared" si="36"/>
        <v>50.000000000000007</v>
      </c>
      <c r="BI68">
        <f t="shared" si="37"/>
        <v>97.050464830530956</v>
      </c>
      <c r="BJ68">
        <f t="shared" si="38"/>
        <v>30.2728405673802</v>
      </c>
      <c r="BL68" s="40"/>
    </row>
    <row r="69" spans="15:64">
      <c r="O69" s="195">
        <f t="shared" si="39"/>
        <v>66</v>
      </c>
      <c r="P69" s="138">
        <f t="shared" ref="P69:P88" si="77">P68+$J$45</f>
        <v>24.875</v>
      </c>
      <c r="Q69" s="146"/>
      <c r="R69" s="56">
        <f t="shared" ref="R69:R88" si="78">20*LOG(P69)</f>
        <v>27.915261788355259</v>
      </c>
      <c r="S69" s="56">
        <f t="shared" ref="S69:S88" si="79">2*$J$6*(P69/1000)</f>
        <v>0.87194947854191673</v>
      </c>
      <c r="T69" s="56">
        <f t="shared" ref="T69:T88" si="80">R69+S69</f>
        <v>28.787211266897177</v>
      </c>
      <c r="U69" s="154">
        <f t="shared" si="76"/>
        <v>130.04325080644662</v>
      </c>
      <c r="V69" s="149">
        <f t="shared" ref="V69:V88" si="81">POWER(10,(U69+$D$16)*0.05)*1000</f>
        <v>2.542450623480482</v>
      </c>
      <c r="W69" s="162">
        <f t="shared" ref="W69:W88" si="82">POWER(10,0.05*T69)</f>
        <v>27.501764784667834</v>
      </c>
      <c r="X69" s="4">
        <f t="shared" si="40"/>
        <v>98.884469621775054</v>
      </c>
      <c r="Y69" s="4">
        <f t="shared" ref="Y69:Y88" si="83">W69*(50/$X$4)</f>
        <v>13.906008137506261</v>
      </c>
      <c r="Z69" s="4">
        <f t="shared" ref="Z69:Z88" si="84">V69*POWER(2,0.5)*Y69</f>
        <v>50.000000000000107</v>
      </c>
      <c r="AA69" s="4">
        <f t="shared" si="46"/>
        <v>22.864049583795094</v>
      </c>
      <c r="AB69" s="4">
        <f t="shared" si="47"/>
        <v>5.9231616831020837</v>
      </c>
      <c r="AD69" s="230">
        <f t="shared" si="62"/>
        <v>66</v>
      </c>
      <c r="AE69" s="202">
        <f t="shared" si="41"/>
        <v>205</v>
      </c>
      <c r="AG69">
        <f t="shared" si="63"/>
        <v>46.235077221115084</v>
      </c>
      <c r="AH69">
        <f t="shared" si="64"/>
        <v>7.1859153005464487</v>
      </c>
      <c r="AI69" s="40">
        <f t="shared" si="65"/>
        <v>53.420992521661532</v>
      </c>
      <c r="AJ69" s="88">
        <f t="shared" si="66"/>
        <v>125.40946955168226</v>
      </c>
      <c r="AK69" s="199">
        <f t="shared" si="67"/>
        <v>1.4912946662775999</v>
      </c>
      <c r="AL69" s="213">
        <f t="shared" si="68"/>
        <v>468.86695570449098</v>
      </c>
      <c r="AM69">
        <f t="shared" si="69"/>
        <v>988.84469621775077</v>
      </c>
      <c r="AN69" s="215">
        <f t="shared" si="70"/>
        <v>46.886695570449007</v>
      </c>
      <c r="AO69" s="63">
        <f t="shared" si="71"/>
        <v>98.884469621774883</v>
      </c>
      <c r="AP69" s="63">
        <f t="shared" si="72"/>
        <v>23.707815671048664</v>
      </c>
      <c r="AQ69" s="63">
        <f t="shared" si="73"/>
        <v>49.999999999999993</v>
      </c>
      <c r="AR69" s="63">
        <f t="shared" si="74"/>
        <v>27.49783083855943</v>
      </c>
      <c r="AS69" s="63">
        <f t="shared" si="75"/>
        <v>25.923161683102101</v>
      </c>
      <c r="AU69" s="229">
        <f t="shared" si="42"/>
        <v>66</v>
      </c>
      <c r="AV69" s="202">
        <f t="shared" si="43"/>
        <v>1805</v>
      </c>
      <c r="AX69" s="229">
        <f t="shared" ref="AX69:AX89" si="85">20*LOG(AV69)</f>
        <v>65.129544124833544</v>
      </c>
      <c r="AY69" s="229">
        <f t="shared" ref="AY69:AY89" si="86">2*$J$6*(AV69/1000)</f>
        <v>63.271107890177269</v>
      </c>
      <c r="AZ69" s="229">
        <f t="shared" ref="AZ69:AZ89" si="87">AX69+AY69</f>
        <v>128.40065201501082</v>
      </c>
      <c r="BA69" s="53">
        <f t="shared" ref="BA69:BA89" si="88">$AW$4-(AX69+AY69)+$Q$8+$Q$10</f>
        <v>54.779488942611096</v>
      </c>
      <c r="BB69" s="198">
        <f t="shared" ref="BB69:BB89" si="89">POWER(10,(BA69+$D$16)*0.05)*1000</f>
        <v>4.3859576523061164E-4</v>
      </c>
      <c r="BC69" s="211">
        <f t="shared" ref="BC69:BC89" si="90">POWER(10,0.05*AZ69)</f>
        <v>2630465.4430091372</v>
      </c>
      <c r="BD69" s="229">
        <f t="shared" ref="BD69:BD89" si="91">BB69*POWER(2,0.5)*BC69</f>
        <v>1631.5937487592878</v>
      </c>
      <c r="BE69" s="4">
        <f t="shared" ref="BE69:BE89" si="92">BC69*($X$4/$BD$4)</f>
        <v>159422.14806115991</v>
      </c>
      <c r="BF69" s="4">
        <f t="shared" ref="BF69:BF89" si="93">BB69*POWER(2,0.5)*BE69</f>
        <v>98.884469621775068</v>
      </c>
      <c r="BG69" s="4">
        <f t="shared" ref="BG69:BG89" si="94">BC69*(50/BD69)</f>
        <v>80610.306487427428</v>
      </c>
      <c r="BH69" s="4">
        <f t="shared" ref="BH69:BH89" si="95">BB69*POWER(2,0.5)*BG69</f>
        <v>50</v>
      </c>
      <c r="BI69">
        <f t="shared" ref="BI69:BI89" si="96">20*LOG10(BG69)</f>
        <v>98.12781144763062</v>
      </c>
      <c r="BJ69">
        <f t="shared" ref="BJ69:BJ89" si="97">AZ69-BI69</f>
        <v>30.2728405673802</v>
      </c>
      <c r="BL69" s="40"/>
    </row>
    <row r="70" spans="15:64">
      <c r="O70" s="195">
        <f t="shared" ref="O70:O88" si="98">1+O69</f>
        <v>67</v>
      </c>
      <c r="P70" s="138">
        <f t="shared" si="77"/>
        <v>25.25</v>
      </c>
      <c r="Q70" s="146"/>
      <c r="R70" s="56">
        <f t="shared" si="78"/>
        <v>28.045227649093604</v>
      </c>
      <c r="S70" s="56">
        <f t="shared" si="79"/>
        <v>0.88509444555511141</v>
      </c>
      <c r="T70" s="56">
        <f t="shared" si="80"/>
        <v>28.930322094648716</v>
      </c>
      <c r="U70" s="154">
        <f t="shared" si="76"/>
        <v>129.90013997869508</v>
      </c>
      <c r="V70" s="149">
        <f t="shared" si="81"/>
        <v>2.5009037970467514</v>
      </c>
      <c r="W70" s="162">
        <f t="shared" si="82"/>
        <v>27.95864403347343</v>
      </c>
      <c r="X70" s="4">
        <f t="shared" ref="X70:X88" si="99">V70*POWER(2,0.5)*W70</f>
        <v>98.884469621774926</v>
      </c>
      <c r="Y70" s="4">
        <f t="shared" si="83"/>
        <v>14.13702482321693</v>
      </c>
      <c r="Z70" s="4">
        <f t="shared" si="84"/>
        <v>50.000000000000036</v>
      </c>
      <c r="AA70" s="4">
        <f t="shared" si="46"/>
        <v>23.007160411546629</v>
      </c>
      <c r="AB70" s="4">
        <f t="shared" si="47"/>
        <v>5.9231616831020872</v>
      </c>
      <c r="AD70" s="230">
        <f t="shared" si="62"/>
        <v>67</v>
      </c>
      <c r="AE70" s="202">
        <f t="shared" ref="AE70:AE89" si="100">AE69+3</f>
        <v>208</v>
      </c>
      <c r="AG70">
        <f t="shared" si="63"/>
        <v>46.361266699255232</v>
      </c>
      <c r="AH70">
        <f t="shared" si="64"/>
        <v>7.2910750366520061</v>
      </c>
      <c r="AI70" s="40">
        <f t="shared" si="65"/>
        <v>53.652341735907235</v>
      </c>
      <c r="AJ70" s="88">
        <f t="shared" si="66"/>
        <v>125.17812033743655</v>
      </c>
      <c r="AK70" s="199">
        <f t="shared" si="67"/>
        <v>1.4520982561259048</v>
      </c>
      <c r="AL70" s="213">
        <f t="shared" si="68"/>
        <v>481.52305622994726</v>
      </c>
      <c r="AM70">
        <f t="shared" si="69"/>
        <v>988.84469621774974</v>
      </c>
      <c r="AN70" s="215">
        <f t="shared" si="70"/>
        <v>48.152305622994632</v>
      </c>
      <c r="AO70" s="63">
        <f t="shared" si="71"/>
        <v>98.884469621774784</v>
      </c>
      <c r="AP70" s="63">
        <f t="shared" si="72"/>
        <v>24.347759464743739</v>
      </c>
      <c r="AQ70" s="63">
        <f t="shared" si="73"/>
        <v>50</v>
      </c>
      <c r="AR70" s="63">
        <f t="shared" si="74"/>
        <v>27.729180052805141</v>
      </c>
      <c r="AS70" s="63">
        <f t="shared" si="75"/>
        <v>25.923161683102094</v>
      </c>
      <c r="AU70" s="229">
        <f t="shared" ref="AU70:AU89" si="101">AU69+1</f>
        <v>67</v>
      </c>
      <c r="AV70" s="202">
        <f t="shared" ref="AV70:AV89" si="102">AV69+27</f>
        <v>1832</v>
      </c>
      <c r="AX70" s="229">
        <f t="shared" si="85"/>
        <v>65.258509386636632</v>
      </c>
      <c r="AY70" s="229">
        <f t="shared" si="86"/>
        <v>64.217545515127298</v>
      </c>
      <c r="AZ70" s="229">
        <f t="shared" si="87"/>
        <v>129.47605490176392</v>
      </c>
      <c r="BA70" s="53">
        <f t="shared" si="88"/>
        <v>53.704086055857999</v>
      </c>
      <c r="BB70" s="198">
        <f t="shared" si="89"/>
        <v>3.8752015019327207E-4</v>
      </c>
      <c r="BC70" s="211">
        <f t="shared" si="90"/>
        <v>2977163.9057062441</v>
      </c>
      <c r="BD70" s="229">
        <f t="shared" si="91"/>
        <v>1631.5937487592876</v>
      </c>
      <c r="BE70" s="4">
        <f t="shared" si="92"/>
        <v>180434.17610340883</v>
      </c>
      <c r="BF70" s="4">
        <f t="shared" si="93"/>
        <v>98.884469621775054</v>
      </c>
      <c r="BG70" s="4">
        <f t="shared" si="94"/>
        <v>91234.840412025602</v>
      </c>
      <c r="BH70" s="4">
        <f t="shared" si="95"/>
        <v>50</v>
      </c>
      <c r="BI70">
        <f t="shared" si="96"/>
        <v>99.203214334383716</v>
      </c>
      <c r="BJ70">
        <f t="shared" si="97"/>
        <v>30.2728405673802</v>
      </c>
      <c r="BL70" s="40"/>
    </row>
    <row r="71" spans="15:64">
      <c r="O71" s="195">
        <f t="shared" si="98"/>
        <v>68</v>
      </c>
      <c r="P71" s="138">
        <f t="shared" si="77"/>
        <v>25.625</v>
      </c>
      <c r="Q71" s="146"/>
      <c r="R71" s="56">
        <f t="shared" si="78"/>
        <v>28.173277481276212</v>
      </c>
      <c r="S71" s="56">
        <f t="shared" si="79"/>
        <v>0.89823941256830608</v>
      </c>
      <c r="T71" s="56">
        <f t="shared" si="80"/>
        <v>29.071516893844517</v>
      </c>
      <c r="U71" s="154">
        <f t="shared" si="76"/>
        <v>129.75894517949928</v>
      </c>
      <c r="V71" s="149">
        <f t="shared" si="81"/>
        <v>2.4605786192626184</v>
      </c>
      <c r="W71" s="162">
        <f t="shared" si="82"/>
        <v>28.416844101712272</v>
      </c>
      <c r="X71" s="4">
        <f t="shared" si="99"/>
        <v>98.884469621775011</v>
      </c>
      <c r="Y71" s="4">
        <f t="shared" si="83"/>
        <v>14.368709368824254</v>
      </c>
      <c r="Z71" s="4">
        <f t="shared" si="84"/>
        <v>50.000000000000085</v>
      </c>
      <c r="AA71" s="4">
        <f t="shared" si="46"/>
        <v>23.148355210742434</v>
      </c>
      <c r="AB71" s="4">
        <f t="shared" si="47"/>
        <v>5.9231616831020837</v>
      </c>
      <c r="AD71" s="230">
        <f t="shared" si="62"/>
        <v>68</v>
      </c>
      <c r="AE71" s="202">
        <f t="shared" si="100"/>
        <v>211</v>
      </c>
      <c r="AG71">
        <f t="shared" si="63"/>
        <v>46.485649105953854</v>
      </c>
      <c r="AH71">
        <f t="shared" si="64"/>
        <v>7.3962347727575644</v>
      </c>
      <c r="AI71" s="40">
        <f t="shared" si="65"/>
        <v>53.88188387871142</v>
      </c>
      <c r="AJ71" s="88">
        <f t="shared" si="66"/>
        <v>124.94857819463238</v>
      </c>
      <c r="AK71" s="199">
        <f t="shared" si="67"/>
        <v>1.4142262585742185</v>
      </c>
      <c r="AL71" s="213">
        <f t="shared" si="68"/>
        <v>494.41790943752835</v>
      </c>
      <c r="AM71">
        <f t="shared" si="69"/>
        <v>988.84469621774986</v>
      </c>
      <c r="AN71" s="215">
        <f t="shared" si="70"/>
        <v>49.441790943752743</v>
      </c>
      <c r="AO71" s="63">
        <f t="shared" si="71"/>
        <v>98.884469621774798</v>
      </c>
      <c r="AP71" s="63">
        <f t="shared" si="72"/>
        <v>24.999775562767159</v>
      </c>
      <c r="AQ71" s="63">
        <f t="shared" si="73"/>
        <v>50</v>
      </c>
      <c r="AR71" s="63">
        <f t="shared" si="74"/>
        <v>27.958722195609322</v>
      </c>
      <c r="AS71" s="63">
        <f t="shared" si="75"/>
        <v>25.923161683102098</v>
      </c>
      <c r="AU71" s="229">
        <f t="shared" si="101"/>
        <v>68</v>
      </c>
      <c r="AV71" s="202">
        <f t="shared" si="102"/>
        <v>1859</v>
      </c>
      <c r="AX71" s="229">
        <f t="shared" si="85"/>
        <v>65.385587795437971</v>
      </c>
      <c r="AY71" s="229">
        <f t="shared" si="86"/>
        <v>65.163983140077306</v>
      </c>
      <c r="AZ71" s="229">
        <f t="shared" si="87"/>
        <v>130.54957093551528</v>
      </c>
      <c r="BA71" s="53">
        <f t="shared" si="88"/>
        <v>52.630570022106639</v>
      </c>
      <c r="BB71" s="198">
        <f t="shared" si="89"/>
        <v>3.4246680973380202E-4</v>
      </c>
      <c r="BC71" s="211">
        <f t="shared" si="90"/>
        <v>3368825.7404740881</v>
      </c>
      <c r="BD71" s="229">
        <f t="shared" si="91"/>
        <v>1631.5937487592903</v>
      </c>
      <c r="BE71" s="4">
        <f t="shared" si="92"/>
        <v>204171.25699842972</v>
      </c>
      <c r="BF71" s="4">
        <f t="shared" si="93"/>
        <v>98.884469621775239</v>
      </c>
      <c r="BG71" s="4">
        <f t="shared" si="94"/>
        <v>103237.27162585164</v>
      </c>
      <c r="BH71" s="4">
        <f t="shared" si="95"/>
        <v>50</v>
      </c>
      <c r="BI71">
        <f t="shared" si="96"/>
        <v>100.27673036813505</v>
      </c>
      <c r="BJ71">
        <f t="shared" si="97"/>
        <v>30.272840567380229</v>
      </c>
      <c r="BL71" s="40"/>
    </row>
    <row r="72" spans="15:64">
      <c r="O72" s="195">
        <f t="shared" si="98"/>
        <v>69</v>
      </c>
      <c r="P72" s="138">
        <f t="shared" si="77"/>
        <v>26</v>
      </c>
      <c r="Q72" s="146"/>
      <c r="R72" s="56">
        <f t="shared" si="78"/>
        <v>28.29946695941636</v>
      </c>
      <c r="S72" s="56">
        <f t="shared" si="79"/>
        <v>0.91138437958150076</v>
      </c>
      <c r="T72" s="56">
        <f t="shared" si="80"/>
        <v>29.210851338997863</v>
      </c>
      <c r="U72" s="154">
        <f t="shared" si="76"/>
        <v>129.61961073434594</v>
      </c>
      <c r="V72" s="149">
        <f t="shared" si="81"/>
        <v>2.4214222219188724</v>
      </c>
      <c r="W72" s="162">
        <f t="shared" si="82"/>
        <v>28.876367942217954</v>
      </c>
      <c r="X72" s="4">
        <f t="shared" si="99"/>
        <v>98.884469621775054</v>
      </c>
      <c r="Y72" s="4">
        <f t="shared" si="83"/>
        <v>14.601063267400706</v>
      </c>
      <c r="Z72" s="4">
        <f t="shared" si="84"/>
        <v>50.000000000000107</v>
      </c>
      <c r="AA72" s="4">
        <f t="shared" si="46"/>
        <v>23.287689655895775</v>
      </c>
      <c r="AB72" s="4">
        <f t="shared" si="47"/>
        <v>5.9231616831020872</v>
      </c>
      <c r="AD72" s="230">
        <f t="shared" si="62"/>
        <v>69</v>
      </c>
      <c r="AE72" s="202">
        <f t="shared" si="100"/>
        <v>214</v>
      </c>
      <c r="AG72">
        <f t="shared" si="63"/>
        <v>46.60827546698382</v>
      </c>
      <c r="AH72">
        <f t="shared" si="64"/>
        <v>7.5013945088631226</v>
      </c>
      <c r="AI72" s="40">
        <f t="shared" si="65"/>
        <v>54.109669975846941</v>
      </c>
      <c r="AJ72" s="88">
        <f t="shared" si="66"/>
        <v>124.72079209749685</v>
      </c>
      <c r="AK72" s="199">
        <f t="shared" si="67"/>
        <v>1.3776204844243709</v>
      </c>
      <c r="AL72" s="213">
        <f t="shared" si="68"/>
        <v>507.55545387239658</v>
      </c>
      <c r="AM72">
        <f t="shared" si="69"/>
        <v>988.84469621774974</v>
      </c>
      <c r="AN72" s="215">
        <f t="shared" si="70"/>
        <v>50.755545387239565</v>
      </c>
      <c r="AO72" s="63">
        <f t="shared" si="71"/>
        <v>98.884469621774798</v>
      </c>
      <c r="AP72" s="63">
        <f t="shared" si="72"/>
        <v>25.664063113942703</v>
      </c>
      <c r="AQ72" s="63">
        <f t="shared" si="73"/>
        <v>50</v>
      </c>
      <c r="AR72" s="63">
        <f t="shared" si="74"/>
        <v>28.18650829274484</v>
      </c>
      <c r="AS72" s="63">
        <f t="shared" si="75"/>
        <v>25.923161683102101</v>
      </c>
      <c r="AU72" s="229">
        <f t="shared" si="101"/>
        <v>69</v>
      </c>
      <c r="AV72" s="202">
        <f t="shared" si="102"/>
        <v>1886</v>
      </c>
      <c r="AX72" s="229">
        <f t="shared" si="85"/>
        <v>65.510833768026203</v>
      </c>
      <c r="AY72" s="229">
        <f t="shared" si="86"/>
        <v>66.110420765027328</v>
      </c>
      <c r="AZ72" s="229">
        <f t="shared" si="87"/>
        <v>131.62125453305353</v>
      </c>
      <c r="BA72" s="53">
        <f t="shared" si="88"/>
        <v>51.558886424568385</v>
      </c>
      <c r="BB72" s="198">
        <f t="shared" si="89"/>
        <v>3.0271525564329213E-4</v>
      </c>
      <c r="BC72" s="211">
        <f t="shared" si="90"/>
        <v>3811208.6602227949</v>
      </c>
      <c r="BD72" s="229">
        <f t="shared" si="91"/>
        <v>1631.5937487592873</v>
      </c>
      <c r="BE72" s="4">
        <f t="shared" si="92"/>
        <v>230982.34304380589</v>
      </c>
      <c r="BF72" s="4">
        <f t="shared" si="93"/>
        <v>98.884469621775054</v>
      </c>
      <c r="BG72" s="4">
        <f t="shared" si="94"/>
        <v>116794.04456902803</v>
      </c>
      <c r="BH72" s="4">
        <f t="shared" si="95"/>
        <v>50</v>
      </c>
      <c r="BI72">
        <f t="shared" si="96"/>
        <v>101.34841396567333</v>
      </c>
      <c r="BJ72">
        <f t="shared" si="97"/>
        <v>30.2728405673802</v>
      </c>
      <c r="BL72" s="40"/>
    </row>
    <row r="73" spans="15:64">
      <c r="O73" s="195">
        <f t="shared" si="98"/>
        <v>70</v>
      </c>
      <c r="P73" s="138">
        <f t="shared" si="77"/>
        <v>26.375</v>
      </c>
      <c r="Q73" s="146"/>
      <c r="R73" s="56">
        <f t="shared" si="78"/>
        <v>28.423849366114982</v>
      </c>
      <c r="S73" s="56">
        <f t="shared" si="79"/>
        <v>0.92452934659469554</v>
      </c>
      <c r="T73" s="56">
        <f t="shared" si="80"/>
        <v>29.348378712709678</v>
      </c>
      <c r="U73" s="154">
        <f t="shared" si="76"/>
        <v>129.48208336063411</v>
      </c>
      <c r="V73" s="149">
        <f t="shared" si="81"/>
        <v>2.3833847435416495</v>
      </c>
      <c r="W73" s="162">
        <f t="shared" si="82"/>
        <v>29.33721851373857</v>
      </c>
      <c r="X73" s="4">
        <f t="shared" si="99"/>
        <v>98.884469621774826</v>
      </c>
      <c r="Y73" s="4">
        <f t="shared" si="83"/>
        <v>14.834088015009371</v>
      </c>
      <c r="Z73" s="4">
        <f t="shared" si="84"/>
        <v>49.999999999999993</v>
      </c>
      <c r="AA73" s="4">
        <f t="shared" si="46"/>
        <v>23.425217029607595</v>
      </c>
      <c r="AB73" s="4">
        <f t="shared" si="47"/>
        <v>5.9231616831020837</v>
      </c>
      <c r="AD73" s="230">
        <f t="shared" si="62"/>
        <v>70</v>
      </c>
      <c r="AE73" s="202">
        <f t="shared" si="100"/>
        <v>217</v>
      </c>
      <c r="AG73">
        <f t="shared" si="63"/>
        <v>46.729194676970593</v>
      </c>
      <c r="AH73">
        <f t="shared" si="64"/>
        <v>7.60655424496868</v>
      </c>
      <c r="AI73" s="40">
        <f t="shared" si="65"/>
        <v>54.33574892193927</v>
      </c>
      <c r="AJ73" s="88">
        <f t="shared" si="66"/>
        <v>124.49471315140454</v>
      </c>
      <c r="AK73" s="199">
        <f t="shared" si="67"/>
        <v>1.3422259918596451</v>
      </c>
      <c r="AL73" s="213">
        <f t="shared" si="68"/>
        <v>520.93968860427219</v>
      </c>
      <c r="AM73">
        <f t="shared" si="69"/>
        <v>988.8446962177519</v>
      </c>
      <c r="AN73" s="215">
        <f t="shared" si="70"/>
        <v>52.093968860427118</v>
      </c>
      <c r="AO73" s="63">
        <f t="shared" si="71"/>
        <v>98.884469621774997</v>
      </c>
      <c r="AP73" s="63">
        <f t="shared" si="72"/>
        <v>26.34082432746127</v>
      </c>
      <c r="AQ73" s="63">
        <f t="shared" si="73"/>
        <v>50</v>
      </c>
      <c r="AR73" s="63">
        <f t="shared" si="74"/>
        <v>28.412587238837162</v>
      </c>
      <c r="AS73" s="63">
        <f t="shared" si="75"/>
        <v>25.923161683102109</v>
      </c>
      <c r="AU73" s="229">
        <f t="shared" si="101"/>
        <v>70</v>
      </c>
      <c r="AV73" s="202">
        <f t="shared" si="102"/>
        <v>1913</v>
      </c>
      <c r="AX73" s="229">
        <f t="shared" si="85"/>
        <v>65.634299400545913</v>
      </c>
      <c r="AY73" s="229">
        <f t="shared" si="86"/>
        <v>67.05685838997735</v>
      </c>
      <c r="AZ73" s="229">
        <f t="shared" si="87"/>
        <v>132.69115779052328</v>
      </c>
      <c r="BA73" s="53">
        <f t="shared" si="88"/>
        <v>50.488983167098638</v>
      </c>
      <c r="BB73" s="198">
        <f t="shared" si="89"/>
        <v>2.6763268143625027E-4</v>
      </c>
      <c r="BC73" s="211">
        <f t="shared" si="90"/>
        <v>4310800.1522754338</v>
      </c>
      <c r="BD73" s="229">
        <f t="shared" si="91"/>
        <v>1631.5937487592848</v>
      </c>
      <c r="BE73" s="4">
        <f t="shared" si="92"/>
        <v>261260.61528942038</v>
      </c>
      <c r="BF73" s="4">
        <f t="shared" si="93"/>
        <v>98.884469621774898</v>
      </c>
      <c r="BG73" s="4">
        <f t="shared" si="94"/>
        <v>132103.96753338573</v>
      </c>
      <c r="BH73" s="4">
        <f t="shared" si="95"/>
        <v>50</v>
      </c>
      <c r="BI73">
        <f t="shared" si="96"/>
        <v>102.41831722314308</v>
      </c>
      <c r="BJ73">
        <f t="shared" si="97"/>
        <v>30.2728405673802</v>
      </c>
      <c r="BL73" s="40"/>
    </row>
    <row r="74" spans="15:64">
      <c r="O74" s="195">
        <f t="shared" si="98"/>
        <v>71</v>
      </c>
      <c r="P74" s="138">
        <f t="shared" si="77"/>
        <v>26.75</v>
      </c>
      <c r="Q74" s="146"/>
      <c r="R74" s="56">
        <f t="shared" si="78"/>
        <v>28.546475727144944</v>
      </c>
      <c r="S74" s="56">
        <f t="shared" si="79"/>
        <v>0.93767431360789033</v>
      </c>
      <c r="T74" s="56">
        <f t="shared" si="80"/>
        <v>29.484150040752834</v>
      </c>
      <c r="U74" s="154">
        <f t="shared" si="76"/>
        <v>129.34631203259096</v>
      </c>
      <c r="V74" s="149">
        <f t="shared" si="81"/>
        <v>2.346419118639945</v>
      </c>
      <c r="W74" s="162">
        <f t="shared" si="82"/>
        <v>29.79939878094795</v>
      </c>
      <c r="X74" s="4">
        <f t="shared" si="99"/>
        <v>98.884469621774841</v>
      </c>
      <c r="Y74" s="4">
        <f t="shared" si="83"/>
        <v>15.067785110709627</v>
      </c>
      <c r="Z74" s="4">
        <f t="shared" si="84"/>
        <v>49.999999999999993</v>
      </c>
      <c r="AA74" s="4">
        <f t="shared" si="46"/>
        <v>23.560988357650743</v>
      </c>
      <c r="AB74" s="4">
        <f t="shared" si="47"/>
        <v>5.9231616831020908</v>
      </c>
      <c r="AD74" s="230">
        <f t="shared" si="62"/>
        <v>71</v>
      </c>
      <c r="AE74" s="202">
        <f t="shared" si="100"/>
        <v>220</v>
      </c>
      <c r="AG74">
        <f t="shared" si="63"/>
        <v>46.848453616444125</v>
      </c>
      <c r="AH74">
        <f t="shared" si="64"/>
        <v>7.7117139810742383</v>
      </c>
      <c r="AI74" s="40">
        <f t="shared" si="65"/>
        <v>54.560167597518365</v>
      </c>
      <c r="AJ74" s="88">
        <f t="shared" si="66"/>
        <v>124.27029447582544</v>
      </c>
      <c r="AK74" s="199">
        <f t="shared" si="67"/>
        <v>1.3079908646816982</v>
      </c>
      <c r="AL74" s="213">
        <f t="shared" si="68"/>
        <v>534.5746741175285</v>
      </c>
      <c r="AM74">
        <f t="shared" si="69"/>
        <v>988.84469621775077</v>
      </c>
      <c r="AN74" s="215">
        <f t="shared" si="70"/>
        <v>53.457467411752752</v>
      </c>
      <c r="AO74" s="63">
        <f t="shared" si="71"/>
        <v>98.884469621774898</v>
      </c>
      <c r="AP74" s="63">
        <f t="shared" si="72"/>
        <v>27.030264517888018</v>
      </c>
      <c r="AQ74" s="63">
        <f t="shared" si="73"/>
        <v>50</v>
      </c>
      <c r="AR74" s="63">
        <f t="shared" si="74"/>
        <v>28.63700591441626</v>
      </c>
      <c r="AS74" s="63">
        <f t="shared" si="75"/>
        <v>25.923161683102105</v>
      </c>
      <c r="AU74" s="229">
        <f t="shared" si="101"/>
        <v>71</v>
      </c>
      <c r="AV74" s="202">
        <f t="shared" si="102"/>
        <v>1940</v>
      </c>
      <c r="AX74" s="229">
        <f t="shared" si="85"/>
        <v>65.756034598604515</v>
      </c>
      <c r="AY74" s="229">
        <f t="shared" si="86"/>
        <v>68.003296014927372</v>
      </c>
      <c r="AZ74" s="229">
        <f t="shared" si="87"/>
        <v>133.75933061353189</v>
      </c>
      <c r="BA74" s="53">
        <f t="shared" si="88"/>
        <v>49.420810344090029</v>
      </c>
      <c r="BB74" s="198">
        <f t="shared" si="89"/>
        <v>2.3666307561281863E-4</v>
      </c>
      <c r="BC74" s="211">
        <f t="shared" si="90"/>
        <v>4874909.1969747916</v>
      </c>
      <c r="BD74" s="229">
        <f t="shared" si="91"/>
        <v>1631.5937487592844</v>
      </c>
      <c r="BE74" s="4">
        <f t="shared" si="92"/>
        <v>295449.04224089661</v>
      </c>
      <c r="BF74" s="4">
        <f t="shared" si="93"/>
        <v>98.884469621774869</v>
      </c>
      <c r="BG74" s="4">
        <f t="shared" si="94"/>
        <v>149391.02336846496</v>
      </c>
      <c r="BH74" s="4">
        <f t="shared" si="95"/>
        <v>50.000000000000007</v>
      </c>
      <c r="BI74">
        <f t="shared" si="96"/>
        <v>103.48649004615169</v>
      </c>
      <c r="BJ74">
        <f t="shared" si="97"/>
        <v>30.2728405673802</v>
      </c>
      <c r="BL74" s="40"/>
    </row>
    <row r="75" spans="15:64">
      <c r="O75" s="195">
        <f t="shared" si="98"/>
        <v>72</v>
      </c>
      <c r="P75" s="138">
        <f t="shared" si="77"/>
        <v>27.125</v>
      </c>
      <c r="Q75" s="146"/>
      <c r="R75" s="56">
        <f t="shared" si="78"/>
        <v>28.667394937131721</v>
      </c>
      <c r="S75" s="56">
        <f t="shared" si="79"/>
        <v>0.95081928062108501</v>
      </c>
      <c r="T75" s="56">
        <f t="shared" si="80"/>
        <v>29.618214217752808</v>
      </c>
      <c r="U75" s="154">
        <f t="shared" si="76"/>
        <v>129.21224785559099</v>
      </c>
      <c r="V75" s="149">
        <f t="shared" si="81"/>
        <v>2.3104808844348486</v>
      </c>
      <c r="W75" s="162">
        <f t="shared" si="82"/>
        <v>30.262911714456934</v>
      </c>
      <c r="X75" s="4">
        <f t="shared" si="99"/>
        <v>98.884469621774912</v>
      </c>
      <c r="Y75" s="4">
        <f t="shared" si="83"/>
        <v>15.302156056562845</v>
      </c>
      <c r="Z75" s="4">
        <f t="shared" si="84"/>
        <v>50.000000000000036</v>
      </c>
      <c r="AA75" s="4">
        <f t="shared" si="46"/>
        <v>23.695052534650717</v>
      </c>
      <c r="AB75" s="4">
        <f t="shared" si="47"/>
        <v>5.9231616831020908</v>
      </c>
      <c r="AD75" s="230">
        <f t="shared" si="62"/>
        <v>72</v>
      </c>
      <c r="AE75" s="202">
        <f t="shared" si="100"/>
        <v>223</v>
      </c>
      <c r="AG75">
        <f t="shared" si="63"/>
        <v>46.96609726096321</v>
      </c>
      <c r="AH75">
        <f t="shared" si="64"/>
        <v>7.8168737171797957</v>
      </c>
      <c r="AI75" s="40">
        <f t="shared" si="65"/>
        <v>54.782970978143005</v>
      </c>
      <c r="AJ75" s="88">
        <f t="shared" si="66"/>
        <v>124.0474910952008</v>
      </c>
      <c r="AK75" s="199">
        <f t="shared" si="67"/>
        <v>1.2748660084518211</v>
      </c>
      <c r="AL75" s="213">
        <f t="shared" si="68"/>
        <v>548.46453321399974</v>
      </c>
      <c r="AM75">
        <f t="shared" si="69"/>
        <v>988.84469621775077</v>
      </c>
      <c r="AN75" s="215">
        <f t="shared" si="70"/>
        <v>54.846453321399871</v>
      </c>
      <c r="AO75" s="63">
        <f t="shared" si="71"/>
        <v>98.884469621774883</v>
      </c>
      <c r="AP75" s="63">
        <f t="shared" si="72"/>
        <v>27.732592150811509</v>
      </c>
      <c r="AQ75" s="63">
        <f t="shared" si="73"/>
        <v>50</v>
      </c>
      <c r="AR75" s="63">
        <f t="shared" si="74"/>
        <v>28.859809295040904</v>
      </c>
      <c r="AS75" s="63">
        <f t="shared" si="75"/>
        <v>25.923161683102101</v>
      </c>
      <c r="AU75" s="229">
        <f t="shared" si="101"/>
        <v>72</v>
      </c>
      <c r="AV75" s="202">
        <f t="shared" si="102"/>
        <v>1967</v>
      </c>
      <c r="AX75" s="229">
        <f t="shared" si="85"/>
        <v>65.876087198386728</v>
      </c>
      <c r="AY75" s="229">
        <f t="shared" si="86"/>
        <v>68.949733639877394</v>
      </c>
      <c r="AZ75" s="229">
        <f t="shared" si="87"/>
        <v>134.82582083826412</v>
      </c>
      <c r="BA75" s="53">
        <f t="shared" si="88"/>
        <v>48.354320119357794</v>
      </c>
      <c r="BB75" s="198">
        <f t="shared" si="89"/>
        <v>2.0931771876280667E-4</v>
      </c>
      <c r="BC75" s="211">
        <f t="shared" si="90"/>
        <v>5511769.4321741927</v>
      </c>
      <c r="BD75" s="229">
        <f t="shared" si="91"/>
        <v>1631.5937487592876</v>
      </c>
      <c r="BE75" s="4">
        <f t="shared" si="92"/>
        <v>334046.6322529816</v>
      </c>
      <c r="BF75" s="4">
        <f t="shared" si="93"/>
        <v>98.884469621775068</v>
      </c>
      <c r="BG75" s="4">
        <f t="shared" si="94"/>
        <v>168907.53094529524</v>
      </c>
      <c r="BH75" s="4">
        <f t="shared" si="95"/>
        <v>50</v>
      </c>
      <c r="BI75">
        <f t="shared" si="96"/>
        <v>104.55298027088391</v>
      </c>
      <c r="BJ75">
        <f t="shared" si="97"/>
        <v>30.272840567380214</v>
      </c>
      <c r="BL75" s="40"/>
    </row>
    <row r="76" spans="15:64">
      <c r="O76" s="195">
        <f t="shared" si="98"/>
        <v>73</v>
      </c>
      <c r="P76" s="138">
        <f t="shared" si="77"/>
        <v>27.5</v>
      </c>
      <c r="Q76" s="146"/>
      <c r="R76" s="56">
        <f t="shared" si="78"/>
        <v>28.786653876605254</v>
      </c>
      <c r="S76" s="56">
        <f t="shared" si="79"/>
        <v>0.96396424763427979</v>
      </c>
      <c r="T76" s="56">
        <f t="shared" si="80"/>
        <v>29.750618124239534</v>
      </c>
      <c r="U76" s="154">
        <f t="shared" si="76"/>
        <v>129.07984394910426</v>
      </c>
      <c r="V76" s="149">
        <f t="shared" si="81"/>
        <v>2.2755280034019227</v>
      </c>
      <c r="W76" s="162">
        <f t="shared" si="82"/>
        <v>30.727760290824254</v>
      </c>
      <c r="X76" s="4">
        <f t="shared" si="99"/>
        <v>98.884469621774912</v>
      </c>
      <c r="Y76" s="4">
        <f t="shared" si="83"/>
        <v>15.537202357637891</v>
      </c>
      <c r="Z76" s="4">
        <f t="shared" si="84"/>
        <v>50.000000000000028</v>
      </c>
      <c r="AA76" s="4">
        <f t="shared" si="46"/>
        <v>23.827456441137443</v>
      </c>
      <c r="AB76" s="4">
        <f t="shared" si="47"/>
        <v>5.9231616831020908</v>
      </c>
      <c r="AD76" s="230">
        <f t="shared" si="62"/>
        <v>73</v>
      </c>
      <c r="AE76" s="202">
        <f t="shared" si="100"/>
        <v>226</v>
      </c>
      <c r="AG76">
        <f t="shared" si="63"/>
        <v>47.082168782948017</v>
      </c>
      <c r="AH76">
        <f t="shared" si="64"/>
        <v>7.922033453285354</v>
      </c>
      <c r="AI76" s="40">
        <f t="shared" si="65"/>
        <v>55.004202236233368</v>
      </c>
      <c r="AJ76" s="88">
        <f t="shared" si="66"/>
        <v>123.82625983711043</v>
      </c>
      <c r="AK76" s="199">
        <f t="shared" si="67"/>
        <v>1.2428049628727704</v>
      </c>
      <c r="AL76" s="213">
        <f t="shared" si="68"/>
        <v>562.61345192866202</v>
      </c>
      <c r="AM76">
        <f t="shared" si="69"/>
        <v>988.84469621774929</v>
      </c>
      <c r="AN76" s="215">
        <f t="shared" si="70"/>
        <v>56.261345192866095</v>
      </c>
      <c r="AO76" s="63">
        <f t="shared" si="71"/>
        <v>98.884469621774741</v>
      </c>
      <c r="AP76" s="63">
        <f t="shared" si="72"/>
        <v>28.448018889144716</v>
      </c>
      <c r="AQ76" s="63">
        <f t="shared" si="73"/>
        <v>50</v>
      </c>
      <c r="AR76" s="63">
        <f t="shared" si="74"/>
        <v>29.081040553131274</v>
      </c>
      <c r="AS76" s="63">
        <f t="shared" si="75"/>
        <v>25.923161683102094</v>
      </c>
      <c r="AU76" s="229">
        <f t="shared" si="101"/>
        <v>73</v>
      </c>
      <c r="AV76" s="202">
        <f t="shared" si="102"/>
        <v>1994</v>
      </c>
      <c r="AX76" s="229">
        <f t="shared" si="85"/>
        <v>65.994503079512739</v>
      </c>
      <c r="AY76" s="229">
        <f t="shared" si="86"/>
        <v>69.896171264827416</v>
      </c>
      <c r="AZ76" s="229">
        <f t="shared" si="87"/>
        <v>135.89067434434014</v>
      </c>
      <c r="BA76" s="53">
        <f t="shared" si="88"/>
        <v>47.289466613281775</v>
      </c>
      <c r="BB76" s="198">
        <f t="shared" si="89"/>
        <v>1.8516688372718294E-4</v>
      </c>
      <c r="BC76" s="211">
        <f t="shared" si="90"/>
        <v>6230655.1834025523</v>
      </c>
      <c r="BD76" s="229">
        <f t="shared" si="91"/>
        <v>1631.5937487592844</v>
      </c>
      <c r="BE76" s="4">
        <f t="shared" si="92"/>
        <v>377615.46566076099</v>
      </c>
      <c r="BF76" s="4">
        <f t="shared" si="93"/>
        <v>98.884469621774869</v>
      </c>
      <c r="BG76" s="4">
        <f t="shared" si="94"/>
        <v>190937.70088726253</v>
      </c>
      <c r="BH76" s="4">
        <f t="shared" si="95"/>
        <v>50</v>
      </c>
      <c r="BI76">
        <f t="shared" si="96"/>
        <v>105.61783377695994</v>
      </c>
      <c r="BJ76">
        <f t="shared" si="97"/>
        <v>30.2728405673802</v>
      </c>
      <c r="BL76" s="40"/>
    </row>
    <row r="77" spans="15:64">
      <c r="O77" s="195">
        <f t="shared" si="98"/>
        <v>74</v>
      </c>
      <c r="P77" s="138">
        <f t="shared" si="77"/>
        <v>27.875</v>
      </c>
      <c r="Q77" s="146"/>
      <c r="R77" s="56">
        <f t="shared" si="78"/>
        <v>28.904297521124342</v>
      </c>
      <c r="S77" s="56">
        <f t="shared" si="79"/>
        <v>0.97710921464747447</v>
      </c>
      <c r="T77" s="56">
        <f t="shared" si="80"/>
        <v>29.881406735771815</v>
      </c>
      <c r="U77" s="154">
        <f t="shared" si="76"/>
        <v>128.94905533757199</v>
      </c>
      <c r="V77" s="149">
        <f t="shared" si="81"/>
        <v>2.2415207001374604</v>
      </c>
      <c r="W77" s="162">
        <f t="shared" si="82"/>
        <v>31.193947492568039</v>
      </c>
      <c r="X77" s="4">
        <f t="shared" si="99"/>
        <v>98.884469621775054</v>
      </c>
      <c r="Y77" s="4">
        <f t="shared" si="83"/>
        <v>15.772925522016946</v>
      </c>
      <c r="Z77" s="4">
        <f t="shared" si="84"/>
        <v>50.000000000000099</v>
      </c>
      <c r="AA77" s="4">
        <f t="shared" si="46"/>
        <v>23.958245052669724</v>
      </c>
      <c r="AB77" s="4">
        <f t="shared" si="47"/>
        <v>5.9231616831020908</v>
      </c>
      <c r="AD77" s="230">
        <f t="shared" si="62"/>
        <v>74</v>
      </c>
      <c r="AE77" s="202">
        <f t="shared" si="100"/>
        <v>229</v>
      </c>
      <c r="AG77">
        <f t="shared" si="63"/>
        <v>47.196709646797757</v>
      </c>
      <c r="AH77">
        <f t="shared" si="64"/>
        <v>8.0271931893909123</v>
      </c>
      <c r="AI77" s="40">
        <f t="shared" si="65"/>
        <v>55.223902836188671</v>
      </c>
      <c r="AJ77" s="88">
        <f t="shared" si="66"/>
        <v>123.60655923715512</v>
      </c>
      <c r="AK77" s="199">
        <f t="shared" si="67"/>
        <v>1.211763728921857</v>
      </c>
      <c r="AL77" s="213">
        <f t="shared" si="68"/>
        <v>577.02568045838382</v>
      </c>
      <c r="AM77">
        <f t="shared" si="69"/>
        <v>988.84469621775077</v>
      </c>
      <c r="AN77" s="215">
        <f t="shared" si="70"/>
        <v>57.702568045838269</v>
      </c>
      <c r="AO77" s="63">
        <f t="shared" si="71"/>
        <v>98.884469621774883</v>
      </c>
      <c r="AP77" s="63">
        <f t="shared" si="72"/>
        <v>29.176759640086019</v>
      </c>
      <c r="AQ77" s="63">
        <f t="shared" si="73"/>
        <v>50</v>
      </c>
      <c r="AR77" s="63">
        <f t="shared" si="74"/>
        <v>29.300741153086566</v>
      </c>
      <c r="AS77" s="63">
        <f t="shared" si="75"/>
        <v>25.923161683102105</v>
      </c>
      <c r="AU77" s="229">
        <f t="shared" si="101"/>
        <v>74</v>
      </c>
      <c r="AV77" s="202">
        <f t="shared" si="102"/>
        <v>2021</v>
      </c>
      <c r="AX77" s="229">
        <f t="shared" si="85"/>
        <v>66.11132627030608</v>
      </c>
      <c r="AY77" s="229">
        <f t="shared" si="86"/>
        <v>70.842608889777424</v>
      </c>
      <c r="AZ77" s="229">
        <f t="shared" si="87"/>
        <v>136.95393516008352</v>
      </c>
      <c r="BA77" s="53">
        <f t="shared" si="88"/>
        <v>46.226205797538398</v>
      </c>
      <c r="BB77" s="198">
        <f t="shared" si="89"/>
        <v>1.6383258240841467E-4</v>
      </c>
      <c r="BC77" s="211">
        <f t="shared" si="90"/>
        <v>7042011.9546990432</v>
      </c>
      <c r="BD77" s="229">
        <f t="shared" si="91"/>
        <v>1631.5937487592876</v>
      </c>
      <c r="BE77" s="4">
        <f t="shared" si="92"/>
        <v>426788.60331509379</v>
      </c>
      <c r="BF77" s="4">
        <f t="shared" si="93"/>
        <v>98.884469621775068</v>
      </c>
      <c r="BG77" s="4">
        <f t="shared" si="94"/>
        <v>215801.63444650357</v>
      </c>
      <c r="BH77" s="4">
        <f t="shared" si="95"/>
        <v>50</v>
      </c>
      <c r="BI77">
        <f t="shared" si="96"/>
        <v>106.68109459270329</v>
      </c>
      <c r="BJ77">
        <f t="shared" si="97"/>
        <v>30.272840567380229</v>
      </c>
      <c r="BL77" s="40"/>
    </row>
    <row r="78" spans="15:64">
      <c r="O78" s="195">
        <f t="shared" si="98"/>
        <v>75</v>
      </c>
      <c r="P78" s="138">
        <f t="shared" si="77"/>
        <v>28.25</v>
      </c>
      <c r="Q78" s="146"/>
      <c r="R78" s="56">
        <f t="shared" si="78"/>
        <v>29.020369043109149</v>
      </c>
      <c r="S78" s="56">
        <f t="shared" si="79"/>
        <v>0.99025418166066925</v>
      </c>
      <c r="T78" s="56">
        <f t="shared" si="80"/>
        <v>30.010623224769819</v>
      </c>
      <c r="U78" s="154">
        <f t="shared" si="76"/>
        <v>128.81983884857397</v>
      </c>
      <c r="V78" s="149">
        <f t="shared" si="81"/>
        <v>2.2084213112176965</v>
      </c>
      <c r="W78" s="162">
        <f t="shared" si="82"/>
        <v>31.661476308176923</v>
      </c>
      <c r="X78" s="4">
        <f t="shared" si="99"/>
        <v>98.884469621774798</v>
      </c>
      <c r="Y78" s="4">
        <f t="shared" si="83"/>
        <v>16.009327060801116</v>
      </c>
      <c r="Z78" s="4">
        <f t="shared" si="84"/>
        <v>49.999999999999964</v>
      </c>
      <c r="AA78" s="4">
        <f t="shared" si="46"/>
        <v>24.087461541667729</v>
      </c>
      <c r="AB78" s="4">
        <f t="shared" si="47"/>
        <v>5.9231616831020908</v>
      </c>
      <c r="AD78" s="230">
        <f t="shared" si="62"/>
        <v>75</v>
      </c>
      <c r="AE78" s="202">
        <f t="shared" si="100"/>
        <v>232</v>
      </c>
      <c r="AG78">
        <f t="shared" si="63"/>
        <v>47.309759697817995</v>
      </c>
      <c r="AH78">
        <f t="shared" si="64"/>
        <v>8.1323529254964697</v>
      </c>
      <c r="AI78" s="40">
        <f t="shared" si="65"/>
        <v>55.442112623314465</v>
      </c>
      <c r="AJ78" s="88">
        <f t="shared" si="66"/>
        <v>123.38834945002932</v>
      </c>
      <c r="AK78" s="199">
        <f t="shared" si="67"/>
        <v>1.1817006093999658</v>
      </c>
      <c r="AL78" s="213">
        <f t="shared" si="68"/>
        <v>591.70553410390983</v>
      </c>
      <c r="AM78">
        <f t="shared" si="69"/>
        <v>988.84469621774986</v>
      </c>
      <c r="AN78" s="215">
        <f t="shared" si="70"/>
        <v>59.170553410390873</v>
      </c>
      <c r="AO78" s="63">
        <f t="shared" si="71"/>
        <v>98.884469621774798</v>
      </c>
      <c r="AP78" s="63">
        <f t="shared" si="72"/>
        <v>29.919032602750217</v>
      </c>
      <c r="AQ78" s="63">
        <f t="shared" si="73"/>
        <v>50</v>
      </c>
      <c r="AR78" s="63">
        <f t="shared" si="74"/>
        <v>29.518950940212374</v>
      </c>
      <c r="AS78" s="63">
        <f t="shared" si="75"/>
        <v>25.923161683102091</v>
      </c>
      <c r="AU78" s="229">
        <f t="shared" si="101"/>
        <v>75</v>
      </c>
      <c r="AV78" s="202">
        <f t="shared" si="102"/>
        <v>2048</v>
      </c>
      <c r="AX78" s="229">
        <f t="shared" si="85"/>
        <v>66.226599046075862</v>
      </c>
      <c r="AY78" s="229">
        <f t="shared" si="86"/>
        <v>71.78904651472746</v>
      </c>
      <c r="AZ78" s="229">
        <f t="shared" si="87"/>
        <v>138.01564556080331</v>
      </c>
      <c r="BA78" s="53">
        <f t="shared" si="88"/>
        <v>45.164495396818609</v>
      </c>
      <c r="BB78" s="198">
        <f t="shared" si="89"/>
        <v>1.449822237896955E-4</v>
      </c>
      <c r="BC78" s="211">
        <f t="shared" si="90"/>
        <v>7957603.1718398109</v>
      </c>
      <c r="BD78" s="229">
        <f t="shared" si="91"/>
        <v>1631.5937487592848</v>
      </c>
      <c r="BE78" s="4">
        <f t="shared" si="92"/>
        <v>482278.98011150397</v>
      </c>
      <c r="BF78" s="4">
        <f t="shared" si="93"/>
        <v>98.884469621774898</v>
      </c>
      <c r="BG78" s="4">
        <f t="shared" si="94"/>
        <v>243859.82043296692</v>
      </c>
      <c r="BH78" s="4">
        <f t="shared" si="95"/>
        <v>50</v>
      </c>
      <c r="BI78">
        <f t="shared" si="96"/>
        <v>107.74280499342311</v>
      </c>
      <c r="BJ78">
        <f t="shared" si="97"/>
        <v>30.2728405673802</v>
      </c>
      <c r="BL78" s="40"/>
    </row>
    <row r="79" spans="15:64">
      <c r="O79" s="195">
        <f t="shared" si="98"/>
        <v>76</v>
      </c>
      <c r="P79" s="138">
        <f t="shared" si="77"/>
        <v>28.625</v>
      </c>
      <c r="Q79" s="146"/>
      <c r="R79" s="56">
        <f t="shared" si="78"/>
        <v>29.134909906958889</v>
      </c>
      <c r="S79" s="56">
        <f t="shared" si="79"/>
        <v>1.003399148673864</v>
      </c>
      <c r="T79" s="56">
        <f t="shared" si="80"/>
        <v>30.138309055632753</v>
      </c>
      <c r="U79" s="154">
        <f t="shared" si="76"/>
        <v>128.69215301771104</v>
      </c>
      <c r="V79" s="149">
        <f t="shared" si="81"/>
        <v>2.1761941468595398</v>
      </c>
      <c r="W79" s="162">
        <f t="shared" si="82"/>
        <v>32.130349732121196</v>
      </c>
      <c r="X79" s="4">
        <f t="shared" si="99"/>
        <v>98.884469621774826</v>
      </c>
      <c r="Y79" s="4">
        <f t="shared" si="83"/>
        <v>16.246408488116082</v>
      </c>
      <c r="Z79" s="4">
        <f t="shared" si="84"/>
        <v>49.999999999999986</v>
      </c>
      <c r="AA79" s="4">
        <f t="shared" si="46"/>
        <v>24.215147372530662</v>
      </c>
      <c r="AB79" s="4">
        <f t="shared" si="47"/>
        <v>5.9231616831020908</v>
      </c>
      <c r="AD79" s="230">
        <f t="shared" si="62"/>
        <v>76</v>
      </c>
      <c r="AE79" s="202">
        <f t="shared" si="100"/>
        <v>235</v>
      </c>
      <c r="AG79">
        <f t="shared" si="63"/>
        <v>47.421357245434727</v>
      </c>
      <c r="AH79">
        <f t="shared" si="64"/>
        <v>8.2375126616020271</v>
      </c>
      <c r="AI79" s="40">
        <f t="shared" si="65"/>
        <v>55.658869907036753</v>
      </c>
      <c r="AJ79" s="88">
        <f t="shared" si="66"/>
        <v>123.17159216630705</v>
      </c>
      <c r="AK79" s="199">
        <f t="shared" si="67"/>
        <v>1.1525760616976306</v>
      </c>
      <c r="AL79" s="213">
        <f t="shared" si="68"/>
        <v>606.6573942252827</v>
      </c>
      <c r="AM79">
        <f t="shared" si="69"/>
        <v>988.84469621775099</v>
      </c>
      <c r="AN79" s="215">
        <f t="shared" si="70"/>
        <v>60.665739422528155</v>
      </c>
      <c r="AO79" s="63">
        <f t="shared" si="71"/>
        <v>98.884469621774912</v>
      </c>
      <c r="AP79" s="63">
        <f t="shared" si="72"/>
        <v>30.675059316477956</v>
      </c>
      <c r="AQ79" s="63">
        <f t="shared" si="73"/>
        <v>50</v>
      </c>
      <c r="AR79" s="63">
        <f t="shared" si="74"/>
        <v>29.735708223934644</v>
      </c>
      <c r="AS79" s="63">
        <f t="shared" si="75"/>
        <v>25.923161683102109</v>
      </c>
      <c r="AU79" s="229">
        <f t="shared" si="101"/>
        <v>76</v>
      </c>
      <c r="AV79" s="202">
        <f t="shared" si="102"/>
        <v>2075</v>
      </c>
      <c r="AX79" s="229">
        <f t="shared" si="85"/>
        <v>66.340362020962232</v>
      </c>
      <c r="AY79" s="229">
        <f t="shared" si="86"/>
        <v>72.735484139677482</v>
      </c>
      <c r="AZ79" s="229">
        <f t="shared" si="87"/>
        <v>139.07584616063971</v>
      </c>
      <c r="BA79" s="53">
        <f t="shared" si="88"/>
        <v>44.104294796982202</v>
      </c>
      <c r="BB79" s="198">
        <f t="shared" si="89"/>
        <v>1.2832306578041479E-4</v>
      </c>
      <c r="BC79" s="211">
        <f t="shared" si="90"/>
        <v>8990675.1905654389</v>
      </c>
      <c r="BD79" s="229">
        <f t="shared" si="91"/>
        <v>1631.5937487592873</v>
      </c>
      <c r="BE79" s="4">
        <f t="shared" si="92"/>
        <v>544889.40548881481</v>
      </c>
      <c r="BF79" s="4">
        <f t="shared" si="93"/>
        <v>98.884469621775054</v>
      </c>
      <c r="BG79" s="4">
        <f t="shared" si="94"/>
        <v>275518.19187227875</v>
      </c>
      <c r="BH79" s="4">
        <f t="shared" si="95"/>
        <v>49.999999999999993</v>
      </c>
      <c r="BI79">
        <f t="shared" si="96"/>
        <v>108.80300559325948</v>
      </c>
      <c r="BJ79">
        <f t="shared" si="97"/>
        <v>30.272840567380229</v>
      </c>
      <c r="BL79" s="40"/>
    </row>
    <row r="80" spans="15:64">
      <c r="O80" s="195">
        <f t="shared" si="98"/>
        <v>77</v>
      </c>
      <c r="P80" s="138">
        <f t="shared" si="77"/>
        <v>29</v>
      </c>
      <c r="Q80" s="146"/>
      <c r="R80" s="56">
        <f t="shared" si="78"/>
        <v>29.24795995797912</v>
      </c>
      <c r="S80" s="56">
        <f t="shared" si="79"/>
        <v>1.0165441156870587</v>
      </c>
      <c r="T80" s="56">
        <f t="shared" si="80"/>
        <v>30.264504073666178</v>
      </c>
      <c r="U80" s="154">
        <f t="shared" si="76"/>
        <v>128.56595799967761</v>
      </c>
      <c r="V80" s="149">
        <f t="shared" si="81"/>
        <v>2.1448053633144211</v>
      </c>
      <c r="W80" s="162">
        <f t="shared" si="82"/>
        <v>32.600570764864223</v>
      </c>
      <c r="X80" s="4">
        <f t="shared" si="99"/>
        <v>98.884469621774784</v>
      </c>
      <c r="Y80" s="4">
        <f t="shared" si="83"/>
        <v>16.484171321117859</v>
      </c>
      <c r="Z80" s="4">
        <f t="shared" si="84"/>
        <v>49.999999999999972</v>
      </c>
      <c r="AA80" s="4">
        <f t="shared" si="46"/>
        <v>24.341342390564087</v>
      </c>
      <c r="AB80" s="4">
        <f t="shared" si="47"/>
        <v>5.9231616831020908</v>
      </c>
      <c r="AD80" s="230">
        <f t="shared" si="62"/>
        <v>77</v>
      </c>
      <c r="AE80" s="202">
        <f t="shared" si="100"/>
        <v>238</v>
      </c>
      <c r="AG80">
        <f t="shared" si="63"/>
        <v>47.531539141130239</v>
      </c>
      <c r="AH80">
        <f t="shared" si="64"/>
        <v>8.3426723977075845</v>
      </c>
      <c r="AI80" s="40">
        <f t="shared" si="65"/>
        <v>55.874211538837827</v>
      </c>
      <c r="AJ80" s="88">
        <f t="shared" si="66"/>
        <v>122.95625053450595</v>
      </c>
      <c r="AK80" s="199">
        <f t="shared" si="67"/>
        <v>1.124352561700078</v>
      </c>
      <c r="AL80" s="213">
        <f t="shared" si="68"/>
        <v>621.88570921087921</v>
      </c>
      <c r="AM80">
        <f t="shared" si="69"/>
        <v>988.84469621774895</v>
      </c>
      <c r="AN80" s="215">
        <f t="shared" si="70"/>
        <v>62.188570921087802</v>
      </c>
      <c r="AO80" s="63">
        <f t="shared" si="71"/>
        <v>98.884469621774699</v>
      </c>
      <c r="AP80" s="63">
        <f t="shared" si="72"/>
        <v>31.44506470983471</v>
      </c>
      <c r="AQ80" s="63">
        <f t="shared" si="73"/>
        <v>50</v>
      </c>
      <c r="AR80" s="63">
        <f t="shared" si="74"/>
        <v>29.951049855735739</v>
      </c>
      <c r="AS80" s="63">
        <f t="shared" si="75"/>
        <v>25.923161683102087</v>
      </c>
      <c r="AU80" s="229">
        <f t="shared" si="101"/>
        <v>77</v>
      </c>
      <c r="AV80" s="202">
        <f t="shared" si="102"/>
        <v>2102</v>
      </c>
      <c r="AX80" s="229">
        <f t="shared" si="85"/>
        <v>66.45265423384447</v>
      </c>
      <c r="AY80" s="229">
        <f t="shared" si="86"/>
        <v>73.681921764627489</v>
      </c>
      <c r="AZ80" s="229">
        <f t="shared" si="87"/>
        <v>140.13457599847197</v>
      </c>
      <c r="BA80" s="53">
        <f t="shared" si="88"/>
        <v>43.045564959149942</v>
      </c>
      <c r="BB80" s="198">
        <f t="shared" si="89"/>
        <v>1.1359735907164528E-4</v>
      </c>
      <c r="BC80" s="211">
        <f t="shared" si="90"/>
        <v>10156142.83041241</v>
      </c>
      <c r="BD80" s="229">
        <f t="shared" si="91"/>
        <v>1631.5937487592905</v>
      </c>
      <c r="BE80" s="4">
        <f t="shared" si="92"/>
        <v>615523.80790378281</v>
      </c>
      <c r="BF80" s="4">
        <f t="shared" si="93"/>
        <v>98.884469621775253</v>
      </c>
      <c r="BG80" s="4">
        <f t="shared" si="94"/>
        <v>311233.8116683588</v>
      </c>
      <c r="BH80" s="4">
        <f t="shared" si="95"/>
        <v>50.000000000000007</v>
      </c>
      <c r="BI80">
        <f t="shared" si="96"/>
        <v>109.86173543109176</v>
      </c>
      <c r="BJ80">
        <f t="shared" si="97"/>
        <v>30.272840567380214</v>
      </c>
      <c r="BL80" s="40"/>
    </row>
    <row r="81" spans="15:64">
      <c r="O81" s="195">
        <f t="shared" si="98"/>
        <v>78</v>
      </c>
      <c r="P81" s="138">
        <f t="shared" si="77"/>
        <v>29.375</v>
      </c>
      <c r="Q81" s="146"/>
      <c r="R81" s="56">
        <f t="shared" si="78"/>
        <v>29.359557505595856</v>
      </c>
      <c r="S81" s="56">
        <f t="shared" si="79"/>
        <v>1.0296890827002534</v>
      </c>
      <c r="T81" s="56">
        <f t="shared" si="80"/>
        <v>30.38924658829611</v>
      </c>
      <c r="U81" s="154">
        <f t="shared" si="76"/>
        <v>128.44121548504768</v>
      </c>
      <c r="V81" s="149">
        <f t="shared" si="81"/>
        <v>2.1142228450363185</v>
      </c>
      <c r="W81" s="162">
        <f t="shared" si="82"/>
        <v>33.072142412873688</v>
      </c>
      <c r="X81" s="4">
        <f t="shared" si="99"/>
        <v>98.884469621774784</v>
      </c>
      <c r="Y81" s="4">
        <f t="shared" si="83"/>
        <v>16.722617079998496</v>
      </c>
      <c r="Z81" s="4">
        <f t="shared" si="84"/>
        <v>49.999999999999972</v>
      </c>
      <c r="AA81" s="4">
        <f t="shared" si="46"/>
        <v>24.46608490519402</v>
      </c>
      <c r="AB81" s="4">
        <f t="shared" si="47"/>
        <v>5.9231616831020908</v>
      </c>
      <c r="AD81" s="230">
        <f t="shared" si="62"/>
        <v>78</v>
      </c>
      <c r="AE81" s="202">
        <f t="shared" si="100"/>
        <v>241</v>
      </c>
      <c r="AG81">
        <f t="shared" si="63"/>
        <v>47.640340851497371</v>
      </c>
      <c r="AH81">
        <f t="shared" si="64"/>
        <v>8.4478321338131419</v>
      </c>
      <c r="AI81" s="40">
        <f t="shared" si="65"/>
        <v>56.088172985310514</v>
      </c>
      <c r="AJ81" s="88">
        <f t="shared" si="66"/>
        <v>122.74228908803329</v>
      </c>
      <c r="AK81" s="199">
        <f t="shared" si="67"/>
        <v>1.0969944778606819</v>
      </c>
      <c r="AL81" s="213">
        <f t="shared" si="68"/>
        <v>637.3949954602449</v>
      </c>
      <c r="AM81">
        <f t="shared" si="69"/>
        <v>988.84469621775065</v>
      </c>
      <c r="AN81" s="215">
        <f t="shared" si="70"/>
        <v>63.739499546024369</v>
      </c>
      <c r="AO81" s="63">
        <f t="shared" si="71"/>
        <v>98.884469621774883</v>
      </c>
      <c r="AP81" s="63">
        <f t="shared" si="72"/>
        <v>32.229277150306217</v>
      </c>
      <c r="AQ81" s="63">
        <f t="shared" si="73"/>
        <v>50</v>
      </c>
      <c r="AR81" s="63">
        <f t="shared" si="74"/>
        <v>30.165011302208406</v>
      </c>
      <c r="AS81" s="63">
        <f t="shared" si="75"/>
        <v>25.923161683102109</v>
      </c>
      <c r="AU81" s="229">
        <f t="shared" si="101"/>
        <v>78</v>
      </c>
      <c r="AV81" s="202">
        <f t="shared" si="102"/>
        <v>2129</v>
      </c>
      <c r="AX81" s="229">
        <f t="shared" si="85"/>
        <v>66.563513228766453</v>
      </c>
      <c r="AY81" s="229">
        <f t="shared" si="86"/>
        <v>74.628359389577511</v>
      </c>
      <c r="AZ81" s="229">
        <f t="shared" si="87"/>
        <v>141.19187261834395</v>
      </c>
      <c r="BA81" s="53">
        <f t="shared" si="88"/>
        <v>41.988268339277965</v>
      </c>
      <c r="BB81" s="198">
        <f t="shared" si="89"/>
        <v>1.0057809461792886E-4</v>
      </c>
      <c r="BC81" s="211">
        <f t="shared" si="90"/>
        <v>11470797.973176315</v>
      </c>
      <c r="BD81" s="229">
        <f t="shared" si="91"/>
        <v>1631.5937487592901</v>
      </c>
      <c r="BE81" s="4">
        <f t="shared" si="92"/>
        <v>695199.87716220133</v>
      </c>
      <c r="BF81" s="4">
        <f t="shared" si="93"/>
        <v>98.88446962177521</v>
      </c>
      <c r="BG81" s="4">
        <f t="shared" si="94"/>
        <v>351521.26507897675</v>
      </c>
      <c r="BH81" s="4">
        <f t="shared" si="95"/>
        <v>50.000000000000007</v>
      </c>
      <c r="BI81">
        <f t="shared" si="96"/>
        <v>110.91903205096374</v>
      </c>
      <c r="BJ81">
        <f t="shared" si="97"/>
        <v>30.272840567380214</v>
      </c>
      <c r="BL81" s="40"/>
    </row>
    <row r="82" spans="15:64">
      <c r="O82" s="195">
        <f t="shared" si="98"/>
        <v>79</v>
      </c>
      <c r="P82" s="138">
        <f t="shared" si="77"/>
        <v>29.75</v>
      </c>
      <c r="Q82" s="146"/>
      <c r="R82" s="56">
        <f t="shared" si="78"/>
        <v>29.469739401291367</v>
      </c>
      <c r="S82" s="56">
        <f t="shared" si="79"/>
        <v>1.0428340497134481</v>
      </c>
      <c r="T82" s="56">
        <f t="shared" si="80"/>
        <v>30.512573451004815</v>
      </c>
      <c r="U82" s="154">
        <f t="shared" si="76"/>
        <v>128.31788862233898</v>
      </c>
      <c r="V82" s="149">
        <f t="shared" si="81"/>
        <v>2.0844160957614117</v>
      </c>
      <c r="W82" s="162">
        <f t="shared" si="82"/>
        <v>33.545067688632784</v>
      </c>
      <c r="X82" s="4">
        <f t="shared" si="99"/>
        <v>98.884469621774969</v>
      </c>
      <c r="Y82" s="4">
        <f t="shared" si="83"/>
        <v>16.96174728799172</v>
      </c>
      <c r="Z82" s="4">
        <f t="shared" si="84"/>
        <v>50.000000000000064</v>
      </c>
      <c r="AA82" s="4">
        <f t="shared" si="46"/>
        <v>24.589411767902725</v>
      </c>
      <c r="AB82" s="4">
        <f t="shared" si="47"/>
        <v>5.9231616831020908</v>
      </c>
      <c r="AD82" s="230">
        <f t="shared" si="62"/>
        <v>79</v>
      </c>
      <c r="AE82" s="202">
        <f t="shared" si="100"/>
        <v>244</v>
      </c>
      <c r="AG82">
        <f t="shared" si="63"/>
        <v>47.747796526774586</v>
      </c>
      <c r="AH82">
        <f t="shared" si="64"/>
        <v>8.5529918699186993</v>
      </c>
      <c r="AI82" s="40">
        <f t="shared" si="65"/>
        <v>56.300788396693285</v>
      </c>
      <c r="AJ82" s="88">
        <f t="shared" si="66"/>
        <v>122.5296736766505</v>
      </c>
      <c r="AK82" s="199">
        <f t="shared" si="67"/>
        <v>1.070467954567508</v>
      </c>
      <c r="AL82" s="213">
        <f t="shared" si="68"/>
        <v>653.18983838093675</v>
      </c>
      <c r="AM82">
        <f t="shared" si="69"/>
        <v>988.84469621774986</v>
      </c>
      <c r="AN82" s="215">
        <f t="shared" si="70"/>
        <v>65.318983838093558</v>
      </c>
      <c r="AO82" s="63">
        <f t="shared" si="71"/>
        <v>98.884469621774812</v>
      </c>
      <c r="AP82" s="63">
        <f t="shared" si="72"/>
        <v>33.027928494703694</v>
      </c>
      <c r="AQ82" s="63">
        <f t="shared" si="73"/>
        <v>50.000000000000007</v>
      </c>
      <c r="AR82" s="63">
        <f t="shared" si="74"/>
        <v>30.377626713591191</v>
      </c>
      <c r="AS82" s="63">
        <f t="shared" si="75"/>
        <v>25.923161683102094</v>
      </c>
      <c r="AU82" s="229">
        <f t="shared" si="101"/>
        <v>79</v>
      </c>
      <c r="AV82" s="202">
        <f t="shared" si="102"/>
        <v>2156</v>
      </c>
      <c r="AX82" s="229">
        <f t="shared" si="85"/>
        <v>66.67297513029402</v>
      </c>
      <c r="AY82" s="229">
        <f t="shared" si="86"/>
        <v>75.574797014527533</v>
      </c>
      <c r="AZ82" s="229">
        <f t="shared" si="87"/>
        <v>142.24777214482157</v>
      </c>
      <c r="BA82" s="53">
        <f t="shared" si="88"/>
        <v>40.932368812800348</v>
      </c>
      <c r="BB82" s="198">
        <f t="shared" si="89"/>
        <v>8.9065277963905706E-5</v>
      </c>
      <c r="BC82" s="211">
        <f t="shared" si="90"/>
        <v>12953544.077601412</v>
      </c>
      <c r="BD82" s="229">
        <f t="shared" si="91"/>
        <v>1631.5937487592903</v>
      </c>
      <c r="BE82" s="4">
        <f t="shared" si="92"/>
        <v>785063.27743038908</v>
      </c>
      <c r="BF82" s="4">
        <f t="shared" si="93"/>
        <v>98.884469621775224</v>
      </c>
      <c r="BG82" s="4">
        <f t="shared" si="94"/>
        <v>396959.84639104101</v>
      </c>
      <c r="BH82" s="4">
        <f t="shared" si="95"/>
        <v>50</v>
      </c>
      <c r="BI82">
        <f t="shared" si="96"/>
        <v>111.97493157744134</v>
      </c>
      <c r="BJ82">
        <f t="shared" si="97"/>
        <v>30.272840567380229</v>
      </c>
      <c r="BL82" s="40"/>
    </row>
    <row r="83" spans="15:64">
      <c r="O83" s="195">
        <f t="shared" si="98"/>
        <v>80</v>
      </c>
      <c r="P83" s="138">
        <f t="shared" si="77"/>
        <v>30.125</v>
      </c>
      <c r="Q83" s="146"/>
      <c r="R83" s="56">
        <f t="shared" si="78"/>
        <v>29.578541111658495</v>
      </c>
      <c r="S83" s="56">
        <f t="shared" si="79"/>
        <v>1.0559790167266427</v>
      </c>
      <c r="T83" s="56">
        <f t="shared" si="80"/>
        <v>30.634520128385137</v>
      </c>
      <c r="U83" s="154">
        <f t="shared" si="76"/>
        <v>128.19594194495866</v>
      </c>
      <c r="V83" s="149">
        <f t="shared" si="81"/>
        <v>2.0553561377228471</v>
      </c>
      <c r="W83" s="162">
        <f t="shared" si="82"/>
        <v>34.019349610651702</v>
      </c>
      <c r="X83" s="4">
        <f t="shared" si="99"/>
        <v>98.884469621775096</v>
      </c>
      <c r="Y83" s="4">
        <f t="shared" si="83"/>
        <v>17.201563471378762</v>
      </c>
      <c r="Z83" s="4">
        <f t="shared" si="84"/>
        <v>50.000000000000121</v>
      </c>
      <c r="AA83" s="4">
        <f t="shared" si="46"/>
        <v>24.71135844528305</v>
      </c>
      <c r="AB83" s="4">
        <f t="shared" si="47"/>
        <v>5.9231616831020872</v>
      </c>
      <c r="AD83" s="230">
        <f t="shared" si="62"/>
        <v>80</v>
      </c>
      <c r="AE83" s="202">
        <f t="shared" si="100"/>
        <v>247</v>
      </c>
      <c r="AG83">
        <f t="shared" si="63"/>
        <v>47.853939065193316</v>
      </c>
      <c r="AH83">
        <f t="shared" si="64"/>
        <v>8.6581516060242585</v>
      </c>
      <c r="AI83" s="40">
        <f t="shared" si="65"/>
        <v>56.512090671217578</v>
      </c>
      <c r="AJ83" s="88">
        <f t="shared" si="66"/>
        <v>122.31837140212622</v>
      </c>
      <c r="AK83" s="199">
        <f t="shared" si="67"/>
        <v>1.0447408040129387</v>
      </c>
      <c r="AL83" s="213">
        <f t="shared" si="68"/>
        <v>669.27489339955332</v>
      </c>
      <c r="AM83">
        <f t="shared" si="69"/>
        <v>988.84469621775088</v>
      </c>
      <c r="AN83" s="215">
        <f t="shared" si="70"/>
        <v>66.927489339955201</v>
      </c>
      <c r="AO83" s="63">
        <f t="shared" si="71"/>
        <v>98.884469621774898</v>
      </c>
      <c r="AP83" s="63">
        <f t="shared" si="72"/>
        <v>33.841254140284839</v>
      </c>
      <c r="AQ83" s="63">
        <f t="shared" si="73"/>
        <v>50</v>
      </c>
      <c r="AR83" s="63">
        <f t="shared" si="74"/>
        <v>30.588928988115477</v>
      </c>
      <c r="AS83" s="63">
        <f t="shared" si="75"/>
        <v>25.923161683102101</v>
      </c>
      <c r="AU83" s="229">
        <f t="shared" si="101"/>
        <v>80</v>
      </c>
      <c r="AV83" s="202">
        <f t="shared" si="102"/>
        <v>2183</v>
      </c>
      <c r="AX83" s="229">
        <f t="shared" si="85"/>
        <v>66.781074714182779</v>
      </c>
      <c r="AY83" s="229">
        <f t="shared" si="86"/>
        <v>76.521234639477541</v>
      </c>
      <c r="AZ83" s="229">
        <f t="shared" si="87"/>
        <v>143.30230935366032</v>
      </c>
      <c r="BA83" s="53">
        <f t="shared" si="88"/>
        <v>39.877831603961596</v>
      </c>
      <c r="BB83" s="198">
        <f t="shared" si="89"/>
        <v>7.8882663664958799E-5</v>
      </c>
      <c r="BC83" s="211">
        <f t="shared" si="90"/>
        <v>14625659.81277545</v>
      </c>
      <c r="BD83" s="229">
        <f t="shared" si="91"/>
        <v>1631.5937487592846</v>
      </c>
      <c r="BE83" s="4">
        <f t="shared" si="92"/>
        <v>886403.62501669442</v>
      </c>
      <c r="BF83" s="4">
        <f t="shared" si="93"/>
        <v>98.884469621774869</v>
      </c>
      <c r="BG83" s="4">
        <f t="shared" si="94"/>
        <v>448201.63793521712</v>
      </c>
      <c r="BH83" s="4">
        <f t="shared" si="95"/>
        <v>50</v>
      </c>
      <c r="BI83">
        <f t="shared" si="96"/>
        <v>113.02946878628012</v>
      </c>
      <c r="BJ83">
        <f t="shared" si="97"/>
        <v>30.2728405673802</v>
      </c>
      <c r="BL83" s="40"/>
    </row>
    <row r="84" spans="15:64">
      <c r="O84" s="195">
        <f t="shared" si="98"/>
        <v>81</v>
      </c>
      <c r="P84" s="138">
        <f t="shared" si="77"/>
        <v>30.5</v>
      </c>
      <c r="Q84" s="146"/>
      <c r="R84" s="56">
        <f t="shared" si="78"/>
        <v>29.685996786935718</v>
      </c>
      <c r="S84" s="56">
        <f t="shared" si="79"/>
        <v>1.0691239837398374</v>
      </c>
      <c r="T84" s="56">
        <f t="shared" si="80"/>
        <v>30.755120770675553</v>
      </c>
      <c r="U84" s="154">
        <f t="shared" si="76"/>
        <v>128.07534130266825</v>
      </c>
      <c r="V84" s="149">
        <f t="shared" si="81"/>
        <v>2.0270154183005142</v>
      </c>
      <c r="W84" s="162">
        <f t="shared" si="82"/>
        <v>34.494991203478861</v>
      </c>
      <c r="X84" s="4">
        <f t="shared" si="99"/>
        <v>98.884469621775011</v>
      </c>
      <c r="Y84" s="4">
        <f t="shared" si="83"/>
        <v>17.44206715949402</v>
      </c>
      <c r="Z84" s="4">
        <f t="shared" si="84"/>
        <v>50.000000000000085</v>
      </c>
      <c r="AA84" s="4">
        <f t="shared" ref="AA84:AA88" si="103">20*LOG10(Y84)</f>
        <v>24.831959087573466</v>
      </c>
      <c r="AB84" s="4">
        <f t="shared" ref="AB84:AB88" si="104">T84-AA84</f>
        <v>5.9231616831020872</v>
      </c>
      <c r="AD84" s="230">
        <f t="shared" si="62"/>
        <v>81</v>
      </c>
      <c r="AE84" s="202">
        <f t="shared" si="100"/>
        <v>250</v>
      </c>
      <c r="AG84">
        <f t="shared" si="63"/>
        <v>47.95880017344075</v>
      </c>
      <c r="AH84">
        <f t="shared" si="64"/>
        <v>8.7633113421298159</v>
      </c>
      <c r="AI84" s="40">
        <f t="shared" si="65"/>
        <v>56.722111515570568</v>
      </c>
      <c r="AJ84" s="88">
        <f t="shared" si="66"/>
        <v>122.10835055777324</v>
      </c>
      <c r="AK84" s="199">
        <f t="shared" si="67"/>
        <v>1.0197824058519729</v>
      </c>
      <c r="AL84" s="213">
        <f t="shared" si="68"/>
        <v>685.65488698715524</v>
      </c>
      <c r="AM84">
        <f t="shared" si="69"/>
        <v>988.84469621775179</v>
      </c>
      <c r="AN84" s="215">
        <f t="shared" si="70"/>
        <v>68.565488698715399</v>
      </c>
      <c r="AO84" s="63">
        <f t="shared" si="71"/>
        <v>98.884469621774997</v>
      </c>
      <c r="AP84" s="63">
        <f t="shared" si="72"/>
        <v>34.669493076603828</v>
      </c>
      <c r="AQ84" s="63">
        <f t="shared" si="73"/>
        <v>50</v>
      </c>
      <c r="AR84" s="63">
        <f t="shared" si="74"/>
        <v>30.798949832468459</v>
      </c>
      <c r="AS84" s="63">
        <f t="shared" si="75"/>
        <v>25.923161683102109</v>
      </c>
      <c r="AU84" s="229">
        <f t="shared" si="101"/>
        <v>81</v>
      </c>
      <c r="AV84" s="202">
        <f t="shared" si="102"/>
        <v>2210</v>
      </c>
      <c r="AX84" s="229">
        <f t="shared" si="85"/>
        <v>66.887845473702214</v>
      </c>
      <c r="AY84" s="229">
        <f t="shared" si="86"/>
        <v>77.467672264427577</v>
      </c>
      <c r="AZ84" s="229">
        <f t="shared" si="87"/>
        <v>144.35551773812978</v>
      </c>
      <c r="BA84" s="53">
        <f t="shared" si="88"/>
        <v>38.824623219492139</v>
      </c>
      <c r="BB84" s="198">
        <f t="shared" si="89"/>
        <v>6.9874891730600658E-5</v>
      </c>
      <c r="BC84" s="211">
        <f t="shared" si="90"/>
        <v>16511095.406592522</v>
      </c>
      <c r="BD84" s="229">
        <f t="shared" si="91"/>
        <v>1631.5937487592848</v>
      </c>
      <c r="BE84" s="4">
        <f t="shared" si="92"/>
        <v>1000672.4488843959</v>
      </c>
      <c r="BF84" s="4">
        <f t="shared" si="93"/>
        <v>98.884469621774898</v>
      </c>
      <c r="BG84" s="4">
        <f t="shared" si="94"/>
        <v>505980.59164997656</v>
      </c>
      <c r="BH84" s="4">
        <f t="shared" si="95"/>
        <v>50</v>
      </c>
      <c r="BI84">
        <f t="shared" si="96"/>
        <v>114.08267717074958</v>
      </c>
      <c r="BJ84">
        <f t="shared" si="97"/>
        <v>30.2728405673802</v>
      </c>
      <c r="BL84" s="40"/>
    </row>
    <row r="85" spans="15:64">
      <c r="O85" s="195">
        <f t="shared" si="98"/>
        <v>82</v>
      </c>
      <c r="P85" s="138">
        <f t="shared" si="77"/>
        <v>30.875</v>
      </c>
      <c r="Q85" s="146"/>
      <c r="R85" s="56">
        <f t="shared" si="78"/>
        <v>29.792139325354441</v>
      </c>
      <c r="S85" s="56">
        <f t="shared" si="79"/>
        <v>1.0822689507530323</v>
      </c>
      <c r="T85" s="56">
        <f t="shared" si="80"/>
        <v>30.874408276107474</v>
      </c>
      <c r="U85" s="154">
        <f t="shared" si="76"/>
        <v>127.95605379723634</v>
      </c>
      <c r="V85" s="149">
        <f t="shared" si="81"/>
        <v>1.9993677234736653</v>
      </c>
      <c r="W85" s="162">
        <f t="shared" si="82"/>
        <v>34.971995497712314</v>
      </c>
      <c r="X85" s="4">
        <f t="shared" si="99"/>
        <v>98.884469621775125</v>
      </c>
      <c r="Y85" s="4">
        <f t="shared" si="83"/>
        <v>17.68325988473083</v>
      </c>
      <c r="Z85" s="4">
        <f t="shared" si="84"/>
        <v>50.000000000000135</v>
      </c>
      <c r="AA85" s="4">
        <f t="shared" si="103"/>
        <v>24.951246593005383</v>
      </c>
      <c r="AB85" s="4">
        <f t="shared" si="104"/>
        <v>5.9231616831020908</v>
      </c>
      <c r="AD85" s="230">
        <f t="shared" si="62"/>
        <v>82</v>
      </c>
      <c r="AE85" s="202">
        <f t="shared" si="100"/>
        <v>253</v>
      </c>
      <c r="AG85">
        <f t="shared" si="63"/>
        <v>48.062410423516361</v>
      </c>
      <c r="AH85">
        <f t="shared" si="64"/>
        <v>8.8684710782353733</v>
      </c>
      <c r="AI85" s="40">
        <f t="shared" si="65"/>
        <v>56.930881501751735</v>
      </c>
      <c r="AJ85" s="88">
        <f t="shared" si="66"/>
        <v>121.89958057159205</v>
      </c>
      <c r="AK85" s="199">
        <f t="shared" si="67"/>
        <v>0.99556361400272353</v>
      </c>
      <c r="AL85" s="213">
        <f t="shared" si="68"/>
        <v>702.33461769928601</v>
      </c>
      <c r="AM85">
        <f t="shared" si="69"/>
        <v>988.84469621774963</v>
      </c>
      <c r="AN85" s="215">
        <f t="shared" si="70"/>
        <v>70.233461769928468</v>
      </c>
      <c r="AO85" s="63">
        <f t="shared" si="71"/>
        <v>98.884469621774784</v>
      </c>
      <c r="AP85" s="63">
        <f t="shared" si="72"/>
        <v>35.512887938098807</v>
      </c>
      <c r="AQ85" s="63">
        <f t="shared" si="73"/>
        <v>50</v>
      </c>
      <c r="AR85" s="63">
        <f t="shared" si="74"/>
        <v>31.00771981864964</v>
      </c>
      <c r="AS85" s="63">
        <f t="shared" si="75"/>
        <v>25.923161683102094</v>
      </c>
      <c r="AU85" s="229">
        <f t="shared" si="101"/>
        <v>82</v>
      </c>
      <c r="AV85" s="202">
        <f t="shared" si="102"/>
        <v>2237</v>
      </c>
      <c r="AX85" s="229">
        <f t="shared" si="85"/>
        <v>66.993319681932604</v>
      </c>
      <c r="AY85" s="229">
        <f t="shared" si="86"/>
        <v>78.414109889377599</v>
      </c>
      <c r="AZ85" s="229">
        <f t="shared" si="87"/>
        <v>145.40742957131022</v>
      </c>
      <c r="BA85" s="53">
        <f t="shared" si="88"/>
        <v>37.772711386311698</v>
      </c>
      <c r="BB85" s="198">
        <f t="shared" si="89"/>
        <v>6.190497553623359E-5</v>
      </c>
      <c r="BC85" s="211">
        <f t="shared" si="90"/>
        <v>18636805.747770563</v>
      </c>
      <c r="BD85" s="229">
        <f t="shared" si="91"/>
        <v>1631.5937487592905</v>
      </c>
      <c r="BE85" s="4">
        <f t="shared" si="92"/>
        <v>1129503.3786527622</v>
      </c>
      <c r="BF85" s="4">
        <f t="shared" si="93"/>
        <v>98.884469621775253</v>
      </c>
      <c r="BG85" s="4">
        <f t="shared" si="94"/>
        <v>571122.73695405212</v>
      </c>
      <c r="BH85" s="4">
        <f t="shared" si="95"/>
        <v>49.999999999999993</v>
      </c>
      <c r="BI85">
        <f t="shared" si="96"/>
        <v>115.13458900392999</v>
      </c>
      <c r="BJ85">
        <f t="shared" si="97"/>
        <v>30.272840567380229</v>
      </c>
      <c r="BL85" s="40"/>
    </row>
    <row r="86" spans="15:64">
      <c r="O86" s="195">
        <f t="shared" si="98"/>
        <v>83</v>
      </c>
      <c r="P86" s="138">
        <f t="shared" si="77"/>
        <v>31.25</v>
      </c>
      <c r="Q86" s="146"/>
      <c r="R86" s="56">
        <f t="shared" si="78"/>
        <v>29.897000433601878</v>
      </c>
      <c r="S86" s="56">
        <f t="shared" si="79"/>
        <v>1.095413917766227</v>
      </c>
      <c r="T86" s="56">
        <f t="shared" si="80"/>
        <v>30.992414351368105</v>
      </c>
      <c r="U86" s="154">
        <f t="shared" si="76"/>
        <v>127.8380477219757</v>
      </c>
      <c r="V86" s="149">
        <f t="shared" si="81"/>
        <v>1.9723880975049073</v>
      </c>
      <c r="W86" s="162">
        <f t="shared" si="82"/>
        <v>35.450365530011183</v>
      </c>
      <c r="X86" s="4">
        <f t="shared" si="99"/>
        <v>98.884469621775068</v>
      </c>
      <c r="Y86" s="4">
        <f t="shared" si="83"/>
        <v>17.925143182547259</v>
      </c>
      <c r="Z86" s="4">
        <f t="shared" si="84"/>
        <v>50.000000000000107</v>
      </c>
      <c r="AA86" s="4">
        <f t="shared" si="103"/>
        <v>25.069252668266017</v>
      </c>
      <c r="AB86" s="4">
        <f t="shared" si="104"/>
        <v>5.9231616831020872</v>
      </c>
      <c r="AD86" s="230">
        <f t="shared" si="62"/>
        <v>83</v>
      </c>
      <c r="AE86" s="202">
        <f t="shared" si="100"/>
        <v>256</v>
      </c>
      <c r="AG86">
        <f t="shared" si="63"/>
        <v>48.164799306236993</v>
      </c>
      <c r="AH86">
        <f t="shared" si="64"/>
        <v>8.9736308143409325</v>
      </c>
      <c r="AI86" s="40">
        <f t="shared" si="65"/>
        <v>57.138430120577922</v>
      </c>
      <c r="AJ86" s="88">
        <f t="shared" si="66"/>
        <v>121.69203195276589</v>
      </c>
      <c r="AK86" s="199">
        <f t="shared" si="67"/>
        <v>0.97205667000319917</v>
      </c>
      <c r="AL86" s="213">
        <f t="shared" si="68"/>
        <v>719.31895723077798</v>
      </c>
      <c r="AM86">
        <f t="shared" si="69"/>
        <v>988.84469621775156</v>
      </c>
      <c r="AN86" s="215">
        <f t="shared" si="70"/>
        <v>71.931895723077659</v>
      </c>
      <c r="AO86" s="63">
        <f t="shared" si="71"/>
        <v>98.884469621774969</v>
      </c>
      <c r="AP86" s="63">
        <f t="shared" si="72"/>
        <v>36.37168505742676</v>
      </c>
      <c r="AQ86" s="63">
        <f t="shared" si="73"/>
        <v>50</v>
      </c>
      <c r="AR86" s="63">
        <f t="shared" si="74"/>
        <v>31.215268437475814</v>
      </c>
      <c r="AS86" s="63">
        <f t="shared" si="75"/>
        <v>25.923161683102109</v>
      </c>
      <c r="AU86" s="229">
        <f t="shared" si="101"/>
        <v>83</v>
      </c>
      <c r="AV86" s="202">
        <f t="shared" si="102"/>
        <v>2264</v>
      </c>
      <c r="AX86" s="229">
        <f t="shared" si="85"/>
        <v>67.097528450324674</v>
      </c>
      <c r="AY86" s="229">
        <f t="shared" si="86"/>
        <v>79.360547514327607</v>
      </c>
      <c r="AZ86" s="229">
        <f t="shared" si="87"/>
        <v>146.45807596465227</v>
      </c>
      <c r="BA86" s="53">
        <f t="shared" si="88"/>
        <v>36.722064992969649</v>
      </c>
      <c r="BB86" s="198">
        <f t="shared" si="89"/>
        <v>5.4852097164189329E-5</v>
      </c>
      <c r="BC86" s="211">
        <f t="shared" si="90"/>
        <v>21033124.776175018</v>
      </c>
      <c r="BD86" s="229">
        <f t="shared" si="91"/>
        <v>1631.5937487592846</v>
      </c>
      <c r="BE86" s="4">
        <f t="shared" si="92"/>
        <v>1274734.8349196988</v>
      </c>
      <c r="BF86" s="4">
        <f t="shared" si="93"/>
        <v>98.884469621774869</v>
      </c>
      <c r="BG86" s="4">
        <f t="shared" si="94"/>
        <v>644557.65389421454</v>
      </c>
      <c r="BH86" s="4">
        <f t="shared" si="95"/>
        <v>50</v>
      </c>
      <c r="BI86">
        <f t="shared" si="96"/>
        <v>116.18523539727207</v>
      </c>
      <c r="BJ86">
        <f t="shared" si="97"/>
        <v>30.2728405673802</v>
      </c>
      <c r="BL86" s="40"/>
    </row>
    <row r="87" spans="15:64">
      <c r="O87" s="195">
        <f t="shared" si="98"/>
        <v>84</v>
      </c>
      <c r="P87" s="138">
        <f t="shared" si="77"/>
        <v>31.625</v>
      </c>
      <c r="Q87" s="146"/>
      <c r="R87" s="56">
        <f t="shared" si="78"/>
        <v>30.00061068367749</v>
      </c>
      <c r="S87" s="56">
        <f t="shared" si="79"/>
        <v>1.1085588847794217</v>
      </c>
      <c r="T87" s="56">
        <f t="shared" si="80"/>
        <v>31.109169568456913</v>
      </c>
      <c r="U87" s="154">
        <f t="shared" si="76"/>
        <v>127.72129250488689</v>
      </c>
      <c r="V87" s="149">
        <f t="shared" si="81"/>
        <v>1.9460527683384372</v>
      </c>
      <c r="W87" s="162">
        <f t="shared" si="82"/>
        <v>35.930104343107004</v>
      </c>
      <c r="X87" s="4">
        <f t="shared" si="99"/>
        <v>98.884469621775054</v>
      </c>
      <c r="Y87" s="4">
        <f t="shared" si="83"/>
        <v>18.167718591471829</v>
      </c>
      <c r="Z87" s="4">
        <f t="shared" si="84"/>
        <v>50.000000000000099</v>
      </c>
      <c r="AA87" s="4">
        <f t="shared" si="103"/>
        <v>25.186007885354826</v>
      </c>
      <c r="AB87" s="4">
        <f t="shared" si="104"/>
        <v>5.9231616831020872</v>
      </c>
      <c r="AD87" s="230">
        <f t="shared" si="62"/>
        <v>84</v>
      </c>
      <c r="AE87" s="202">
        <f t="shared" si="100"/>
        <v>259</v>
      </c>
      <c r="AG87">
        <f t="shared" si="63"/>
        <v>48.265995281625038</v>
      </c>
      <c r="AH87">
        <f t="shared" si="64"/>
        <v>9.0787905504464899</v>
      </c>
      <c r="AI87" s="40">
        <f t="shared" si="65"/>
        <v>57.34478583207153</v>
      </c>
      <c r="AJ87" s="88">
        <f t="shared" si="66"/>
        <v>121.48567624127227</v>
      </c>
      <c r="AK87" s="199">
        <f t="shared" si="67"/>
        <v>0.94923512239268104</v>
      </c>
      <c r="AL87" s="213">
        <f t="shared" si="68"/>
        <v>736.61285148556601</v>
      </c>
      <c r="AM87">
        <f t="shared" si="69"/>
        <v>988.84469621775065</v>
      </c>
      <c r="AN87" s="215">
        <f t="shared" si="70"/>
        <v>73.661285148556459</v>
      </c>
      <c r="AO87" s="63">
        <f t="shared" si="71"/>
        <v>98.884469621774869</v>
      </c>
      <c r="AP87" s="63">
        <f t="shared" si="72"/>
        <v>37.246134519558503</v>
      </c>
      <c r="AQ87" s="63">
        <f t="shared" si="73"/>
        <v>50.000000000000007</v>
      </c>
      <c r="AR87" s="63">
        <f t="shared" si="74"/>
        <v>31.421624148969425</v>
      </c>
      <c r="AS87" s="63">
        <f t="shared" si="75"/>
        <v>25.923161683102105</v>
      </c>
      <c r="AU87" s="229">
        <f t="shared" si="101"/>
        <v>84</v>
      </c>
      <c r="AV87" s="202">
        <f t="shared" si="102"/>
        <v>2291</v>
      </c>
      <c r="AX87" s="229">
        <f t="shared" si="85"/>
        <v>67.200501783787956</v>
      </c>
      <c r="AY87" s="229">
        <f t="shared" si="86"/>
        <v>80.306985139277629</v>
      </c>
      <c r="AZ87" s="229">
        <f t="shared" si="87"/>
        <v>147.50748692306558</v>
      </c>
      <c r="BA87" s="53">
        <f t="shared" si="88"/>
        <v>35.672654034556331</v>
      </c>
      <c r="BB87" s="198">
        <f t="shared" si="89"/>
        <v>4.860967178656253E-5</v>
      </c>
      <c r="BC87" s="211">
        <f t="shared" si="90"/>
        <v>23734186.253201522</v>
      </c>
      <c r="BD87" s="229">
        <f t="shared" si="91"/>
        <v>1631.5937487592846</v>
      </c>
      <c r="BE87" s="4">
        <f t="shared" si="92"/>
        <v>1438435.5304970627</v>
      </c>
      <c r="BF87" s="4">
        <f t="shared" si="93"/>
        <v>98.884469621774883</v>
      </c>
      <c r="BG87" s="4">
        <f t="shared" si="94"/>
        <v>727331.36760452006</v>
      </c>
      <c r="BH87" s="4">
        <f t="shared" si="95"/>
        <v>50.000000000000007</v>
      </c>
      <c r="BI87">
        <f t="shared" si="96"/>
        <v>117.23464635568538</v>
      </c>
      <c r="BJ87">
        <f t="shared" si="97"/>
        <v>30.2728405673802</v>
      </c>
      <c r="BL87" s="40"/>
    </row>
    <row r="88" spans="15:64">
      <c r="O88" s="195">
        <f t="shared" si="98"/>
        <v>85</v>
      </c>
      <c r="P88" s="138">
        <f t="shared" si="77"/>
        <v>32</v>
      </c>
      <c r="Q88" s="146"/>
      <c r="R88" s="56">
        <f t="shared" si="78"/>
        <v>30.102999566398122</v>
      </c>
      <c r="S88" s="56">
        <f t="shared" si="79"/>
        <v>1.1217038517926166</v>
      </c>
      <c r="T88" s="56">
        <f t="shared" si="80"/>
        <v>31.224703418190739</v>
      </c>
      <c r="U88" s="154">
        <f t="shared" si="76"/>
        <v>127.60575865515307</v>
      </c>
      <c r="V88" s="149">
        <f t="shared" si="81"/>
        <v>1.9203390782436727</v>
      </c>
      <c r="W88" s="162">
        <f t="shared" si="82"/>
        <v>36.411214985815093</v>
      </c>
      <c r="X88" s="4">
        <f t="shared" si="99"/>
        <v>98.884469621775139</v>
      </c>
      <c r="Y88" s="4">
        <f t="shared" si="83"/>
        <v>18.410987653109263</v>
      </c>
      <c r="Z88" s="4">
        <f t="shared" si="84"/>
        <v>50.000000000000149</v>
      </c>
      <c r="AA88" s="4">
        <f t="shared" si="103"/>
        <v>25.301541735088655</v>
      </c>
      <c r="AB88" s="4">
        <f t="shared" si="104"/>
        <v>5.9231616831020837</v>
      </c>
      <c r="AD88" s="230">
        <f t="shared" si="62"/>
        <v>85</v>
      </c>
      <c r="AE88" s="202">
        <f t="shared" si="100"/>
        <v>262</v>
      </c>
      <c r="AG88">
        <f t="shared" si="63"/>
        <v>48.366025826394903</v>
      </c>
      <c r="AH88">
        <f t="shared" si="64"/>
        <v>9.1839502865520473</v>
      </c>
      <c r="AI88" s="40">
        <f t="shared" si="65"/>
        <v>57.54997611294695</v>
      </c>
      <c r="AJ88" s="88">
        <f t="shared" si="66"/>
        <v>121.28048596039685</v>
      </c>
      <c r="AK88" s="199">
        <f t="shared" si="67"/>
        <v>0.92707375163485939</v>
      </c>
      <c r="AL88" s="213">
        <f t="shared" si="68"/>
        <v>754.2213216617082</v>
      </c>
      <c r="AM88">
        <f t="shared" si="69"/>
        <v>988.84469621774895</v>
      </c>
      <c r="AN88" s="215">
        <f t="shared" si="70"/>
        <v>75.422132166170684</v>
      </c>
      <c r="AO88" s="63">
        <f t="shared" si="71"/>
        <v>98.884469621774713</v>
      </c>
      <c r="AP88" s="63">
        <f t="shared" si="72"/>
        <v>38.136490216640887</v>
      </c>
      <c r="AQ88" s="63">
        <f t="shared" si="73"/>
        <v>50.000000000000007</v>
      </c>
      <c r="AR88" s="63">
        <f t="shared" si="74"/>
        <v>31.626814429844856</v>
      </c>
      <c r="AS88" s="63">
        <f t="shared" si="75"/>
        <v>25.923161683102094</v>
      </c>
      <c r="AU88" s="229">
        <f t="shared" si="101"/>
        <v>85</v>
      </c>
      <c r="AV88" s="202">
        <f t="shared" si="102"/>
        <v>2318</v>
      </c>
      <c r="AX88" s="229">
        <f t="shared" si="85"/>
        <v>67.302268632551545</v>
      </c>
      <c r="AY88" s="229">
        <f t="shared" si="86"/>
        <v>81.253422764227651</v>
      </c>
      <c r="AZ88" s="229">
        <f t="shared" si="87"/>
        <v>148.5556913967792</v>
      </c>
      <c r="BA88" s="53">
        <f t="shared" si="88"/>
        <v>34.62444956084272</v>
      </c>
      <c r="BB88" s="198">
        <f t="shared" si="89"/>
        <v>4.3083647608499651E-5</v>
      </c>
      <c r="BC88" s="211">
        <f t="shared" si="90"/>
        <v>26778396.629111394</v>
      </c>
      <c r="BD88" s="229">
        <f t="shared" si="91"/>
        <v>1631.5937487592846</v>
      </c>
      <c r="BE88" s="4">
        <f t="shared" si="92"/>
        <v>1622933.1290370552</v>
      </c>
      <c r="BF88" s="4">
        <f t="shared" si="93"/>
        <v>98.884469621774883</v>
      </c>
      <c r="BG88" s="4">
        <f t="shared" si="94"/>
        <v>820620.83927063749</v>
      </c>
      <c r="BH88" s="4">
        <f t="shared" si="95"/>
        <v>50.000000000000007</v>
      </c>
      <c r="BI88">
        <f t="shared" si="96"/>
        <v>118.28285082939898</v>
      </c>
      <c r="BJ88">
        <f t="shared" si="97"/>
        <v>30.272840567380214</v>
      </c>
      <c r="BL88" s="40"/>
    </row>
    <row r="89" spans="15:64">
      <c r="AD89" s="230">
        <f t="shared" si="62"/>
        <v>86</v>
      </c>
      <c r="AE89" s="202">
        <f t="shared" si="100"/>
        <v>265</v>
      </c>
      <c r="AG89">
        <f t="shared" si="63"/>
        <v>48.464917478736155</v>
      </c>
      <c r="AH89">
        <f t="shared" si="64"/>
        <v>9.2891100226576047</v>
      </c>
      <c r="AI89" s="40">
        <f t="shared" si="65"/>
        <v>57.754027501393757</v>
      </c>
      <c r="AJ89" s="88">
        <f t="shared" si="66"/>
        <v>121.07643457195005</v>
      </c>
      <c r="AK89" s="199">
        <f t="shared" si="67"/>
        <v>0.90554850014345167</v>
      </c>
      <c r="AL89" s="213">
        <f t="shared" si="68"/>
        <v>772.14946535183594</v>
      </c>
      <c r="AM89">
        <f t="shared" si="69"/>
        <v>988.84469621775077</v>
      </c>
      <c r="AN89" s="215">
        <f t="shared" si="70"/>
        <v>77.214946535183444</v>
      </c>
      <c r="AO89" s="63">
        <f t="shared" si="71"/>
        <v>98.884469621774883</v>
      </c>
      <c r="AP89" s="63">
        <f t="shared" si="72"/>
        <v>39.043009903640268</v>
      </c>
      <c r="AQ89" s="63">
        <f t="shared" si="73"/>
        <v>50</v>
      </c>
      <c r="AR89" s="63">
        <f t="shared" si="74"/>
        <v>31.830865818291652</v>
      </c>
      <c r="AS89" s="63">
        <f t="shared" si="75"/>
        <v>25.923161683102105</v>
      </c>
      <c r="AU89" s="229">
        <f t="shared" si="101"/>
        <v>86</v>
      </c>
      <c r="AV89" s="202">
        <f t="shared" si="102"/>
        <v>2345</v>
      </c>
      <c r="AX89" s="229">
        <f t="shared" si="85"/>
        <v>67.402856941022037</v>
      </c>
      <c r="AY89" s="229">
        <f t="shared" si="86"/>
        <v>82.199860389177687</v>
      </c>
      <c r="AZ89" s="229">
        <f t="shared" si="87"/>
        <v>149.60271733019971</v>
      </c>
      <c r="BA89" s="53">
        <f t="shared" si="88"/>
        <v>33.577423627422206</v>
      </c>
      <c r="BB89" s="198">
        <f t="shared" si="89"/>
        <v>3.8191012152701101E-5</v>
      </c>
      <c r="BC89" s="211">
        <f t="shared" si="90"/>
        <v>30208966.425826367</v>
      </c>
      <c r="BD89" s="229">
        <f t="shared" si="91"/>
        <v>1631.5937487592905</v>
      </c>
      <c r="BE89" s="4">
        <f t="shared" si="92"/>
        <v>1830846.4500500839</v>
      </c>
      <c r="BF89" s="4">
        <f t="shared" si="93"/>
        <v>98.884469621775239</v>
      </c>
      <c r="BG89" s="4">
        <f t="shared" si="94"/>
        <v>925750.25029355835</v>
      </c>
      <c r="BH89" s="4">
        <f t="shared" si="95"/>
        <v>50</v>
      </c>
      <c r="BI89">
        <f t="shared" si="96"/>
        <v>119.32987676281948</v>
      </c>
      <c r="BJ89">
        <f t="shared" si="97"/>
        <v>30.272840567380229</v>
      </c>
    </row>
    <row r="90" spans="15:64">
      <c r="AE90" s="202"/>
    </row>
    <row r="91" spans="15:64">
      <c r="AE91" s="202"/>
    </row>
  </sheetData>
  <mergeCells count="64"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  <mergeCell ref="B15:B16"/>
    <mergeCell ref="B17:E17"/>
    <mergeCell ref="G17:K17"/>
    <mergeCell ref="G18:H18"/>
    <mergeCell ref="I18:I20"/>
    <mergeCell ref="G19:H19"/>
    <mergeCell ref="G20:H20"/>
    <mergeCell ref="B21:E21"/>
    <mergeCell ref="G21:K21"/>
    <mergeCell ref="C22:C24"/>
    <mergeCell ref="G22:H22"/>
    <mergeCell ref="I22:I24"/>
    <mergeCell ref="G23:H23"/>
    <mergeCell ref="G24:H24"/>
    <mergeCell ref="B25:E25"/>
    <mergeCell ref="G25:K25"/>
    <mergeCell ref="C26:C28"/>
    <mergeCell ref="G26:H26"/>
    <mergeCell ref="I26:I28"/>
    <mergeCell ref="G27:H27"/>
    <mergeCell ref="G28:H28"/>
    <mergeCell ref="G29:K29"/>
    <mergeCell ref="G30:H30"/>
    <mergeCell ref="I30:I32"/>
    <mergeCell ref="B31:E31"/>
    <mergeCell ref="G31:H31"/>
    <mergeCell ref="B32:C32"/>
    <mergeCell ref="G32:H32"/>
    <mergeCell ref="B33:E33"/>
    <mergeCell ref="G33:K33"/>
    <mergeCell ref="B34:C35"/>
    <mergeCell ref="G34:H34"/>
    <mergeCell ref="I34:I36"/>
    <mergeCell ref="G35:H35"/>
    <mergeCell ref="B36:E36"/>
    <mergeCell ref="G36:H36"/>
    <mergeCell ref="C37:C39"/>
    <mergeCell ref="G37:K37"/>
    <mergeCell ref="G38:I38"/>
    <mergeCell ref="G39:I39"/>
    <mergeCell ref="B40:E40"/>
    <mergeCell ref="G40:I40"/>
    <mergeCell ref="G46:I46"/>
    <mergeCell ref="G47:I47"/>
    <mergeCell ref="B41:C41"/>
    <mergeCell ref="G41:I41"/>
    <mergeCell ref="G42:I42"/>
    <mergeCell ref="G43:I43"/>
    <mergeCell ref="G44:K44"/>
    <mergeCell ref="G45:I4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BM158"/>
  <sheetViews>
    <sheetView topLeftCell="C22" zoomScale="60" zoomScaleNormal="60" workbookViewId="0">
      <selection activeCell="AD22" sqref="AD22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7.109375" style="243" customWidth="1"/>
    <col min="13" max="13" width="4.109375" customWidth="1"/>
    <col min="14" max="14" width="6.88671875" customWidth="1"/>
    <col min="24" max="24" width="10.5546875" customWidth="1"/>
    <col min="25" max="25" width="7.88671875" customWidth="1"/>
    <col min="26" max="29" width="10.77734375" style="252" customWidth="1"/>
    <col min="33" max="33" width="7.21875" customWidth="1"/>
    <col min="39" max="39" width="10.88671875" customWidth="1"/>
    <col min="40" max="40" width="10.77734375" customWidth="1"/>
    <col min="41" max="41" width="10.77734375" style="252" customWidth="1"/>
    <col min="42" max="43" width="10.77734375" customWidth="1"/>
    <col min="44" max="46" width="12.33203125" customWidth="1"/>
    <col min="57" max="57" width="11.44140625" customWidth="1"/>
    <col min="58" max="58" width="12.33203125" customWidth="1"/>
    <col min="59" max="59" width="12.77734375" customWidth="1"/>
    <col min="60" max="60" width="11.44140625" customWidth="1"/>
    <col min="61" max="61" width="13" customWidth="1"/>
  </cols>
  <sheetData>
    <row r="3" spans="2:65" ht="15" thickBot="1">
      <c r="O3" s="155" t="s">
        <v>104</v>
      </c>
      <c r="P3" s="156" t="s">
        <v>15</v>
      </c>
      <c r="Q3" s="157" t="s">
        <v>224</v>
      </c>
      <c r="R3" s="155" t="s">
        <v>153</v>
      </c>
      <c r="S3" s="155" t="s">
        <v>159</v>
      </c>
      <c r="T3" s="158" t="s">
        <v>154</v>
      </c>
      <c r="U3" s="158" t="s">
        <v>235</v>
      </c>
      <c r="V3" s="158" t="s">
        <v>318</v>
      </c>
      <c r="W3" s="159" t="s">
        <v>28</v>
      </c>
      <c r="X3" s="160" t="s">
        <v>236</v>
      </c>
      <c r="Y3" s="161" t="s">
        <v>234</v>
      </c>
      <c r="Z3" s="160" t="s">
        <v>237</v>
      </c>
      <c r="AA3" s="21" t="s">
        <v>242</v>
      </c>
      <c r="AB3" s="21" t="s">
        <v>240</v>
      </c>
      <c r="AC3" s="21" t="s">
        <v>319</v>
      </c>
      <c r="AD3" s="21"/>
      <c r="AE3" s="160" t="str">
        <f>O3</f>
        <v>Шаг ВРУ</v>
      </c>
      <c r="AF3" s="201" t="s">
        <v>15</v>
      </c>
      <c r="AG3" s="160" t="s">
        <v>239</v>
      </c>
      <c r="AH3" s="155" t="s">
        <v>153</v>
      </c>
      <c r="AI3" s="158" t="s">
        <v>154</v>
      </c>
      <c r="AJ3" s="158" t="s">
        <v>235</v>
      </c>
      <c r="AK3" s="200" t="s">
        <v>28</v>
      </c>
      <c r="AL3" s="197" t="s">
        <v>236</v>
      </c>
      <c r="AM3" s="161" t="s">
        <v>234</v>
      </c>
      <c r="AN3" s="160" t="s">
        <v>237</v>
      </c>
      <c r="AO3" s="197" t="s">
        <v>240</v>
      </c>
      <c r="AP3" s="160" t="s">
        <v>241</v>
      </c>
      <c r="AQ3" s="21" t="s">
        <v>242</v>
      </c>
      <c r="AR3" s="21" t="s">
        <v>243</v>
      </c>
      <c r="AS3" s="21"/>
      <c r="AT3" s="21"/>
      <c r="AU3" s="21"/>
      <c r="AV3" s="214" t="s">
        <v>104</v>
      </c>
      <c r="AW3" s="204" t="s">
        <v>15</v>
      </c>
      <c r="AX3" s="205" t="s">
        <v>239</v>
      </c>
      <c r="AY3" s="206" t="s">
        <v>153</v>
      </c>
      <c r="AZ3" s="207" t="s">
        <v>154</v>
      </c>
      <c r="BA3" s="207" t="s">
        <v>235</v>
      </c>
      <c r="BB3" s="208" t="s">
        <v>28</v>
      </c>
      <c r="BC3" s="209" t="s">
        <v>236</v>
      </c>
      <c r="BD3" s="210" t="s">
        <v>234</v>
      </c>
      <c r="BE3" s="205" t="s">
        <v>237</v>
      </c>
      <c r="BF3" s="21" t="s">
        <v>240</v>
      </c>
      <c r="BG3" s="21" t="s">
        <v>241</v>
      </c>
      <c r="BH3" s="21" t="s">
        <v>242</v>
      </c>
      <c r="BI3" s="21" t="s">
        <v>243</v>
      </c>
      <c r="BJ3" s="21"/>
      <c r="BK3" s="21"/>
      <c r="BL3" s="21"/>
      <c r="BM3" s="21"/>
    </row>
    <row r="4" spans="2:65" ht="15" thickTop="1">
      <c r="B4" s="312" t="s">
        <v>174</v>
      </c>
      <c r="C4" s="312"/>
      <c r="D4" s="312"/>
      <c r="E4" s="312"/>
      <c r="G4" s="313" t="s">
        <v>196</v>
      </c>
      <c r="H4" s="313"/>
      <c r="I4" s="313"/>
      <c r="J4" s="313"/>
      <c r="K4" s="313"/>
      <c r="N4" s="57"/>
      <c r="O4" s="252">
        <v>1</v>
      </c>
      <c r="P4" s="138">
        <v>0.3</v>
      </c>
      <c r="Q4" s="147">
        <f>$D$14+20*LOG10(J26/1)</f>
        <v>190.96910013008056</v>
      </c>
      <c r="R4" s="56">
        <f>20*LOG10(P4)</f>
        <v>-10.457574905606752</v>
      </c>
      <c r="S4" s="56">
        <f>40*LOG10(P4)</f>
        <v>-20.915149811213503</v>
      </c>
      <c r="T4" s="56">
        <f>2*$J$6*(P4/1000)</f>
        <v>3.5079703878497744E-2</v>
      </c>
      <c r="U4" s="56">
        <f>R4+T4</f>
        <v>-10.422495201728253</v>
      </c>
      <c r="V4" s="56">
        <f>S4+T4</f>
        <v>-20.880070107335005</v>
      </c>
      <c r="W4" s="154">
        <f>$Q$4-(R4+T4)+$Q$8+$Q$10</f>
        <v>163.49738427447178</v>
      </c>
      <c r="X4" s="149">
        <f>POWER(10,(W4+$D$16)*0.05)*1000</f>
        <v>110.68810019404124</v>
      </c>
      <c r="Y4" s="162">
        <f>POWER(10,0.05*U4)</f>
        <v>0.30121406001021767</v>
      </c>
      <c r="Z4" s="4">
        <f>X4*POWER(2,0.5)*Y4</f>
        <v>47.151028587673828</v>
      </c>
      <c r="AA4" s="4">
        <f>Y4*(50/$Z$4)</f>
        <v>0.31941409236718193</v>
      </c>
      <c r="AB4" s="4">
        <f>POWER(10,0.05*V4)</f>
        <v>9.0364218003065322E-2</v>
      </c>
      <c r="AC4" s="14">
        <f>$Q$4-(S4+T4)+$Q$8+$Q$10+20*LOG10(P4)</f>
        <v>163.49738427447178</v>
      </c>
      <c r="AE4" s="257">
        <v>1</v>
      </c>
      <c r="AF4" s="202">
        <v>11</v>
      </c>
      <c r="AG4" s="88">
        <f>$D$14+20*LOG10(J27/1)</f>
        <v>210.96910013008056</v>
      </c>
      <c r="AH4">
        <f>20*LOG(AF4)</f>
        <v>20.827853703164504</v>
      </c>
      <c r="AI4">
        <f>2*$J$6*(AF4/1000)</f>
        <v>1.2862558088782505</v>
      </c>
      <c r="AJ4" s="40">
        <f>AH4+AI4</f>
        <v>22.114109512042756</v>
      </c>
      <c r="AK4" s="88">
        <f t="shared" ref="AK4:AK35" si="0">$AG$4-(AH4+AI4)+$Q$8+$Q$10</f>
        <v>150.96077956070079</v>
      </c>
      <c r="AL4" s="199">
        <f>POWER(10,(AK4+$D$16)*0.05)*1000</f>
        <v>26.137900342228651</v>
      </c>
      <c r="AM4" s="213">
        <f>POWER(10,0.05*AJ4)</f>
        <v>12.755734629686087</v>
      </c>
      <c r="AN4">
        <f>AL4*POWER(2,0.5)*AM4</f>
        <v>471.51028587673909</v>
      </c>
      <c r="AO4" s="215">
        <f t="shared" ref="AO4:AO35" si="1">AM4*($Z$4/$AN$4)</f>
        <v>1.2755734629686064</v>
      </c>
      <c r="AP4" s="63">
        <f>AL4*POWER(2,0.5)*AO4</f>
        <v>47.151028587673828</v>
      </c>
      <c r="AQ4" s="63">
        <f>AM4*(50/AN4)</f>
        <v>1.3526464863823411</v>
      </c>
      <c r="AR4" s="63">
        <f>AL4*POWER(2,0.5)*AQ4</f>
        <v>50</v>
      </c>
      <c r="AS4" s="63">
        <f>20*LOG10(AQ4)</f>
        <v>2.6236861747602576</v>
      </c>
      <c r="AT4" s="63">
        <f>AJ4-AS4</f>
        <v>19.490423337282497</v>
      </c>
      <c r="AV4" s="257">
        <v>1</v>
      </c>
      <c r="AW4" s="202">
        <v>50</v>
      </c>
      <c r="AX4" s="53" t="e">
        <f>$D$14+20*LOG10(J28/1)</f>
        <v>#NUM!</v>
      </c>
      <c r="AY4" s="257">
        <f>20*LOG(AW4)</f>
        <v>33.979400086720375</v>
      </c>
      <c r="AZ4" s="257">
        <f>2*$J$6*(AW4/1000)</f>
        <v>5.846617313082958</v>
      </c>
      <c r="BA4" s="257">
        <f>AY4+AZ4</f>
        <v>39.826017399803334</v>
      </c>
      <c r="BB4" s="53" t="e">
        <f t="shared" ref="BB4:BB35" si="2">$AX$4-(AY4+AZ4)+$Q$8+$Q$10</f>
        <v>#NUM!</v>
      </c>
      <c r="BC4" s="198" t="e">
        <f>POWER(10,(BB4+$D$16)*0.05)*1000</f>
        <v>#NUM!</v>
      </c>
      <c r="BD4" s="211">
        <f>POWER(10,0.05*BA4)</f>
        <v>98.016879036430467</v>
      </c>
      <c r="BE4" s="257" t="e">
        <f>BC4*POWER(2,0.5)*BD4</f>
        <v>#NUM!</v>
      </c>
      <c r="BF4" s="4" t="e">
        <f t="shared" ref="BF4:BF35" si="3">BD4*($Z$4/$BE$4)</f>
        <v>#NUM!</v>
      </c>
      <c r="BG4" s="4" t="e">
        <f>BC4*POWER(2,0.5)*BF4</f>
        <v>#NUM!</v>
      </c>
      <c r="BH4" s="4" t="e">
        <f>BD4*(50/BE4)</f>
        <v>#NUM!</v>
      </c>
      <c r="BI4" s="4" t="e">
        <f>BC4*POWER(2,0.5)*BH4</f>
        <v>#NUM!</v>
      </c>
      <c r="BJ4" t="e">
        <f>20*LOG10(BH4)</f>
        <v>#NUM!</v>
      </c>
      <c r="BK4" t="e">
        <f>BA4-BJ4</f>
        <v>#NUM!</v>
      </c>
      <c r="BM4" s="40"/>
    </row>
    <row r="5" spans="2:65">
      <c r="B5" s="314" t="s">
        <v>175</v>
      </c>
      <c r="C5" s="305" t="s">
        <v>10</v>
      </c>
      <c r="D5" s="258">
        <v>240</v>
      </c>
      <c r="E5" s="254" t="s">
        <v>11</v>
      </c>
      <c r="G5" s="288" t="s">
        <v>69</v>
      </c>
      <c r="H5" s="288"/>
      <c r="I5" s="30" t="s">
        <v>6</v>
      </c>
      <c r="J5" s="258">
        <f>D29/D6</f>
        <v>6.2500000000000003E-3</v>
      </c>
      <c r="K5" s="254" t="s">
        <v>7</v>
      </c>
      <c r="N5" s="57"/>
      <c r="O5" s="252">
        <f>1+O4</f>
        <v>2</v>
      </c>
      <c r="P5" s="138">
        <f t="shared" ref="P5:P68" si="4">P4+$J$45</f>
        <v>0.67500000000000004</v>
      </c>
      <c r="Q5" s="148" t="s">
        <v>226</v>
      </c>
      <c r="R5" s="56">
        <f t="shared" ref="R5:R8" si="5">20*LOG10(P5)</f>
        <v>-3.4139245433795011</v>
      </c>
      <c r="S5" s="56">
        <f t="shared" ref="S5:S68" si="6">40*LOG10(P5)</f>
        <v>-6.8278490867590023</v>
      </c>
      <c r="T5" s="56">
        <f t="shared" ref="T5:T68" si="7">2*$J$6*(P5/1000)</f>
        <v>7.8929333726619935E-2</v>
      </c>
      <c r="U5" s="56">
        <f t="shared" ref="U5:U68" si="8">R5+T5</f>
        <v>-3.334995209652881</v>
      </c>
      <c r="V5" s="56">
        <f t="shared" ref="V5:V68" si="9">S5+T5</f>
        <v>-6.7489197530323821</v>
      </c>
      <c r="W5" s="154">
        <f t="shared" ref="W4:W67" si="10">$Q$4-(R5+T5)+$Q$8+$Q$10</f>
        <v>156.4098842823964</v>
      </c>
      <c r="X5" s="149">
        <f t="shared" ref="X5:X68" si="11">POWER(10,(W5+$D$16)*0.05)*1000</f>
        <v>48.946983674194534</v>
      </c>
      <c r="Y5" s="162">
        <f t="shared" ref="Y5:Y68" si="12">POWER(10,0.05*U5)</f>
        <v>0.68116172951925102</v>
      </c>
      <c r="Z5" s="4">
        <f>X5*POWER(2,0.5)*Y5</f>
        <v>47.151028587673785</v>
      </c>
      <c r="AA5" s="4">
        <f t="shared" ref="AA5:AA68" si="13">Y5*(50/$Z$4)</f>
        <v>0.72231905636234583</v>
      </c>
      <c r="AB5" s="4">
        <f t="shared" ref="AB5:AB68" si="14">POWER(10,0.05*V5)</f>
        <v>0.45978416742549438</v>
      </c>
      <c r="AC5" s="14">
        <f t="shared" ref="AC5:AC68" si="15">$Q$4-(S5+T5)+$Q$8+$Q$10+20*LOG10(P5)</f>
        <v>156.40988428239643</v>
      </c>
      <c r="AE5" s="257">
        <v>2</v>
      </c>
      <c r="AF5" s="202">
        <f>AF4+$J$46</f>
        <v>14</v>
      </c>
      <c r="AH5">
        <f t="shared" ref="AH5:AH68" si="16">20*LOG(AF5)</f>
        <v>22.92256071356476</v>
      </c>
      <c r="AI5">
        <f t="shared" ref="AI5:AI68" si="17">2*$J$6*(AF5/1000)</f>
        <v>1.637052847663228</v>
      </c>
      <c r="AJ5" s="40">
        <f t="shared" ref="AJ5:AJ68" si="18">AH5+AI5</f>
        <v>24.559613561227987</v>
      </c>
      <c r="AK5" s="88">
        <f t="shared" si="0"/>
        <v>148.51527551151554</v>
      </c>
      <c r="AL5" s="199">
        <f t="shared" ref="AL5:AL68" si="19">POWER(10,(AK5+$D$16)*0.05)*1000</f>
        <v>19.724022773854205</v>
      </c>
      <c r="AM5" s="213">
        <f t="shared" ref="AM5:AM68" si="20">POWER(10,0.05*AJ5)</f>
        <v>16.903657249098739</v>
      </c>
      <c r="AN5">
        <f t="shared" ref="AN5:AN68" si="21">AL5*POWER(2,0.5)*AM5</f>
        <v>471.51028587673829</v>
      </c>
      <c r="AO5" s="215">
        <f t="shared" si="1"/>
        <v>1.6903657249098709</v>
      </c>
      <c r="AP5" s="63">
        <f t="shared" ref="AP5:AP68" si="22">AL5*POWER(2,0.5)*AO5</f>
        <v>47.15102858767375</v>
      </c>
      <c r="AQ5" s="63">
        <f t="shared" ref="AQ5:AQ68" si="23">AM5*(50/AN5)</f>
        <v>1.7925014316143333</v>
      </c>
      <c r="AR5" s="63">
        <f t="shared" ref="AR5:AR68" si="24">AL5*POWER(2,0.5)*AQ5</f>
        <v>50</v>
      </c>
      <c r="AS5" s="63">
        <f t="shared" ref="AS5:AS68" si="25">20*LOG10(AQ5)</f>
        <v>5.0691902239455064</v>
      </c>
      <c r="AT5" s="63">
        <f t="shared" ref="AT5:AT68" si="26">AJ5-AS5</f>
        <v>19.490423337282479</v>
      </c>
      <c r="AV5" s="257">
        <f>AV4+1</f>
        <v>2</v>
      </c>
      <c r="AW5" s="202">
        <f>AW4+27</f>
        <v>77</v>
      </c>
      <c r="AX5" s="257"/>
      <c r="AY5" s="257">
        <f t="shared" ref="AY5:AY68" si="27">20*LOG(AW5)</f>
        <v>37.729814503449639</v>
      </c>
      <c r="AZ5" s="257">
        <f t="shared" ref="AZ5:AZ68" si="28">2*$J$6*(AW5/1000)</f>
        <v>9.0037906621477539</v>
      </c>
      <c r="BA5" s="257">
        <f t="shared" ref="BA5:BA68" si="29">AY5+AZ5</f>
        <v>46.733605165597396</v>
      </c>
      <c r="BB5" s="53" t="e">
        <f t="shared" si="2"/>
        <v>#NUM!</v>
      </c>
      <c r="BC5" s="198" t="e">
        <f t="shared" ref="BC5:BC68" si="30">POWER(10,(BB5+$D$16)*0.05)*1000</f>
        <v>#NUM!</v>
      </c>
      <c r="BD5" s="211">
        <f t="shared" ref="BD5:BD68" si="31">POWER(10,0.05*BA5)</f>
        <v>217.11021543023102</v>
      </c>
      <c r="BE5" s="257" t="e">
        <f t="shared" ref="BE5:BE68" si="32">BC5*POWER(2,0.5)*BD5</f>
        <v>#NUM!</v>
      </c>
      <c r="BF5" s="4" t="e">
        <f t="shared" si="3"/>
        <v>#NUM!</v>
      </c>
      <c r="BG5" s="4" t="e">
        <f t="shared" ref="BG5:BG68" si="33">BC5*POWER(2,0.5)*BF5</f>
        <v>#NUM!</v>
      </c>
      <c r="BH5" s="4" t="e">
        <f t="shared" ref="BH5:BH68" si="34">BD5*(50/BE5)</f>
        <v>#NUM!</v>
      </c>
      <c r="BI5" s="4" t="e">
        <f t="shared" ref="BI5:BI68" si="35">BC5*POWER(2,0.5)*BH5</f>
        <v>#NUM!</v>
      </c>
      <c r="BJ5" t="e">
        <f t="shared" ref="BJ5:BJ68" si="36">20*LOG10(BH5)</f>
        <v>#NUM!</v>
      </c>
      <c r="BK5" t="e">
        <f t="shared" ref="BK5:BK68" si="37">BA5-BJ5</f>
        <v>#NUM!</v>
      </c>
      <c r="BM5" s="40"/>
    </row>
    <row r="6" spans="2:65">
      <c r="B6" s="315"/>
      <c r="C6" s="307"/>
      <c r="D6" s="258">
        <f>D5*1000</f>
        <v>240000</v>
      </c>
      <c r="E6" s="254" t="s">
        <v>31</v>
      </c>
      <c r="G6" s="316" t="s">
        <v>199</v>
      </c>
      <c r="H6" s="316"/>
      <c r="I6" s="317" t="s">
        <v>16</v>
      </c>
      <c r="J6" s="123">
        <f>((0.11*POWER(D5,2))/(1+POWER(D5,2))+((44*POWER(D5,2))/(4100+POWER(D5,2)))+((3*POWER(10,-4))*POWER(D5,2)))</f>
        <v>58.466173130829574</v>
      </c>
      <c r="K6" s="254" t="s">
        <v>197</v>
      </c>
      <c r="N6" s="57"/>
      <c r="O6" s="252">
        <f t="shared" ref="O6:O69" si="38">1+O5</f>
        <v>3</v>
      </c>
      <c r="P6" s="138">
        <f t="shared" si="4"/>
        <v>1.05</v>
      </c>
      <c r="Q6" s="148" t="s">
        <v>225</v>
      </c>
      <c r="R6" s="56">
        <f t="shared" si="5"/>
        <v>0.42378598139876184</v>
      </c>
      <c r="S6" s="56">
        <f t="shared" si="6"/>
        <v>0.84757196279752367</v>
      </c>
      <c r="T6" s="56">
        <f t="shared" si="7"/>
        <v>0.12277896357474212</v>
      </c>
      <c r="U6" s="56">
        <f t="shared" si="8"/>
        <v>0.54656494497350394</v>
      </c>
      <c r="V6" s="56">
        <f t="shared" si="9"/>
        <v>0.97035092637226583</v>
      </c>
      <c r="W6" s="154">
        <f t="shared" si="10"/>
        <v>152.52832412777002</v>
      </c>
      <c r="X6" s="149">
        <f t="shared" si="11"/>
        <v>31.307466613515611</v>
      </c>
      <c r="Y6" s="162">
        <f t="shared" si="12"/>
        <v>1.0649476198713399</v>
      </c>
      <c r="Z6" s="4">
        <f t="shared" ref="Z6:Z69" si="39">X6*POWER(2,0.5)*Y6</f>
        <v>47.151028587673785</v>
      </c>
      <c r="AA6" s="4">
        <f t="shared" si="13"/>
        <v>1.1292941551541649</v>
      </c>
      <c r="AB6" s="4">
        <f t="shared" si="14"/>
        <v>1.1181950008649069</v>
      </c>
      <c r="AC6" s="14">
        <f t="shared" si="15"/>
        <v>152.52832412777002</v>
      </c>
      <c r="AE6" s="257">
        <v>3</v>
      </c>
      <c r="AF6" s="202">
        <f t="shared" ref="AF6:AF69" si="40">AF5+$J$46</f>
        <v>17</v>
      </c>
      <c r="AH6">
        <f t="shared" si="16"/>
        <v>24.608978427565479</v>
      </c>
      <c r="AI6">
        <f t="shared" si="17"/>
        <v>1.9878498864482057</v>
      </c>
      <c r="AJ6" s="40">
        <f t="shared" si="18"/>
        <v>26.596828314013685</v>
      </c>
      <c r="AK6" s="88">
        <f t="shared" si="0"/>
        <v>146.47806075872984</v>
      </c>
      <c r="AL6" s="199">
        <f t="shared" si="19"/>
        <v>15.600364930118191</v>
      </c>
      <c r="AM6" s="213">
        <f t="shared" si="20"/>
        <v>21.371815469455374</v>
      </c>
      <c r="AN6">
        <f t="shared" si="21"/>
        <v>471.51028587673807</v>
      </c>
      <c r="AO6" s="215">
        <f t="shared" si="1"/>
        <v>2.1371815469455337</v>
      </c>
      <c r="AP6" s="63">
        <f t="shared" si="22"/>
        <v>47.151028587673729</v>
      </c>
      <c r="AQ6" s="63">
        <f t="shared" si="23"/>
        <v>2.2663148726136573</v>
      </c>
      <c r="AR6" s="63">
        <f t="shared" si="24"/>
        <v>50</v>
      </c>
      <c r="AS6" s="63">
        <f t="shared" si="25"/>
        <v>7.1064049767312056</v>
      </c>
      <c r="AT6" s="63">
        <f t="shared" si="26"/>
        <v>19.490423337282479</v>
      </c>
      <c r="AV6" s="257">
        <f t="shared" ref="AV6:AV69" si="41">AV5+1</f>
        <v>3</v>
      </c>
      <c r="AW6" s="202">
        <f t="shared" ref="AW6:AW69" si="42">AW5+27</f>
        <v>104</v>
      </c>
      <c r="AX6" s="257"/>
      <c r="AY6" s="257">
        <f t="shared" si="27"/>
        <v>40.340666785975607</v>
      </c>
      <c r="AZ6" s="257">
        <f t="shared" si="28"/>
        <v>12.160964011212551</v>
      </c>
      <c r="BA6" s="257">
        <f t="shared" si="29"/>
        <v>52.501630797188156</v>
      </c>
      <c r="BB6" s="53" t="e">
        <f t="shared" si="2"/>
        <v>#NUM!</v>
      </c>
      <c r="BC6" s="198" t="e">
        <f t="shared" si="30"/>
        <v>#NUM!</v>
      </c>
      <c r="BD6" s="211">
        <f t="shared" si="31"/>
        <v>421.77568541955526</v>
      </c>
      <c r="BE6" s="257" t="e">
        <f t="shared" si="32"/>
        <v>#NUM!</v>
      </c>
      <c r="BF6" s="4" t="e">
        <f t="shared" si="3"/>
        <v>#NUM!</v>
      </c>
      <c r="BG6" s="4" t="e">
        <f t="shared" si="33"/>
        <v>#NUM!</v>
      </c>
      <c r="BH6" s="4" t="e">
        <f t="shared" si="34"/>
        <v>#NUM!</v>
      </c>
      <c r="BI6" s="4" t="e">
        <f t="shared" si="35"/>
        <v>#NUM!</v>
      </c>
      <c r="BJ6" t="e">
        <f t="shared" si="36"/>
        <v>#NUM!</v>
      </c>
      <c r="BK6" t="e">
        <f t="shared" si="37"/>
        <v>#NUM!</v>
      </c>
      <c r="BM6" s="40"/>
    </row>
    <row r="7" spans="2:65">
      <c r="B7" s="119" t="s">
        <v>176</v>
      </c>
      <c r="C7" s="254" t="s">
        <v>1</v>
      </c>
      <c r="D7" s="258">
        <v>176</v>
      </c>
      <c r="E7" s="254" t="s">
        <v>2</v>
      </c>
      <c r="G7" s="316"/>
      <c r="H7" s="316"/>
      <c r="I7" s="317"/>
      <c r="J7" s="123">
        <f>0.214*D5+0.00016*POWER(D5,2)</f>
        <v>60.576000000000001</v>
      </c>
      <c r="K7" s="254" t="s">
        <v>198</v>
      </c>
      <c r="N7" s="57"/>
      <c r="O7" s="252">
        <f t="shared" si="38"/>
        <v>4</v>
      </c>
      <c r="P7" s="138">
        <f t="shared" si="4"/>
        <v>1.425</v>
      </c>
      <c r="Q7" s="145" t="s">
        <v>194</v>
      </c>
      <c r="R7" s="56">
        <f t="shared" si="5"/>
        <v>3.07629728689058</v>
      </c>
      <c r="S7" s="56">
        <f t="shared" si="6"/>
        <v>6.15259457378116</v>
      </c>
      <c r="T7" s="56">
        <f t="shared" si="7"/>
        <v>0.16662859342286429</v>
      </c>
      <c r="U7" s="56">
        <f t="shared" si="8"/>
        <v>3.2429258803134444</v>
      </c>
      <c r="V7" s="56">
        <f t="shared" si="9"/>
        <v>6.319223167204024</v>
      </c>
      <c r="W7" s="154">
        <f t="shared" si="10"/>
        <v>149.83196319243009</v>
      </c>
      <c r="X7" s="149">
        <f t="shared" si="11"/>
        <v>22.952493831796243</v>
      </c>
      <c r="Y7" s="162">
        <f t="shared" si="12"/>
        <v>1.4526008501994547</v>
      </c>
      <c r="Z7" s="4">
        <f t="shared" si="39"/>
        <v>47.151028587673892</v>
      </c>
      <c r="AA7" s="4">
        <f t="shared" si="13"/>
        <v>1.5403702673192501</v>
      </c>
      <c r="AB7" s="4">
        <f t="shared" si="14"/>
        <v>2.0699562115342229</v>
      </c>
      <c r="AC7" s="14">
        <f t="shared" si="15"/>
        <v>149.83196319243009</v>
      </c>
      <c r="AE7" s="257">
        <v>4</v>
      </c>
      <c r="AF7" s="202">
        <f t="shared" si="40"/>
        <v>20</v>
      </c>
      <c r="AH7">
        <f t="shared" si="16"/>
        <v>26.020599913279625</v>
      </c>
      <c r="AI7">
        <f t="shared" si="17"/>
        <v>2.3386469252331832</v>
      </c>
      <c r="AJ7" s="40">
        <f t="shared" si="18"/>
        <v>28.35924683851281</v>
      </c>
      <c r="AK7" s="88">
        <f t="shared" si="0"/>
        <v>144.71564223423073</v>
      </c>
      <c r="AL7" s="199">
        <f t="shared" si="19"/>
        <v>12.735436402820538</v>
      </c>
      <c r="AM7" s="213">
        <f t="shared" si="20"/>
        <v>26.179559930024034</v>
      </c>
      <c r="AN7">
        <f t="shared" si="21"/>
        <v>471.51028587673932</v>
      </c>
      <c r="AO7" s="215">
        <f t="shared" si="1"/>
        <v>2.6179559930023988</v>
      </c>
      <c r="AP7" s="63">
        <f t="shared" si="22"/>
        <v>47.151028587673849</v>
      </c>
      <c r="AQ7" s="63">
        <f t="shared" si="23"/>
        <v>2.7761387942306532</v>
      </c>
      <c r="AR7" s="63">
        <f t="shared" si="24"/>
        <v>50</v>
      </c>
      <c r="AS7" s="63">
        <f t="shared" si="25"/>
        <v>8.8688235012303114</v>
      </c>
      <c r="AT7" s="63">
        <f t="shared" si="26"/>
        <v>19.4904233372825</v>
      </c>
      <c r="AV7" s="257">
        <f t="shared" si="41"/>
        <v>4</v>
      </c>
      <c r="AW7" s="202">
        <f t="shared" si="42"/>
        <v>131</v>
      </c>
      <c r="AX7" s="257"/>
      <c r="AY7" s="257">
        <f t="shared" si="27"/>
        <v>42.345425913115292</v>
      </c>
      <c r="AZ7" s="257">
        <f t="shared" si="28"/>
        <v>15.318137360277349</v>
      </c>
      <c r="BA7" s="257">
        <f t="shared" si="29"/>
        <v>57.66356327339264</v>
      </c>
      <c r="BB7" s="53" t="e">
        <f t="shared" si="2"/>
        <v>#NUM!</v>
      </c>
      <c r="BC7" s="198" t="e">
        <f t="shared" si="30"/>
        <v>#NUM!</v>
      </c>
      <c r="BD7" s="211">
        <f t="shared" si="31"/>
        <v>764.14920156896437</v>
      </c>
      <c r="BE7" s="257" t="e">
        <f t="shared" si="32"/>
        <v>#NUM!</v>
      </c>
      <c r="BF7" s="4" t="e">
        <f t="shared" si="3"/>
        <v>#NUM!</v>
      </c>
      <c r="BG7" s="4" t="e">
        <f t="shared" si="33"/>
        <v>#NUM!</v>
      </c>
      <c r="BH7" s="4" t="e">
        <f t="shared" si="34"/>
        <v>#NUM!</v>
      </c>
      <c r="BI7" s="4" t="e">
        <f t="shared" si="35"/>
        <v>#NUM!</v>
      </c>
      <c r="BJ7" t="e">
        <f t="shared" si="36"/>
        <v>#NUM!</v>
      </c>
      <c r="BK7" t="e">
        <f t="shared" si="37"/>
        <v>#NUM!</v>
      </c>
      <c r="BM7" s="40"/>
    </row>
    <row r="8" spans="2:65">
      <c r="B8" s="119" t="s">
        <v>177</v>
      </c>
      <c r="C8" s="254" t="s">
        <v>44</v>
      </c>
      <c r="D8" s="258">
        <v>0.06</v>
      </c>
      <c r="E8" s="254" t="s">
        <v>7</v>
      </c>
      <c r="G8" s="288" t="s">
        <v>200</v>
      </c>
      <c r="H8" s="288"/>
      <c r="I8" s="30" t="s">
        <v>8</v>
      </c>
      <c r="J8" s="124">
        <f>POWER(PI()*D8/J5,2)</f>
        <v>909.58274160439498</v>
      </c>
      <c r="K8" s="254"/>
      <c r="N8" s="57"/>
      <c r="O8" s="252">
        <f t="shared" si="38"/>
        <v>5</v>
      </c>
      <c r="P8" s="12">
        <f t="shared" si="4"/>
        <v>1.8</v>
      </c>
      <c r="Q8" s="146">
        <f>D41</f>
        <v>-30</v>
      </c>
      <c r="R8" s="56">
        <f t="shared" si="5"/>
        <v>5.1054501020661212</v>
      </c>
      <c r="S8" s="56">
        <f t="shared" si="6"/>
        <v>10.210900204132242</v>
      </c>
      <c r="T8" s="56">
        <f t="shared" si="7"/>
        <v>0.21047822327098648</v>
      </c>
      <c r="U8" s="56">
        <f t="shared" si="8"/>
        <v>5.3159283253371079</v>
      </c>
      <c r="V8" s="56">
        <f t="shared" si="9"/>
        <v>10.421378427403228</v>
      </c>
      <c r="W8" s="154">
        <f t="shared" si="10"/>
        <v>147.75896074740643</v>
      </c>
      <c r="X8" s="149">
        <f t="shared" si="11"/>
        <v>18.079222810864032</v>
      </c>
      <c r="Y8" s="162">
        <f t="shared" si="12"/>
        <v>1.8441507360720208</v>
      </c>
      <c r="Z8" s="4">
        <f t="shared" si="39"/>
        <v>47.151028587673899</v>
      </c>
      <c r="AA8" s="4">
        <f t="shared" si="13"/>
        <v>1.9555784797387399</v>
      </c>
      <c r="AB8" s="4">
        <f t="shared" si="14"/>
        <v>3.3194713249296375</v>
      </c>
      <c r="AC8" s="14">
        <f t="shared" si="15"/>
        <v>147.75896074740643</v>
      </c>
      <c r="AE8" s="257">
        <v>5</v>
      </c>
      <c r="AF8" s="202">
        <f t="shared" si="40"/>
        <v>23</v>
      </c>
      <c r="AH8">
        <f t="shared" si="16"/>
        <v>27.234556720351858</v>
      </c>
      <c r="AI8">
        <f t="shared" si="17"/>
        <v>2.6894439640181602</v>
      </c>
      <c r="AJ8" s="40">
        <f t="shared" si="18"/>
        <v>29.924000684370018</v>
      </c>
      <c r="AK8" s="88">
        <f t="shared" si="0"/>
        <v>143.15088838837352</v>
      </c>
      <c r="AL8" s="199">
        <f t="shared" si="19"/>
        <v>10.635946378392248</v>
      </c>
      <c r="AM8" s="213">
        <f t="shared" si="20"/>
        <v>31.347292350024809</v>
      </c>
      <c r="AN8">
        <f t="shared" si="21"/>
        <v>471.51028587673852</v>
      </c>
      <c r="AO8" s="215">
        <f t="shared" si="1"/>
        <v>3.1347292350024754</v>
      </c>
      <c r="AP8" s="63">
        <f t="shared" si="22"/>
        <v>47.151028587673764</v>
      </c>
      <c r="AQ8" s="63">
        <f t="shared" si="23"/>
        <v>3.3241366401728478</v>
      </c>
      <c r="AR8" s="63">
        <f t="shared" si="24"/>
        <v>50</v>
      </c>
      <c r="AS8" s="63">
        <f t="shared" si="25"/>
        <v>10.43357734708753</v>
      </c>
      <c r="AT8" s="63">
        <f t="shared" si="26"/>
        <v>19.490423337282486</v>
      </c>
      <c r="AV8" s="257">
        <f t="shared" si="41"/>
        <v>5</v>
      </c>
      <c r="AW8" s="202">
        <f t="shared" si="42"/>
        <v>158</v>
      </c>
      <c r="AX8" s="257"/>
      <c r="AY8" s="257">
        <f t="shared" si="27"/>
        <v>43.973141739088454</v>
      </c>
      <c r="AZ8" s="257">
        <f t="shared" si="28"/>
        <v>18.475310709342146</v>
      </c>
      <c r="BA8" s="257">
        <f t="shared" si="29"/>
        <v>62.448452448430601</v>
      </c>
      <c r="BB8" s="53" t="e">
        <f t="shared" si="2"/>
        <v>#NUM!</v>
      </c>
      <c r="BC8" s="198" t="e">
        <f t="shared" si="30"/>
        <v>#NUM!</v>
      </c>
      <c r="BD8" s="211">
        <f t="shared" si="31"/>
        <v>1325.6309111026385</v>
      </c>
      <c r="BE8" s="257" t="e">
        <f t="shared" si="32"/>
        <v>#NUM!</v>
      </c>
      <c r="BF8" s="4" t="e">
        <f t="shared" si="3"/>
        <v>#NUM!</v>
      </c>
      <c r="BG8" s="4" t="e">
        <f t="shared" si="33"/>
        <v>#NUM!</v>
      </c>
      <c r="BH8" s="4" t="e">
        <f t="shared" si="34"/>
        <v>#NUM!</v>
      </c>
      <c r="BI8" s="4" t="e">
        <f t="shared" si="35"/>
        <v>#NUM!</v>
      </c>
      <c r="BJ8" t="e">
        <f t="shared" si="36"/>
        <v>#NUM!</v>
      </c>
      <c r="BK8" t="e">
        <f t="shared" si="37"/>
        <v>#NUM!</v>
      </c>
      <c r="BM8" s="40"/>
    </row>
    <row r="9" spans="2:65">
      <c r="B9" s="119" t="s">
        <v>178</v>
      </c>
      <c r="C9" s="254" t="s">
        <v>179</v>
      </c>
      <c r="D9" s="258">
        <f>D8/2</f>
        <v>0.03</v>
      </c>
      <c r="E9" s="254" t="s">
        <v>7</v>
      </c>
      <c r="G9" s="290" t="s">
        <v>201</v>
      </c>
      <c r="H9" s="290"/>
      <c r="I9" s="30" t="s">
        <v>202</v>
      </c>
      <c r="J9" s="123">
        <f>10*LOG(J8)</f>
        <v>29.588422114674042</v>
      </c>
      <c r="K9" s="254" t="s">
        <v>13</v>
      </c>
      <c r="N9" s="57"/>
      <c r="O9" s="252">
        <f t="shared" si="38"/>
        <v>6</v>
      </c>
      <c r="P9" s="12">
        <f t="shared" si="4"/>
        <v>2.1749999999999998</v>
      </c>
      <c r="Q9" s="145" t="s">
        <v>214</v>
      </c>
      <c r="R9" s="56">
        <f t="shared" ref="R9:R68" si="43">20*LOG(P9)</f>
        <v>6.7491852258131226</v>
      </c>
      <c r="S9" s="56">
        <f t="shared" si="6"/>
        <v>13.498370451626245</v>
      </c>
      <c r="T9" s="56">
        <f t="shared" si="7"/>
        <v>0.2543278531191086</v>
      </c>
      <c r="U9" s="56">
        <f t="shared" si="8"/>
        <v>7.0035130789322313</v>
      </c>
      <c r="V9" s="56">
        <f t="shared" si="9"/>
        <v>13.752698304745353</v>
      </c>
      <c r="W9" s="154">
        <f t="shared" si="10"/>
        <v>146.0713759938113</v>
      </c>
      <c r="X9" s="149">
        <f t="shared" si="11"/>
        <v>14.886771399674652</v>
      </c>
      <c r="Y9" s="162">
        <f t="shared" si="12"/>
        <v>2.2396267907354028</v>
      </c>
      <c r="Z9" s="4">
        <f t="shared" si="39"/>
        <v>47.151028587673828</v>
      </c>
      <c r="AA9" s="4">
        <f t="shared" si="13"/>
        <v>2.3749500889158583</v>
      </c>
      <c r="AB9" s="4">
        <f t="shared" si="14"/>
        <v>4.871188269849501</v>
      </c>
      <c r="AC9" s="14">
        <f t="shared" si="15"/>
        <v>146.0713759938113</v>
      </c>
      <c r="AE9" s="257">
        <v>6</v>
      </c>
      <c r="AF9" s="202">
        <f t="shared" si="40"/>
        <v>26</v>
      </c>
      <c r="AH9">
        <f t="shared" si="16"/>
        <v>28.29946695941636</v>
      </c>
      <c r="AI9">
        <f t="shared" si="17"/>
        <v>3.0402410028031377</v>
      </c>
      <c r="AJ9" s="40">
        <f t="shared" si="18"/>
        <v>31.339707962219499</v>
      </c>
      <c r="AK9" s="88">
        <f t="shared" si="0"/>
        <v>141.73518111052402</v>
      </c>
      <c r="AL9" s="199">
        <f t="shared" si="19"/>
        <v>9.0363027972879184</v>
      </c>
      <c r="AM9" s="213">
        <f t="shared" si="20"/>
        <v>36.896519297993819</v>
      </c>
      <c r="AN9">
        <f t="shared" si="21"/>
        <v>471.51028587673824</v>
      </c>
      <c r="AO9" s="215">
        <f t="shared" si="1"/>
        <v>3.6896519297993753</v>
      </c>
      <c r="AP9" s="63">
        <f t="shared" si="22"/>
        <v>47.151028587673743</v>
      </c>
      <c r="AQ9" s="63">
        <f t="shared" si="23"/>
        <v>3.9125890148279048</v>
      </c>
      <c r="AR9" s="63">
        <f t="shared" si="24"/>
        <v>50</v>
      </c>
      <c r="AS9" s="63">
        <f t="shared" si="25"/>
        <v>11.84928462493702</v>
      </c>
      <c r="AT9" s="63">
        <f t="shared" si="26"/>
        <v>19.490423337282479</v>
      </c>
      <c r="AV9" s="257">
        <f t="shared" si="41"/>
        <v>6</v>
      </c>
      <c r="AW9" s="202">
        <f t="shared" si="42"/>
        <v>185</v>
      </c>
      <c r="AX9" s="257"/>
      <c r="AY9" s="257">
        <f t="shared" si="27"/>
        <v>45.343434568060275</v>
      </c>
      <c r="AZ9" s="257">
        <f t="shared" si="28"/>
        <v>21.632484058406941</v>
      </c>
      <c r="BA9" s="257">
        <f t="shared" si="29"/>
        <v>66.975918626467219</v>
      </c>
      <c r="BB9" s="53" t="e">
        <f t="shared" si="2"/>
        <v>#NUM!</v>
      </c>
      <c r="BC9" s="198" t="e">
        <f t="shared" si="30"/>
        <v>#NUM!</v>
      </c>
      <c r="BD9" s="211">
        <f t="shared" si="31"/>
        <v>2232.5229461852018</v>
      </c>
      <c r="BE9" s="257" t="e">
        <f t="shared" si="32"/>
        <v>#NUM!</v>
      </c>
      <c r="BF9" s="4" t="e">
        <f t="shared" si="3"/>
        <v>#NUM!</v>
      </c>
      <c r="BG9" s="4" t="e">
        <f t="shared" si="33"/>
        <v>#NUM!</v>
      </c>
      <c r="BH9" s="4" t="e">
        <f t="shared" si="34"/>
        <v>#NUM!</v>
      </c>
      <c r="BI9" s="4" t="e">
        <f t="shared" si="35"/>
        <v>#NUM!</v>
      </c>
      <c r="BJ9" t="e">
        <f t="shared" si="36"/>
        <v>#NUM!</v>
      </c>
      <c r="BK9" t="e">
        <f t="shared" si="37"/>
        <v>#NUM!</v>
      </c>
      <c r="BM9" s="40"/>
    </row>
    <row r="10" spans="2:65">
      <c r="B10" s="119" t="s">
        <v>181</v>
      </c>
      <c r="C10" s="30" t="s">
        <v>180</v>
      </c>
      <c r="D10" s="258">
        <v>8</v>
      </c>
      <c r="E10" s="254" t="s">
        <v>56</v>
      </c>
      <c r="G10" s="290" t="s">
        <v>213</v>
      </c>
      <c r="H10" s="290"/>
      <c r="I10" s="290"/>
      <c r="J10" s="290"/>
      <c r="K10" s="290"/>
      <c r="N10" s="57"/>
      <c r="O10" s="252">
        <f t="shared" si="38"/>
        <v>7</v>
      </c>
      <c r="P10" s="12">
        <f t="shared" si="4"/>
        <v>2.5499999999999998</v>
      </c>
      <c r="Q10" s="147">
        <f>J12</f>
        <v>-7.8942110573370208</v>
      </c>
      <c r="R10" s="56">
        <f t="shared" si="43"/>
        <v>8.130803608679102</v>
      </c>
      <c r="S10" s="56">
        <f t="shared" si="6"/>
        <v>16.261607217358204</v>
      </c>
      <c r="T10" s="56">
        <f t="shared" si="7"/>
        <v>0.29817748296723079</v>
      </c>
      <c r="U10" s="56">
        <f t="shared" si="8"/>
        <v>8.4289810916463335</v>
      </c>
      <c r="V10" s="56">
        <f t="shared" si="9"/>
        <v>16.559784700325434</v>
      </c>
      <c r="W10" s="154">
        <f t="shared" si="10"/>
        <v>144.6459079810972</v>
      </c>
      <c r="X10" s="149">
        <f t="shared" si="11"/>
        <v>12.633599897263949</v>
      </c>
      <c r="Y10" s="162">
        <f t="shared" si="12"/>
        <v>2.6390587263639325</v>
      </c>
      <c r="Z10" s="4">
        <f t="shared" si="39"/>
        <v>47.1510285876738</v>
      </c>
      <c r="AA10" s="4">
        <f t="shared" si="13"/>
        <v>2.7985166023014738</v>
      </c>
      <c r="AB10" s="4">
        <f t="shared" si="14"/>
        <v>6.7295997522280269</v>
      </c>
      <c r="AC10" s="14">
        <f t="shared" si="15"/>
        <v>144.6459079810972</v>
      </c>
      <c r="AE10" s="257">
        <v>7</v>
      </c>
      <c r="AF10" s="202">
        <f t="shared" si="40"/>
        <v>29</v>
      </c>
      <c r="AH10">
        <f t="shared" si="16"/>
        <v>29.24795995797912</v>
      </c>
      <c r="AI10">
        <f t="shared" si="17"/>
        <v>3.3910380415881156</v>
      </c>
      <c r="AJ10" s="40">
        <f t="shared" si="18"/>
        <v>32.638997999567238</v>
      </c>
      <c r="AK10" s="88">
        <f t="shared" si="0"/>
        <v>140.43589107317629</v>
      </c>
      <c r="AL10" s="199">
        <f t="shared" si="19"/>
        <v>7.7808362111959504</v>
      </c>
      <c r="AM10" s="213">
        <f t="shared" si="20"/>
        <v>42.84990860788254</v>
      </c>
      <c r="AN10">
        <f t="shared" si="21"/>
        <v>471.51028587673869</v>
      </c>
      <c r="AO10" s="215">
        <f t="shared" si="1"/>
        <v>4.2849908607882465</v>
      </c>
      <c r="AP10" s="63">
        <f t="shared" si="22"/>
        <v>47.151028587673785</v>
      </c>
      <c r="AQ10" s="63">
        <f t="shared" si="23"/>
        <v>4.5438996657523907</v>
      </c>
      <c r="AR10" s="63">
        <f t="shared" si="24"/>
        <v>50</v>
      </c>
      <c r="AS10" s="63">
        <f t="shared" si="25"/>
        <v>13.148574662284748</v>
      </c>
      <c r="AT10" s="63">
        <f t="shared" si="26"/>
        <v>19.49042333728249</v>
      </c>
      <c r="AV10" s="257">
        <f t="shared" si="41"/>
        <v>7</v>
      </c>
      <c r="AW10" s="202">
        <f t="shared" si="42"/>
        <v>212</v>
      </c>
      <c r="AX10" s="257"/>
      <c r="AY10" s="257">
        <f t="shared" si="27"/>
        <v>46.526717218575023</v>
      </c>
      <c r="AZ10" s="257">
        <f t="shared" si="28"/>
        <v>24.78965740747174</v>
      </c>
      <c r="BA10" s="257">
        <f t="shared" si="29"/>
        <v>71.316374626046766</v>
      </c>
      <c r="BB10" s="53" t="e">
        <f t="shared" si="2"/>
        <v>#NUM!</v>
      </c>
      <c r="BC10" s="198" t="e">
        <f t="shared" si="30"/>
        <v>#NUM!</v>
      </c>
      <c r="BD10" s="211">
        <f t="shared" si="31"/>
        <v>3679.7535360317406</v>
      </c>
      <c r="BE10" s="257" t="e">
        <f t="shared" si="32"/>
        <v>#NUM!</v>
      </c>
      <c r="BF10" s="4" t="e">
        <f t="shared" si="3"/>
        <v>#NUM!</v>
      </c>
      <c r="BG10" s="4" t="e">
        <f t="shared" si="33"/>
        <v>#NUM!</v>
      </c>
      <c r="BH10" s="4" t="e">
        <f t="shared" si="34"/>
        <v>#NUM!</v>
      </c>
      <c r="BI10" s="4" t="e">
        <f t="shared" si="35"/>
        <v>#NUM!</v>
      </c>
      <c r="BJ10" t="e">
        <f t="shared" si="36"/>
        <v>#NUM!</v>
      </c>
      <c r="BK10" t="e">
        <f t="shared" si="37"/>
        <v>#NUM!</v>
      </c>
      <c r="BM10" s="40"/>
    </row>
    <row r="11" spans="2:65">
      <c r="B11" s="121" t="s">
        <v>203</v>
      </c>
      <c r="C11" s="30" t="s">
        <v>27</v>
      </c>
      <c r="D11" s="258">
        <v>0.4</v>
      </c>
      <c r="E11" s="254"/>
      <c r="G11" s="311" t="s">
        <v>212</v>
      </c>
      <c r="H11" s="311"/>
      <c r="I11" s="256" t="s">
        <v>209</v>
      </c>
      <c r="J11" s="123">
        <f>20*LOG(J5/(2*PI()*D9))+7.7</f>
        <v>-21.888422114674043</v>
      </c>
      <c r="K11" s="122" t="s">
        <v>223</v>
      </c>
      <c r="N11" s="57"/>
      <c r="O11" s="252">
        <f t="shared" si="38"/>
        <v>8</v>
      </c>
      <c r="P11" s="138">
        <f t="shared" si="4"/>
        <v>2.9249999999999998</v>
      </c>
      <c r="Q11" s="146"/>
      <c r="R11" s="56">
        <f t="shared" si="43"/>
        <v>9.3225174083639857</v>
      </c>
      <c r="S11" s="56">
        <f t="shared" si="6"/>
        <v>18.645034816727971</v>
      </c>
      <c r="T11" s="56">
        <f t="shared" si="7"/>
        <v>0.34202711281535297</v>
      </c>
      <c r="U11" s="56">
        <f t="shared" si="8"/>
        <v>9.664544521179339</v>
      </c>
      <c r="V11" s="56">
        <f t="shared" si="9"/>
        <v>18.987061929543323</v>
      </c>
      <c r="W11" s="154">
        <f t="shared" si="10"/>
        <v>143.41034455156418</v>
      </c>
      <c r="X11" s="149">
        <f t="shared" si="11"/>
        <v>10.958445379583139</v>
      </c>
      <c r="Y11" s="162">
        <f t="shared" si="12"/>
        <v>3.0424764553175296</v>
      </c>
      <c r="Z11" s="4">
        <f t="shared" si="39"/>
        <v>47.15102858767375</v>
      </c>
      <c r="AA11" s="4">
        <f t="shared" si="13"/>
        <v>3.2263097396277063</v>
      </c>
      <c r="AB11" s="4">
        <f t="shared" si="14"/>
        <v>8.8992436318037722</v>
      </c>
      <c r="AC11" s="14">
        <f t="shared" si="15"/>
        <v>143.41034455156418</v>
      </c>
      <c r="AE11" s="257">
        <v>8</v>
      </c>
      <c r="AF11" s="202">
        <f t="shared" si="40"/>
        <v>32</v>
      </c>
      <c r="AH11">
        <f t="shared" si="16"/>
        <v>30.102999566398122</v>
      </c>
      <c r="AI11">
        <f t="shared" si="17"/>
        <v>3.7418350803730926</v>
      </c>
      <c r="AJ11" s="40">
        <f t="shared" si="18"/>
        <v>33.844834646771211</v>
      </c>
      <c r="AK11" s="88">
        <f t="shared" si="0"/>
        <v>139.23005442597233</v>
      </c>
      <c r="AL11" s="199">
        <f t="shared" si="19"/>
        <v>6.7722727537560274</v>
      </c>
      <c r="AM11" s="213">
        <f t="shared" si="20"/>
        <v>49.231348568726119</v>
      </c>
      <c r="AN11">
        <f t="shared" si="21"/>
        <v>471.51028587673898</v>
      </c>
      <c r="AO11" s="215">
        <f t="shared" si="1"/>
        <v>4.9231348568726032</v>
      </c>
      <c r="AP11" s="63">
        <f t="shared" si="22"/>
        <v>47.151028587673814</v>
      </c>
      <c r="AQ11" s="63">
        <f t="shared" si="23"/>
        <v>5.2206017602759207</v>
      </c>
      <c r="AR11" s="63">
        <f t="shared" si="24"/>
        <v>50</v>
      </c>
      <c r="AS11" s="63">
        <f t="shared" si="25"/>
        <v>14.354411309488718</v>
      </c>
      <c r="AT11" s="63">
        <f t="shared" si="26"/>
        <v>19.490423337282493</v>
      </c>
      <c r="AV11" s="257">
        <f t="shared" si="41"/>
        <v>8</v>
      </c>
      <c r="AW11" s="202">
        <f t="shared" si="42"/>
        <v>239</v>
      </c>
      <c r="AX11" s="257"/>
      <c r="AY11" s="257">
        <f t="shared" si="27"/>
        <v>47.567958018962749</v>
      </c>
      <c r="AZ11" s="257">
        <f t="shared" si="28"/>
        <v>27.946830756536535</v>
      </c>
      <c r="BA11" s="257">
        <f t="shared" si="29"/>
        <v>75.514788775499284</v>
      </c>
      <c r="BB11" s="53" t="e">
        <f t="shared" si="2"/>
        <v>#NUM!</v>
      </c>
      <c r="BC11" s="198" t="e">
        <f t="shared" si="30"/>
        <v>#NUM!</v>
      </c>
      <c r="BD11" s="211">
        <f t="shared" si="31"/>
        <v>5966.7719410288473</v>
      </c>
      <c r="BE11" s="257" t="e">
        <f t="shared" si="32"/>
        <v>#NUM!</v>
      </c>
      <c r="BF11" s="4" t="e">
        <f t="shared" si="3"/>
        <v>#NUM!</v>
      </c>
      <c r="BG11" s="4" t="e">
        <f t="shared" si="33"/>
        <v>#NUM!</v>
      </c>
      <c r="BH11" s="4" t="e">
        <f t="shared" si="34"/>
        <v>#NUM!</v>
      </c>
      <c r="BI11" s="4" t="e">
        <f t="shared" si="35"/>
        <v>#NUM!</v>
      </c>
      <c r="BJ11" t="e">
        <f t="shared" si="36"/>
        <v>#NUM!</v>
      </c>
      <c r="BK11" t="e">
        <f t="shared" si="37"/>
        <v>#NUM!</v>
      </c>
      <c r="BM11" s="40"/>
    </row>
    <row r="12" spans="2:65">
      <c r="B12" s="296" t="s">
        <v>182</v>
      </c>
      <c r="C12" s="297"/>
      <c r="D12" s="297"/>
      <c r="E12" s="298"/>
      <c r="G12" s="311"/>
      <c r="H12" s="311"/>
      <c r="I12" s="256" t="s">
        <v>210</v>
      </c>
      <c r="J12" s="123">
        <f>10*LOG(J5/(2*PI()*D9))+6.9</f>
        <v>-7.8942110573370208</v>
      </c>
      <c r="K12" s="122" t="s">
        <v>223</v>
      </c>
      <c r="N12" s="57"/>
      <c r="O12" s="252">
        <f t="shared" si="38"/>
        <v>9</v>
      </c>
      <c r="P12" s="138">
        <f t="shared" si="4"/>
        <v>3.3</v>
      </c>
      <c r="Q12" s="146" t="s">
        <v>239</v>
      </c>
      <c r="R12" s="56">
        <f t="shared" si="43"/>
        <v>10.370278797557749</v>
      </c>
      <c r="S12" s="56">
        <f t="shared" si="6"/>
        <v>20.740557595115497</v>
      </c>
      <c r="T12" s="56">
        <f t="shared" si="7"/>
        <v>0.38587674266347521</v>
      </c>
      <c r="U12" s="56">
        <f t="shared" si="8"/>
        <v>10.756155540221224</v>
      </c>
      <c r="V12" s="56">
        <f t="shared" si="9"/>
        <v>21.126434337778971</v>
      </c>
      <c r="W12" s="154">
        <f t="shared" si="10"/>
        <v>142.31873353252232</v>
      </c>
      <c r="X12" s="149">
        <f t="shared" si="11"/>
        <v>9.6642553489467335</v>
      </c>
      <c r="Y12" s="162">
        <f t="shared" si="12"/>
        <v>3.4499100914069514</v>
      </c>
      <c r="Z12" s="4">
        <f t="shared" si="39"/>
        <v>47.151028587673864</v>
      </c>
      <c r="AA12" s="4">
        <f t="shared" si="13"/>
        <v>3.6583614342496267</v>
      </c>
      <c r="AB12" s="4">
        <f t="shared" si="14"/>
        <v>11.384703301642936</v>
      </c>
      <c r="AC12" s="14">
        <f t="shared" si="15"/>
        <v>142.31873353252232</v>
      </c>
      <c r="AE12" s="257">
        <v>9</v>
      </c>
      <c r="AF12" s="202">
        <f t="shared" si="40"/>
        <v>35</v>
      </c>
      <c r="AH12">
        <f t="shared" si="16"/>
        <v>30.881360887005513</v>
      </c>
      <c r="AI12">
        <f t="shared" si="17"/>
        <v>4.092632119158071</v>
      </c>
      <c r="AJ12" s="40">
        <f t="shared" si="18"/>
        <v>34.973993006163582</v>
      </c>
      <c r="AK12" s="88">
        <f t="shared" si="0"/>
        <v>138.10089606657993</v>
      </c>
      <c r="AL12" s="199">
        <f t="shared" si="19"/>
        <v>5.9467067554784938</v>
      </c>
      <c r="AM12" s="213">
        <f t="shared" si="20"/>
        <v>56.066010020670959</v>
      </c>
      <c r="AN12">
        <f t="shared" si="21"/>
        <v>471.5102858767379</v>
      </c>
      <c r="AO12" s="215">
        <f t="shared" si="1"/>
        <v>5.6066010020670864</v>
      </c>
      <c r="AP12" s="63">
        <f t="shared" si="22"/>
        <v>47.151028587673707</v>
      </c>
      <c r="AQ12" s="63">
        <f t="shared" si="23"/>
        <v>5.9453644703021098</v>
      </c>
      <c r="AR12" s="63">
        <f t="shared" si="24"/>
        <v>50</v>
      </c>
      <c r="AS12" s="63">
        <f t="shared" si="25"/>
        <v>15.483569668881106</v>
      </c>
      <c r="AT12" s="63">
        <f t="shared" si="26"/>
        <v>19.490423337282476</v>
      </c>
      <c r="AV12" s="257">
        <f t="shared" si="41"/>
        <v>9</v>
      </c>
      <c r="AW12" s="202">
        <f t="shared" si="42"/>
        <v>266</v>
      </c>
      <c r="AX12" s="257"/>
      <c r="AY12" s="257">
        <f t="shared" si="27"/>
        <v>48.497632732621341</v>
      </c>
      <c r="AZ12" s="257">
        <f t="shared" si="28"/>
        <v>31.104004105601334</v>
      </c>
      <c r="BA12" s="257">
        <f t="shared" si="29"/>
        <v>79.601636838222674</v>
      </c>
      <c r="BB12" s="53" t="e">
        <f t="shared" si="2"/>
        <v>#NUM!</v>
      </c>
      <c r="BC12" s="198" t="e">
        <f t="shared" si="30"/>
        <v>#NUM!</v>
      </c>
      <c r="BD12" s="211">
        <f t="shared" si="31"/>
        <v>9551.7256938865885</v>
      </c>
      <c r="BE12" s="257" t="e">
        <f t="shared" si="32"/>
        <v>#NUM!</v>
      </c>
      <c r="BF12" s="4" t="e">
        <f t="shared" si="3"/>
        <v>#NUM!</v>
      </c>
      <c r="BG12" s="4" t="e">
        <f t="shared" si="33"/>
        <v>#NUM!</v>
      </c>
      <c r="BH12" s="4" t="e">
        <f t="shared" si="34"/>
        <v>#NUM!</v>
      </c>
      <c r="BI12" s="4" t="e">
        <f t="shared" si="35"/>
        <v>#NUM!</v>
      </c>
      <c r="BJ12" t="e">
        <f t="shared" si="36"/>
        <v>#NUM!</v>
      </c>
      <c r="BK12" t="e">
        <f t="shared" si="37"/>
        <v>#NUM!</v>
      </c>
      <c r="BM12" s="40"/>
    </row>
    <row r="13" spans="2:65">
      <c r="B13" s="310" t="s">
        <v>183</v>
      </c>
      <c r="C13" s="254" t="s">
        <v>99</v>
      </c>
      <c r="D13" s="258">
        <v>250</v>
      </c>
      <c r="E13" s="254" t="s">
        <v>43</v>
      </c>
      <c r="G13" s="311" t="s">
        <v>211</v>
      </c>
      <c r="H13" s="311"/>
      <c r="I13" s="260" t="s">
        <v>18</v>
      </c>
      <c r="J13" s="129">
        <f>2*PI()*(1-COS(RADIANS(D10/2)))</f>
        <v>1.5305523616500533E-2</v>
      </c>
      <c r="K13" s="122" t="s">
        <v>19</v>
      </c>
      <c r="N13" s="57"/>
      <c r="O13" s="252">
        <f t="shared" si="38"/>
        <v>10</v>
      </c>
      <c r="P13" s="138">
        <f t="shared" si="4"/>
        <v>3.6749999999999998</v>
      </c>
      <c r="Q13" s="147">
        <f>170.8+10*LOG10(J34)+J9</f>
        <v>196.96419530645198</v>
      </c>
      <c r="R13" s="56">
        <f t="shared" si="43"/>
        <v>11.305146868404275</v>
      </c>
      <c r="S13" s="56">
        <f t="shared" si="6"/>
        <v>22.610293736808551</v>
      </c>
      <c r="T13" s="56">
        <f t="shared" si="7"/>
        <v>0.42972637251159734</v>
      </c>
      <c r="U13" s="56">
        <f t="shared" si="8"/>
        <v>11.734873240915872</v>
      </c>
      <c r="V13" s="56">
        <f t="shared" si="9"/>
        <v>23.04002010932015</v>
      </c>
      <c r="W13" s="154">
        <f t="shared" si="10"/>
        <v>141.34001583182766</v>
      </c>
      <c r="X13" s="149">
        <f t="shared" si="11"/>
        <v>8.6344069042265215</v>
      </c>
      <c r="Y13" s="162">
        <f t="shared" si="12"/>
        <v>3.8613899511667316</v>
      </c>
      <c r="Z13" s="4">
        <f t="shared" si="39"/>
        <v>47.151028587673849</v>
      </c>
      <c r="AA13" s="4">
        <f t="shared" si="13"/>
        <v>4.0947038344951103</v>
      </c>
      <c r="AB13" s="4">
        <f t="shared" si="14"/>
        <v>14.190608070537742</v>
      </c>
      <c r="AC13" s="14">
        <f t="shared" si="15"/>
        <v>141.34001583182766</v>
      </c>
      <c r="AE13" s="257">
        <v>10</v>
      </c>
      <c r="AF13" s="202">
        <f t="shared" si="40"/>
        <v>38</v>
      </c>
      <c r="AH13">
        <f t="shared" si="16"/>
        <v>31.595671932336202</v>
      </c>
      <c r="AI13">
        <f t="shared" si="17"/>
        <v>4.4434291579430472</v>
      </c>
      <c r="AJ13" s="40">
        <f t="shared" si="18"/>
        <v>36.039101090279246</v>
      </c>
      <c r="AK13" s="88">
        <f t="shared" si="0"/>
        <v>137.03578798246429</v>
      </c>
      <c r="AL13" s="199">
        <f t="shared" si="19"/>
        <v>5.2604284615862609</v>
      </c>
      <c r="AM13" s="213">
        <f t="shared" si="20"/>
        <v>63.380411496388206</v>
      </c>
      <c r="AN13">
        <f t="shared" si="21"/>
        <v>471.51028587673875</v>
      </c>
      <c r="AO13" s="215">
        <f t="shared" si="1"/>
        <v>6.3380411496388094</v>
      </c>
      <c r="AP13" s="63">
        <f t="shared" si="22"/>
        <v>47.151028587673792</v>
      </c>
      <c r="AQ13" s="63">
        <f t="shared" si="23"/>
        <v>6.7209998800489563</v>
      </c>
      <c r="AR13" s="63">
        <f t="shared" si="24"/>
        <v>50</v>
      </c>
      <c r="AS13" s="63">
        <f t="shared" si="25"/>
        <v>16.54867775299676</v>
      </c>
      <c r="AT13" s="63">
        <f t="shared" si="26"/>
        <v>19.490423337282486</v>
      </c>
      <c r="AV13" s="257">
        <f t="shared" si="41"/>
        <v>10</v>
      </c>
      <c r="AW13" s="202">
        <f t="shared" si="42"/>
        <v>293</v>
      </c>
      <c r="AX13" s="257"/>
      <c r="AY13" s="257">
        <f t="shared" si="27"/>
        <v>49.337352407082193</v>
      </c>
      <c r="AZ13" s="257">
        <f t="shared" si="28"/>
        <v>34.261177454666125</v>
      </c>
      <c r="BA13" s="257">
        <f t="shared" si="29"/>
        <v>83.598529861748318</v>
      </c>
      <c r="BB13" s="53" t="e">
        <f t="shared" si="2"/>
        <v>#NUM!</v>
      </c>
      <c r="BC13" s="198" t="e">
        <f t="shared" si="30"/>
        <v>#NUM!</v>
      </c>
      <c r="BD13" s="211">
        <f t="shared" si="31"/>
        <v>15133.050909115935</v>
      </c>
      <c r="BE13" s="257" t="e">
        <f t="shared" si="32"/>
        <v>#NUM!</v>
      </c>
      <c r="BF13" s="4" t="e">
        <f t="shared" si="3"/>
        <v>#NUM!</v>
      </c>
      <c r="BG13" s="4" t="e">
        <f t="shared" si="33"/>
        <v>#NUM!</v>
      </c>
      <c r="BH13" s="4" t="e">
        <f t="shared" si="34"/>
        <v>#NUM!</v>
      </c>
      <c r="BI13" s="4" t="e">
        <f t="shared" si="35"/>
        <v>#NUM!</v>
      </c>
      <c r="BJ13" t="e">
        <f t="shared" si="36"/>
        <v>#NUM!</v>
      </c>
      <c r="BK13" t="e">
        <f t="shared" si="37"/>
        <v>#NUM!</v>
      </c>
      <c r="BM13" s="40"/>
    </row>
    <row r="14" spans="2:65">
      <c r="B14" s="310"/>
      <c r="C14" s="130" t="s">
        <v>101</v>
      </c>
      <c r="D14" s="137">
        <f>20*LOG10(D13*POWER(10,6))</f>
        <v>167.95880017344075</v>
      </c>
      <c r="E14" s="130" t="s">
        <v>222</v>
      </c>
      <c r="G14" s="311"/>
      <c r="H14" s="311"/>
      <c r="I14" s="260" t="s">
        <v>214</v>
      </c>
      <c r="J14" s="123">
        <f>10*LOG10(J13)</f>
        <v>-18.151518081857631</v>
      </c>
      <c r="K14" s="122" t="s">
        <v>223</v>
      </c>
      <c r="N14" s="57"/>
      <c r="O14" s="252">
        <f t="shared" si="38"/>
        <v>11</v>
      </c>
      <c r="P14" s="138">
        <f t="shared" si="4"/>
        <v>4.05</v>
      </c>
      <c r="Q14" s="146"/>
      <c r="R14" s="56">
        <f t="shared" si="43"/>
        <v>12.149100464293369</v>
      </c>
      <c r="S14" s="56">
        <f t="shared" si="6"/>
        <v>24.298200928586738</v>
      </c>
      <c r="T14" s="56">
        <f t="shared" si="7"/>
        <v>0.47357600235971953</v>
      </c>
      <c r="U14" s="56">
        <f t="shared" si="8"/>
        <v>12.622676466653088</v>
      </c>
      <c r="V14" s="56">
        <f t="shared" si="9"/>
        <v>24.771776930946459</v>
      </c>
      <c r="W14" s="154">
        <f t="shared" si="10"/>
        <v>140.45221260609046</v>
      </c>
      <c r="X14" s="149">
        <f t="shared" si="11"/>
        <v>7.7954708164937845</v>
      </c>
      <c r="Y14" s="162">
        <f t="shared" si="12"/>
        <v>4.2769465551358268</v>
      </c>
      <c r="Z14" s="4">
        <f t="shared" si="39"/>
        <v>47.151028587673885</v>
      </c>
      <c r="AA14" s="4">
        <f t="shared" si="13"/>
        <v>4.5353693050228623</v>
      </c>
      <c r="AB14" s="4">
        <f t="shared" si="14"/>
        <v>17.321633548300099</v>
      </c>
      <c r="AC14" s="14">
        <f t="shared" si="15"/>
        <v>140.45221260609043</v>
      </c>
      <c r="AE14" s="257">
        <v>11</v>
      </c>
      <c r="AF14" s="202">
        <f t="shared" si="40"/>
        <v>41</v>
      </c>
      <c r="AH14">
        <f t="shared" si="16"/>
        <v>32.255677134394709</v>
      </c>
      <c r="AI14">
        <f t="shared" si="17"/>
        <v>4.7942261967280251</v>
      </c>
      <c r="AJ14" s="40">
        <f t="shared" si="18"/>
        <v>37.049903331122735</v>
      </c>
      <c r="AK14" s="88">
        <f t="shared" si="0"/>
        <v>136.02498574162081</v>
      </c>
      <c r="AL14" s="199">
        <f t="shared" si="19"/>
        <v>4.6825347259462236</v>
      </c>
      <c r="AM14" s="213">
        <f t="shared" si="20"/>
        <v>71.202487553421534</v>
      </c>
      <c r="AN14">
        <f t="shared" si="21"/>
        <v>471.51028587673954</v>
      </c>
      <c r="AO14" s="215">
        <f t="shared" si="1"/>
        <v>7.120248755342141</v>
      </c>
      <c r="AP14" s="63">
        <f t="shared" si="22"/>
        <v>47.151028587673871</v>
      </c>
      <c r="AQ14" s="63">
        <f t="shared" si="23"/>
        <v>7.550470232163188</v>
      </c>
      <c r="AR14" s="63">
        <f t="shared" si="24"/>
        <v>50</v>
      </c>
      <c r="AS14" s="63">
        <f t="shared" si="25"/>
        <v>17.559479993840235</v>
      </c>
      <c r="AT14" s="63">
        <f t="shared" si="26"/>
        <v>19.4904233372825</v>
      </c>
      <c r="AV14" s="257">
        <f t="shared" si="41"/>
        <v>11</v>
      </c>
      <c r="AW14" s="202">
        <f t="shared" si="42"/>
        <v>320</v>
      </c>
      <c r="AX14" s="257"/>
      <c r="AY14" s="257">
        <f t="shared" si="27"/>
        <v>50.102999566398118</v>
      </c>
      <c r="AZ14" s="257">
        <f t="shared" si="28"/>
        <v>37.418350803730931</v>
      </c>
      <c r="BA14" s="257">
        <f t="shared" si="29"/>
        <v>87.521350370129056</v>
      </c>
      <c r="BB14" s="53" t="e">
        <f t="shared" si="2"/>
        <v>#NUM!</v>
      </c>
      <c r="BC14" s="198" t="e">
        <f t="shared" si="30"/>
        <v>#NUM!</v>
      </c>
      <c r="BD14" s="211">
        <f t="shared" si="31"/>
        <v>23772.09835832387</v>
      </c>
      <c r="BE14" s="257" t="e">
        <f t="shared" si="32"/>
        <v>#NUM!</v>
      </c>
      <c r="BF14" s="4" t="e">
        <f t="shared" si="3"/>
        <v>#NUM!</v>
      </c>
      <c r="BG14" s="4" t="e">
        <f t="shared" si="33"/>
        <v>#NUM!</v>
      </c>
      <c r="BH14" s="4" t="e">
        <f t="shared" si="34"/>
        <v>#NUM!</v>
      </c>
      <c r="BI14" s="4" t="e">
        <f t="shared" si="35"/>
        <v>#NUM!</v>
      </c>
      <c r="BJ14" t="e">
        <f t="shared" si="36"/>
        <v>#NUM!</v>
      </c>
      <c r="BK14" t="e">
        <f t="shared" si="37"/>
        <v>#NUM!</v>
      </c>
      <c r="BM14" s="40"/>
    </row>
    <row r="15" spans="2:65">
      <c r="B15" s="308" t="s">
        <v>184</v>
      </c>
      <c r="C15" s="254" t="s">
        <v>106</v>
      </c>
      <c r="D15" s="258">
        <v>740</v>
      </c>
      <c r="E15" s="254" t="s">
        <v>50</v>
      </c>
      <c r="G15" s="22"/>
      <c r="H15" s="22"/>
      <c r="I15" s="21"/>
      <c r="J15" s="136"/>
      <c r="K15" s="120"/>
      <c r="N15" s="57"/>
      <c r="O15" s="252">
        <f t="shared" si="38"/>
        <v>12</v>
      </c>
      <c r="P15" s="138">
        <f t="shared" si="4"/>
        <v>4.4249999999999998</v>
      </c>
      <c r="Q15" s="146"/>
      <c r="R15" s="56">
        <f t="shared" si="43"/>
        <v>12.918265500676885</v>
      </c>
      <c r="S15" s="56">
        <f t="shared" si="6"/>
        <v>25.836531001353769</v>
      </c>
      <c r="T15" s="56">
        <f t="shared" si="7"/>
        <v>0.51742563220784177</v>
      </c>
      <c r="U15" s="56">
        <f t="shared" si="8"/>
        <v>13.435691132884726</v>
      </c>
      <c r="V15" s="56">
        <f t="shared" si="9"/>
        <v>26.353956633561612</v>
      </c>
      <c r="W15" s="154">
        <f t="shared" si="10"/>
        <v>139.6391979398588</v>
      </c>
      <c r="X15" s="149">
        <f t="shared" si="11"/>
        <v>7.0989091255212253</v>
      </c>
      <c r="Y15" s="162">
        <f t="shared" si="12"/>
        <v>4.6966106291460585</v>
      </c>
      <c r="Z15" s="4">
        <f t="shared" si="39"/>
        <v>47.151028587673849</v>
      </c>
      <c r="AA15" s="4">
        <f t="shared" si="13"/>
        <v>4.9803904281887093</v>
      </c>
      <c r="AB15" s="4">
        <f t="shared" si="14"/>
        <v>20.782502033971319</v>
      </c>
      <c r="AC15" s="14">
        <f t="shared" si="15"/>
        <v>139.63919793985883</v>
      </c>
      <c r="AE15" s="257">
        <v>12</v>
      </c>
      <c r="AF15" s="202">
        <f t="shared" si="40"/>
        <v>44</v>
      </c>
      <c r="AH15">
        <f t="shared" si="16"/>
        <v>32.86905352972375</v>
      </c>
      <c r="AI15">
        <f t="shared" si="17"/>
        <v>5.1450232355130021</v>
      </c>
      <c r="AJ15" s="40">
        <f t="shared" si="18"/>
        <v>38.014076765236751</v>
      </c>
      <c r="AK15" s="88">
        <f t="shared" si="0"/>
        <v>135.06081230750678</v>
      </c>
      <c r="AL15" s="199">
        <f t="shared" si="19"/>
        <v>4.1905626234741318</v>
      </c>
      <c r="AM15" s="213">
        <f t="shared" si="20"/>
        <v>79.561660449842364</v>
      </c>
      <c r="AN15">
        <f t="shared" si="21"/>
        <v>471.51028587673869</v>
      </c>
      <c r="AO15" s="215">
        <f t="shared" si="1"/>
        <v>7.9561660449842222</v>
      </c>
      <c r="AP15" s="63">
        <f t="shared" si="22"/>
        <v>47.151028587673785</v>
      </c>
      <c r="AQ15" s="63">
        <f t="shared" si="23"/>
        <v>8.4368955283661844</v>
      </c>
      <c r="AR15" s="63">
        <f t="shared" si="24"/>
        <v>50</v>
      </c>
      <c r="AS15" s="63">
        <f t="shared" si="25"/>
        <v>18.523653427954262</v>
      </c>
      <c r="AT15" s="63">
        <f t="shared" si="26"/>
        <v>19.49042333728249</v>
      </c>
      <c r="AV15" s="257">
        <f t="shared" si="41"/>
        <v>12</v>
      </c>
      <c r="AW15" s="202">
        <f t="shared" si="42"/>
        <v>347</v>
      </c>
      <c r="AX15" s="257"/>
      <c r="AY15" s="257">
        <f t="shared" si="27"/>
        <v>50.80658949581747</v>
      </c>
      <c r="AZ15" s="257">
        <f t="shared" si="28"/>
        <v>40.575524152795722</v>
      </c>
      <c r="BA15" s="257">
        <f t="shared" si="29"/>
        <v>91.382113648613199</v>
      </c>
      <c r="BB15" s="53" t="e">
        <f t="shared" si="2"/>
        <v>#NUM!</v>
      </c>
      <c r="BC15" s="198" t="e">
        <f t="shared" si="30"/>
        <v>#NUM!</v>
      </c>
      <c r="BD15" s="211">
        <f t="shared" si="31"/>
        <v>37077.093523935444</v>
      </c>
      <c r="BE15" s="257" t="e">
        <f t="shared" si="32"/>
        <v>#NUM!</v>
      </c>
      <c r="BF15" s="4" t="e">
        <f t="shared" si="3"/>
        <v>#NUM!</v>
      </c>
      <c r="BG15" s="4" t="e">
        <f t="shared" si="33"/>
        <v>#NUM!</v>
      </c>
      <c r="BH15" s="4" t="e">
        <f t="shared" si="34"/>
        <v>#NUM!</v>
      </c>
      <c r="BI15" s="4" t="e">
        <f t="shared" si="35"/>
        <v>#NUM!</v>
      </c>
      <c r="BJ15" t="e">
        <f t="shared" si="36"/>
        <v>#NUM!</v>
      </c>
      <c r="BK15" t="e">
        <f t="shared" si="37"/>
        <v>#NUM!</v>
      </c>
      <c r="BM15" s="40"/>
    </row>
    <row r="16" spans="2:65">
      <c r="B16" s="309"/>
      <c r="C16" s="254" t="s">
        <v>106</v>
      </c>
      <c r="D16" s="123">
        <f>20*LOG10(D15*POWER(10,-12))</f>
        <v>-182.61536560538048</v>
      </c>
      <c r="E16" s="254" t="s">
        <v>221</v>
      </c>
      <c r="G16" s="22"/>
      <c r="H16" s="22"/>
      <c r="I16" s="21"/>
      <c r="J16" s="136"/>
      <c r="K16" s="120"/>
      <c r="N16" s="57"/>
      <c r="O16" s="252">
        <f t="shared" si="38"/>
        <v>13</v>
      </c>
      <c r="P16" s="138">
        <f t="shared" si="4"/>
        <v>4.8</v>
      </c>
      <c r="Q16" s="146"/>
      <c r="R16" s="56">
        <f t="shared" si="43"/>
        <v>13.624824747511743</v>
      </c>
      <c r="S16" s="56">
        <f t="shared" si="6"/>
        <v>27.249649495023487</v>
      </c>
      <c r="T16" s="56">
        <f t="shared" si="7"/>
        <v>0.5612752620559639</v>
      </c>
      <c r="U16" s="56">
        <f t="shared" si="8"/>
        <v>14.186100009567708</v>
      </c>
      <c r="V16" s="56">
        <f t="shared" si="9"/>
        <v>27.810924757079452</v>
      </c>
      <c r="W16" s="154">
        <f t="shared" si="10"/>
        <v>138.88878906317584</v>
      </c>
      <c r="X16" s="149">
        <f t="shared" si="11"/>
        <v>6.5113519879249528</v>
      </c>
      <c r="Y16" s="162">
        <f t="shared" si="12"/>
        <v>5.1204131056183444</v>
      </c>
      <c r="Z16" s="4">
        <f t="shared" si="39"/>
        <v>47.151028587673927</v>
      </c>
      <c r="AA16" s="4">
        <f t="shared" si="13"/>
        <v>5.4298000054201552</v>
      </c>
      <c r="AB16" s="4">
        <f t="shared" si="14"/>
        <v>24.577982906968053</v>
      </c>
      <c r="AC16" s="14">
        <f t="shared" si="15"/>
        <v>138.88878906317584</v>
      </c>
      <c r="AE16" s="257">
        <v>13</v>
      </c>
      <c r="AF16" s="202">
        <f t="shared" si="40"/>
        <v>47</v>
      </c>
      <c r="AH16">
        <f t="shared" si="16"/>
        <v>33.441957158714352</v>
      </c>
      <c r="AI16">
        <f t="shared" si="17"/>
        <v>5.49582027429798</v>
      </c>
      <c r="AJ16" s="40">
        <f t="shared" si="18"/>
        <v>38.937777433012329</v>
      </c>
      <c r="AK16" s="88">
        <f t="shared" si="0"/>
        <v>134.13711163973119</v>
      </c>
      <c r="AL16" s="199">
        <f t="shared" si="19"/>
        <v>3.7677953145507885</v>
      </c>
      <c r="AM16" s="213">
        <f t="shared" si="20"/>
        <v>88.488915322726115</v>
      </c>
      <c r="AN16">
        <f t="shared" si="21"/>
        <v>471.5102858767379</v>
      </c>
      <c r="AO16" s="215">
        <f t="shared" si="1"/>
        <v>8.8488915322725958</v>
      </c>
      <c r="AP16" s="63">
        <f t="shared" si="22"/>
        <v>47.151028587673707</v>
      </c>
      <c r="AQ16" s="63">
        <f t="shared" si="23"/>
        <v>9.383561501546847</v>
      </c>
      <c r="AR16" s="63">
        <f t="shared" si="24"/>
        <v>50</v>
      </c>
      <c r="AS16" s="63">
        <f t="shared" si="25"/>
        <v>19.447354095729857</v>
      </c>
      <c r="AT16" s="63">
        <f t="shared" si="26"/>
        <v>19.490423337282472</v>
      </c>
      <c r="AV16" s="257">
        <f t="shared" si="41"/>
        <v>13</v>
      </c>
      <c r="AW16" s="202">
        <f t="shared" si="42"/>
        <v>374</v>
      </c>
      <c r="AX16" s="257"/>
      <c r="AY16" s="257">
        <f t="shared" si="27"/>
        <v>51.457432044009607</v>
      </c>
      <c r="AZ16" s="257">
        <f t="shared" si="28"/>
        <v>43.732697501860521</v>
      </c>
      <c r="BA16" s="257">
        <f t="shared" si="29"/>
        <v>95.190129545870121</v>
      </c>
      <c r="BB16" s="53" t="e">
        <f t="shared" si="2"/>
        <v>#NUM!</v>
      </c>
      <c r="BC16" s="198" t="e">
        <f t="shared" si="30"/>
        <v>#NUM!</v>
      </c>
      <c r="BD16" s="211">
        <f t="shared" si="31"/>
        <v>57478.63914444195</v>
      </c>
      <c r="BE16" s="257" t="e">
        <f t="shared" si="32"/>
        <v>#NUM!</v>
      </c>
      <c r="BF16" s="4" t="e">
        <f t="shared" si="3"/>
        <v>#NUM!</v>
      </c>
      <c r="BG16" s="4" t="e">
        <f t="shared" si="33"/>
        <v>#NUM!</v>
      </c>
      <c r="BH16" s="4" t="e">
        <f t="shared" si="34"/>
        <v>#NUM!</v>
      </c>
      <c r="BI16" s="4" t="e">
        <f t="shared" si="35"/>
        <v>#NUM!</v>
      </c>
      <c r="BJ16" t="e">
        <f t="shared" si="36"/>
        <v>#NUM!</v>
      </c>
      <c r="BK16" t="e">
        <f t="shared" si="37"/>
        <v>#NUM!</v>
      </c>
      <c r="BM16" s="40"/>
    </row>
    <row r="17" spans="2:65">
      <c r="B17" s="296" t="s">
        <v>190</v>
      </c>
      <c r="C17" s="297"/>
      <c r="D17" s="297"/>
      <c r="E17" s="298"/>
      <c r="G17" s="288" t="s">
        <v>205</v>
      </c>
      <c r="H17" s="288"/>
      <c r="I17" s="288"/>
      <c r="J17" s="288"/>
      <c r="K17" s="288"/>
      <c r="N17" s="57"/>
      <c r="O17" s="252">
        <f t="shared" si="38"/>
        <v>14</v>
      </c>
      <c r="P17" s="138">
        <f t="shared" si="4"/>
        <v>5.1749999999999998</v>
      </c>
      <c r="Q17" s="146"/>
      <c r="R17" s="56">
        <f t="shared" si="43"/>
        <v>14.278207082579106</v>
      </c>
      <c r="S17" s="56">
        <f t="shared" si="6"/>
        <v>28.556414165158213</v>
      </c>
      <c r="T17" s="56">
        <f t="shared" si="7"/>
        <v>0.60512489190408614</v>
      </c>
      <c r="U17" s="56">
        <f t="shared" si="8"/>
        <v>14.883331974483193</v>
      </c>
      <c r="V17" s="56">
        <f t="shared" si="9"/>
        <v>29.161539057062299</v>
      </c>
      <c r="W17" s="154">
        <f t="shared" si="10"/>
        <v>138.19155709826035</v>
      </c>
      <c r="X17" s="149">
        <f t="shared" si="11"/>
        <v>6.0091019826359506</v>
      </c>
      <c r="Y17" s="162">
        <f t="shared" si="12"/>
        <v>5.5483851248668135</v>
      </c>
      <c r="Z17" s="4">
        <f t="shared" si="39"/>
        <v>47.15102858767392</v>
      </c>
      <c r="AA17" s="4">
        <f t="shared" si="13"/>
        <v>5.8836310585992884</v>
      </c>
      <c r="AB17" s="4">
        <f t="shared" si="14"/>
        <v>28.71289302118576</v>
      </c>
      <c r="AC17" s="14">
        <f t="shared" si="15"/>
        <v>138.19155709826035</v>
      </c>
      <c r="AE17" s="257">
        <v>14</v>
      </c>
      <c r="AF17" s="202">
        <f t="shared" si="40"/>
        <v>50</v>
      </c>
      <c r="AH17">
        <f t="shared" si="16"/>
        <v>33.979400086720375</v>
      </c>
      <c r="AI17">
        <f t="shared" si="17"/>
        <v>5.846617313082958</v>
      </c>
      <c r="AJ17" s="40">
        <f t="shared" si="18"/>
        <v>39.826017399803334</v>
      </c>
      <c r="AK17" s="88">
        <f t="shared" si="0"/>
        <v>133.2488716729402</v>
      </c>
      <c r="AL17" s="199">
        <f t="shared" si="19"/>
        <v>3.4015378149178739</v>
      </c>
      <c r="AM17" s="213">
        <f t="shared" si="20"/>
        <v>98.016879036430467</v>
      </c>
      <c r="AN17">
        <f t="shared" si="21"/>
        <v>471.51028587673829</v>
      </c>
      <c r="AO17" s="215">
        <f t="shared" si="1"/>
        <v>9.80168790364303</v>
      </c>
      <c r="AP17" s="63">
        <f t="shared" si="22"/>
        <v>47.15102858767375</v>
      </c>
      <c r="AQ17" s="63">
        <f t="shared" si="23"/>
        <v>10.393927977008536</v>
      </c>
      <c r="AR17" s="63">
        <f t="shared" si="24"/>
        <v>50</v>
      </c>
      <c r="AS17" s="63">
        <f t="shared" si="25"/>
        <v>20.335594062520851</v>
      </c>
      <c r="AT17" s="63">
        <f t="shared" si="26"/>
        <v>19.490423337282483</v>
      </c>
      <c r="AV17" s="257">
        <f t="shared" si="41"/>
        <v>14</v>
      </c>
      <c r="AW17" s="202">
        <f t="shared" si="42"/>
        <v>401</v>
      </c>
      <c r="AX17" s="257"/>
      <c r="AY17" s="257">
        <f t="shared" si="27"/>
        <v>52.062887452403643</v>
      </c>
      <c r="AZ17" s="257">
        <f t="shared" si="28"/>
        <v>46.88987085092532</v>
      </c>
      <c r="BA17" s="257">
        <f t="shared" si="29"/>
        <v>98.952758303328963</v>
      </c>
      <c r="BB17" s="53" t="e">
        <f t="shared" si="2"/>
        <v>#NUM!</v>
      </c>
      <c r="BC17" s="198" t="e">
        <f t="shared" si="30"/>
        <v>#NUM!</v>
      </c>
      <c r="BD17" s="211">
        <f t="shared" si="31"/>
        <v>88641.667069334551</v>
      </c>
      <c r="BE17" s="257" t="e">
        <f t="shared" si="32"/>
        <v>#NUM!</v>
      </c>
      <c r="BF17" s="4" t="e">
        <f t="shared" si="3"/>
        <v>#NUM!</v>
      </c>
      <c r="BG17" s="4" t="e">
        <f t="shared" si="33"/>
        <v>#NUM!</v>
      </c>
      <c r="BH17" s="4" t="e">
        <f t="shared" si="34"/>
        <v>#NUM!</v>
      </c>
      <c r="BI17" s="4" t="e">
        <f t="shared" si="35"/>
        <v>#NUM!</v>
      </c>
      <c r="BJ17" t="e">
        <f t="shared" si="36"/>
        <v>#NUM!</v>
      </c>
      <c r="BK17" t="e">
        <f t="shared" si="37"/>
        <v>#NUM!</v>
      </c>
      <c r="BM17" s="40"/>
    </row>
    <row r="18" spans="2:65">
      <c r="B18" s="9">
        <v>1</v>
      </c>
      <c r="C18" s="255"/>
      <c r="D18" s="258">
        <v>20</v>
      </c>
      <c r="E18" s="254" t="s">
        <v>7</v>
      </c>
      <c r="G18" s="285">
        <v>1</v>
      </c>
      <c r="H18" s="285"/>
      <c r="I18" s="291" t="s">
        <v>206</v>
      </c>
      <c r="J18" s="124">
        <f>(2*D18/$D$29)*((1/COS(RADIANS($D$10/2)))-1)*POWER(10,6)</f>
        <v>65.117282164592893</v>
      </c>
      <c r="K18" s="253" t="s">
        <v>30</v>
      </c>
      <c r="N18" s="57"/>
      <c r="O18" s="252">
        <f t="shared" si="38"/>
        <v>15</v>
      </c>
      <c r="P18" s="138">
        <f t="shared" si="4"/>
        <v>5.55</v>
      </c>
      <c r="Q18" s="146"/>
      <c r="R18" s="56">
        <f t="shared" si="43"/>
        <v>14.885859662453525</v>
      </c>
      <c r="S18" s="56">
        <f t="shared" si="6"/>
        <v>29.77171932490705</v>
      </c>
      <c r="T18" s="56">
        <f t="shared" si="7"/>
        <v>0.64897452175220827</v>
      </c>
      <c r="U18" s="56">
        <f t="shared" si="8"/>
        <v>15.534834184205733</v>
      </c>
      <c r="V18" s="56">
        <f t="shared" si="9"/>
        <v>30.420693846659258</v>
      </c>
      <c r="W18" s="154">
        <f t="shared" si="10"/>
        <v>137.54005488853781</v>
      </c>
      <c r="X18" s="149">
        <f t="shared" si="11"/>
        <v>5.5748664006401363</v>
      </c>
      <c r="Y18" s="162">
        <f t="shared" si="12"/>
        <v>5.9805580364108124</v>
      </c>
      <c r="Z18" s="4">
        <f t="shared" si="39"/>
        <v>47.15102858767392</v>
      </c>
      <c r="AA18" s="4">
        <f t="shared" si="13"/>
        <v>6.3419168314540686</v>
      </c>
      <c r="AB18" s="4">
        <f t="shared" si="14"/>
        <v>33.192097102080012</v>
      </c>
      <c r="AC18" s="14">
        <f t="shared" si="15"/>
        <v>137.54005488853781</v>
      </c>
      <c r="AE18" s="257">
        <v>15</v>
      </c>
      <c r="AF18" s="202">
        <f t="shared" si="40"/>
        <v>53</v>
      </c>
      <c r="AH18">
        <f t="shared" si="16"/>
        <v>34.48551739201578</v>
      </c>
      <c r="AI18">
        <f t="shared" si="17"/>
        <v>6.197414351867935</v>
      </c>
      <c r="AJ18" s="40">
        <f t="shared" si="18"/>
        <v>40.682931743883714</v>
      </c>
      <c r="AK18" s="88">
        <f t="shared" si="0"/>
        <v>132.3919573288598</v>
      </c>
      <c r="AL18" s="199">
        <f t="shared" si="19"/>
        <v>3.0819783682597466</v>
      </c>
      <c r="AM18" s="213">
        <f t="shared" si="20"/>
        <v>108.17990287547325</v>
      </c>
      <c r="AN18">
        <f t="shared" si="21"/>
        <v>471.51028587673784</v>
      </c>
      <c r="AO18" s="215">
        <f t="shared" si="1"/>
        <v>10.817990287547305</v>
      </c>
      <c r="AP18" s="63">
        <f t="shared" si="22"/>
        <v>47.1510285876737</v>
      </c>
      <c r="AQ18" s="63">
        <f t="shared" si="23"/>
        <v>11.471637641405943</v>
      </c>
      <c r="AR18" s="63">
        <f t="shared" si="24"/>
        <v>50</v>
      </c>
      <c r="AS18" s="63">
        <f t="shared" si="25"/>
        <v>21.192508406601242</v>
      </c>
      <c r="AT18" s="63">
        <f t="shared" si="26"/>
        <v>19.490423337282472</v>
      </c>
      <c r="AV18" s="257">
        <f t="shared" si="41"/>
        <v>15</v>
      </c>
      <c r="AW18" s="202">
        <f t="shared" si="42"/>
        <v>428</v>
      </c>
      <c r="AX18" s="257"/>
      <c r="AY18" s="257">
        <f t="shared" si="27"/>
        <v>52.628875380263445</v>
      </c>
      <c r="AZ18" s="257">
        <f t="shared" si="28"/>
        <v>50.047044199990111</v>
      </c>
      <c r="BA18" s="257">
        <f t="shared" si="29"/>
        <v>102.67591958025355</v>
      </c>
      <c r="BB18" s="53" t="e">
        <f t="shared" si="2"/>
        <v>#NUM!</v>
      </c>
      <c r="BC18" s="198" t="e">
        <f t="shared" si="30"/>
        <v>#NUM!</v>
      </c>
      <c r="BD18" s="211">
        <f t="shared" si="31"/>
        <v>136080.52590634726</v>
      </c>
      <c r="BE18" s="257" t="e">
        <f t="shared" si="32"/>
        <v>#NUM!</v>
      </c>
      <c r="BF18" s="4" t="e">
        <f t="shared" si="3"/>
        <v>#NUM!</v>
      </c>
      <c r="BG18" s="4" t="e">
        <f t="shared" si="33"/>
        <v>#NUM!</v>
      </c>
      <c r="BH18" s="4" t="e">
        <f t="shared" si="34"/>
        <v>#NUM!</v>
      </c>
      <c r="BI18" s="4" t="e">
        <f t="shared" si="35"/>
        <v>#NUM!</v>
      </c>
      <c r="BJ18" t="e">
        <f t="shared" si="36"/>
        <v>#NUM!</v>
      </c>
      <c r="BK18" t="e">
        <f t="shared" si="37"/>
        <v>#NUM!</v>
      </c>
      <c r="BM18" s="40"/>
    </row>
    <row r="19" spans="2:65">
      <c r="B19" s="9">
        <v>2</v>
      </c>
      <c r="C19" s="255"/>
      <c r="D19" s="258">
        <v>200</v>
      </c>
      <c r="E19" s="254" t="s">
        <v>7</v>
      </c>
      <c r="G19" s="285">
        <v>2</v>
      </c>
      <c r="H19" s="285"/>
      <c r="I19" s="291"/>
      <c r="J19" s="124">
        <f>(2*D19/$D$29)*((1/COS(RADIANS($D$10/2)))-1)*POWER(10,6)</f>
        <v>651.17282164592893</v>
      </c>
      <c r="K19" s="253" t="s">
        <v>30</v>
      </c>
      <c r="N19" s="57"/>
      <c r="O19" s="252">
        <f t="shared" si="38"/>
        <v>16</v>
      </c>
      <c r="P19" s="138">
        <f t="shared" si="4"/>
        <v>5.9249999999999998</v>
      </c>
      <c r="Q19" s="146"/>
      <c r="R19" s="56">
        <f t="shared" si="43"/>
        <v>15.45376709364283</v>
      </c>
      <c r="S19" s="56">
        <f t="shared" si="6"/>
        <v>30.907534187285659</v>
      </c>
      <c r="T19" s="56">
        <f t="shared" si="7"/>
        <v>0.6928241516003304</v>
      </c>
      <c r="U19" s="56">
        <f t="shared" si="8"/>
        <v>16.146591245243158</v>
      </c>
      <c r="V19" s="56">
        <f t="shared" si="9"/>
        <v>31.600358338885989</v>
      </c>
      <c r="W19" s="154">
        <f t="shared" si="10"/>
        <v>136.92829782750039</v>
      </c>
      <c r="X19" s="149">
        <f t="shared" si="11"/>
        <v>5.1957304373487405</v>
      </c>
      <c r="Y19" s="162">
        <f t="shared" si="12"/>
        <v>6.4169634002948817</v>
      </c>
      <c r="Z19" s="4">
        <f t="shared" si="39"/>
        <v>47.151028587673913</v>
      </c>
      <c r="AA19" s="4">
        <f t="shared" si="13"/>
        <v>6.8046907909580554</v>
      </c>
      <c r="AB19" s="4">
        <f t="shared" si="14"/>
        <v>38.020508146747204</v>
      </c>
      <c r="AC19" s="14">
        <f t="shared" si="15"/>
        <v>136.92829782750039</v>
      </c>
      <c r="AE19" s="257">
        <f>AE18+1</f>
        <v>16</v>
      </c>
      <c r="AF19" s="202">
        <f t="shared" si="40"/>
        <v>56</v>
      </c>
      <c r="AH19">
        <f t="shared" si="16"/>
        <v>34.963760540124007</v>
      </c>
      <c r="AI19">
        <f t="shared" si="17"/>
        <v>6.548211390652912</v>
      </c>
      <c r="AJ19" s="40">
        <f t="shared" si="18"/>
        <v>41.511971930776916</v>
      </c>
      <c r="AK19" s="88">
        <f t="shared" si="0"/>
        <v>131.56291714196661</v>
      </c>
      <c r="AL19" s="199">
        <f t="shared" si="19"/>
        <v>2.8014158198982604</v>
      </c>
      <c r="AM19" s="213">
        <f t="shared" si="20"/>
        <v>119.01414926498039</v>
      </c>
      <c r="AN19">
        <f t="shared" si="21"/>
        <v>471.5102858767379</v>
      </c>
      <c r="AO19" s="215">
        <f t="shared" si="1"/>
        <v>11.901414926498019</v>
      </c>
      <c r="AP19" s="63">
        <f t="shared" si="22"/>
        <v>47.151028587673714</v>
      </c>
      <c r="AQ19" s="63">
        <f t="shared" si="23"/>
        <v>12.620525238774222</v>
      </c>
      <c r="AR19" s="63">
        <f t="shared" si="24"/>
        <v>50</v>
      </c>
      <c r="AS19" s="63">
        <f t="shared" si="25"/>
        <v>22.021548593494444</v>
      </c>
      <c r="AT19" s="63">
        <f t="shared" si="26"/>
        <v>19.490423337282472</v>
      </c>
      <c r="AV19" s="257">
        <f t="shared" si="41"/>
        <v>16</v>
      </c>
      <c r="AW19" s="202">
        <f t="shared" si="42"/>
        <v>455</v>
      </c>
      <c r="AX19" s="257"/>
      <c r="AY19" s="257">
        <f t="shared" si="27"/>
        <v>53.160227933142252</v>
      </c>
      <c r="AZ19" s="257">
        <f t="shared" si="28"/>
        <v>53.204217549054917</v>
      </c>
      <c r="BA19" s="257">
        <f t="shared" si="29"/>
        <v>106.36444548219717</v>
      </c>
      <c r="BB19" s="53" t="e">
        <f t="shared" si="2"/>
        <v>#NUM!</v>
      </c>
      <c r="BC19" s="198" t="e">
        <f t="shared" si="30"/>
        <v>#NUM!</v>
      </c>
      <c r="BD19" s="211">
        <f t="shared" si="31"/>
        <v>208076.13588035552</v>
      </c>
      <c r="BE19" s="257" t="e">
        <f t="shared" si="32"/>
        <v>#NUM!</v>
      </c>
      <c r="BF19" s="4" t="e">
        <f t="shared" si="3"/>
        <v>#NUM!</v>
      </c>
      <c r="BG19" s="4" t="e">
        <f t="shared" si="33"/>
        <v>#NUM!</v>
      </c>
      <c r="BH19" s="4" t="e">
        <f t="shared" si="34"/>
        <v>#NUM!</v>
      </c>
      <c r="BI19" s="4" t="e">
        <f t="shared" si="35"/>
        <v>#NUM!</v>
      </c>
      <c r="BJ19" t="e">
        <f t="shared" si="36"/>
        <v>#NUM!</v>
      </c>
      <c r="BK19" t="e">
        <f t="shared" si="37"/>
        <v>#NUM!</v>
      </c>
      <c r="BM19" s="40"/>
    </row>
    <row r="20" spans="2:65">
      <c r="B20" s="9">
        <v>3</v>
      </c>
      <c r="C20" s="255"/>
      <c r="D20" s="259">
        <v>0</v>
      </c>
      <c r="E20" s="254" t="s">
        <v>7</v>
      </c>
      <c r="G20" s="285">
        <v>3</v>
      </c>
      <c r="H20" s="285"/>
      <c r="I20" s="291"/>
      <c r="J20" s="124">
        <f>(2*D20/$D$29)*((1/COS(RADIANS($D$10/2)))-1)*POWER(10,6)</f>
        <v>0</v>
      </c>
      <c r="K20" s="253" t="s">
        <v>30</v>
      </c>
      <c r="N20" s="57"/>
      <c r="O20" s="252">
        <f t="shared" si="38"/>
        <v>17</v>
      </c>
      <c r="P20" s="138">
        <f t="shared" si="4"/>
        <v>6.3</v>
      </c>
      <c r="Q20" s="146"/>
      <c r="R20" s="56">
        <f t="shared" si="43"/>
        <v>15.986810989071634</v>
      </c>
      <c r="S20" s="56">
        <f t="shared" si="6"/>
        <v>31.973621978143267</v>
      </c>
      <c r="T20" s="56">
        <f t="shared" si="7"/>
        <v>0.73667378144845264</v>
      </c>
      <c r="U20" s="56">
        <f t="shared" si="8"/>
        <v>16.723484770520088</v>
      </c>
      <c r="V20" s="56">
        <f t="shared" si="9"/>
        <v>32.710295759591723</v>
      </c>
      <c r="W20" s="154">
        <f t="shared" si="10"/>
        <v>136.35140430222344</v>
      </c>
      <c r="X20" s="149">
        <f t="shared" si="11"/>
        <v>4.8618542448365245</v>
      </c>
      <c r="Y20" s="162">
        <f t="shared" si="12"/>
        <v>6.8576329884167393</v>
      </c>
      <c r="Z20" s="4">
        <f t="shared" si="39"/>
        <v>47.151028587673807</v>
      </c>
      <c r="AA20" s="4">
        <f t="shared" si="13"/>
        <v>7.2719866287386301</v>
      </c>
      <c r="AB20" s="4">
        <f t="shared" si="14"/>
        <v>43.203087827025456</v>
      </c>
      <c r="AC20" s="14">
        <f t="shared" si="15"/>
        <v>136.35140430222344</v>
      </c>
      <c r="AE20" s="257">
        <f t="shared" ref="AE20:AE40" si="44">AE19+1</f>
        <v>17</v>
      </c>
      <c r="AF20" s="202">
        <f t="shared" si="40"/>
        <v>59</v>
      </c>
      <c r="AH20">
        <f t="shared" si="16"/>
        <v>35.417040232842886</v>
      </c>
      <c r="AI20">
        <f t="shared" si="17"/>
        <v>6.8990084294378891</v>
      </c>
      <c r="AJ20" s="40">
        <f t="shared" si="18"/>
        <v>42.316048662280778</v>
      </c>
      <c r="AK20" s="88">
        <f t="shared" si="0"/>
        <v>130.75884041046277</v>
      </c>
      <c r="AL20" s="199">
        <f t="shared" si="19"/>
        <v>2.5537227195020784</v>
      </c>
      <c r="AM20" s="213">
        <f t="shared" si="20"/>
        <v>130.55768271022666</v>
      </c>
      <c r="AN20">
        <f t="shared" si="21"/>
        <v>471.51028587673869</v>
      </c>
      <c r="AO20" s="215">
        <f t="shared" si="1"/>
        <v>13.055768271022643</v>
      </c>
      <c r="AP20" s="63">
        <f t="shared" si="22"/>
        <v>47.151028587673785</v>
      </c>
      <c r="AQ20" s="63">
        <f t="shared" si="23"/>
        <v>13.844627213960376</v>
      </c>
      <c r="AR20" s="63">
        <f t="shared" si="24"/>
        <v>50</v>
      </c>
      <c r="AS20" s="63">
        <f t="shared" si="25"/>
        <v>22.825625324998281</v>
      </c>
      <c r="AT20" s="63">
        <f t="shared" si="26"/>
        <v>19.490423337282497</v>
      </c>
      <c r="AV20" s="257">
        <f t="shared" si="41"/>
        <v>17</v>
      </c>
      <c r="AW20" s="202">
        <f t="shared" si="42"/>
        <v>482</v>
      </c>
      <c r="AX20" s="257"/>
      <c r="AY20" s="257">
        <f t="shared" si="27"/>
        <v>53.660940764776996</v>
      </c>
      <c r="AZ20" s="257">
        <f t="shared" si="28"/>
        <v>56.361390898119708</v>
      </c>
      <c r="BA20" s="257">
        <f t="shared" si="29"/>
        <v>110.0223316628967</v>
      </c>
      <c r="BB20" s="53" t="e">
        <f t="shared" si="2"/>
        <v>#NUM!</v>
      </c>
      <c r="BC20" s="198" t="e">
        <f t="shared" si="30"/>
        <v>#NUM!</v>
      </c>
      <c r="BD20" s="211">
        <f t="shared" si="31"/>
        <v>317041.84242222662</v>
      </c>
      <c r="BE20" s="257" t="e">
        <f t="shared" si="32"/>
        <v>#NUM!</v>
      </c>
      <c r="BF20" s="4" t="e">
        <f t="shared" si="3"/>
        <v>#NUM!</v>
      </c>
      <c r="BG20" s="4" t="e">
        <f t="shared" si="33"/>
        <v>#NUM!</v>
      </c>
      <c r="BH20" s="4" t="e">
        <f t="shared" si="34"/>
        <v>#NUM!</v>
      </c>
      <c r="BI20" s="4" t="e">
        <f t="shared" si="35"/>
        <v>#NUM!</v>
      </c>
      <c r="BJ20" t="e">
        <f t="shared" si="36"/>
        <v>#NUM!</v>
      </c>
      <c r="BK20" t="e">
        <f t="shared" si="37"/>
        <v>#NUM!</v>
      </c>
      <c r="BM20" s="40"/>
    </row>
    <row r="21" spans="2:65">
      <c r="B21" s="296" t="s">
        <v>83</v>
      </c>
      <c r="C21" s="297"/>
      <c r="D21" s="297"/>
      <c r="E21" s="298"/>
      <c r="G21" s="292" t="s">
        <v>204</v>
      </c>
      <c r="H21" s="293"/>
      <c r="I21" s="293"/>
      <c r="J21" s="293"/>
      <c r="K21" s="294"/>
      <c r="N21" s="57"/>
      <c r="O21" s="252">
        <f t="shared" si="38"/>
        <v>18</v>
      </c>
      <c r="P21" s="138">
        <f t="shared" si="4"/>
        <v>6.6749999999999998</v>
      </c>
      <c r="Q21" s="146"/>
      <c r="R21" s="56">
        <f t="shared" si="43"/>
        <v>16.489025400732256</v>
      </c>
      <c r="S21" s="56">
        <f t="shared" si="6"/>
        <v>32.978050801464512</v>
      </c>
      <c r="T21" s="56">
        <f t="shared" si="7"/>
        <v>0.78052341129657477</v>
      </c>
      <c r="U21" s="56">
        <f t="shared" si="8"/>
        <v>17.26954881202883</v>
      </c>
      <c r="V21" s="56">
        <f t="shared" si="9"/>
        <v>33.75857421276109</v>
      </c>
      <c r="W21" s="154">
        <f t="shared" si="10"/>
        <v>135.8053402607147</v>
      </c>
      <c r="X21" s="149">
        <f t="shared" si="11"/>
        <v>4.5656091799549126</v>
      </c>
      <c r="Y21" s="162">
        <f t="shared" si="12"/>
        <v>7.3025987858632666</v>
      </c>
      <c r="Z21" s="4">
        <f t="shared" si="39"/>
        <v>47.151028587673842</v>
      </c>
      <c r="AA21" s="4">
        <f t="shared" si="13"/>
        <v>7.7438382624937097</v>
      </c>
      <c r="AB21" s="4">
        <f t="shared" si="14"/>
        <v>48.744846895637316</v>
      </c>
      <c r="AC21" s="14">
        <f t="shared" si="15"/>
        <v>135.8053402607147</v>
      </c>
      <c r="AE21" s="257">
        <f t="shared" si="44"/>
        <v>18</v>
      </c>
      <c r="AF21" s="202">
        <f t="shared" si="40"/>
        <v>62</v>
      </c>
      <c r="AH21">
        <f t="shared" si="16"/>
        <v>35.84783378996508</v>
      </c>
      <c r="AI21">
        <f t="shared" si="17"/>
        <v>7.249805468222867</v>
      </c>
      <c r="AJ21" s="40">
        <f t="shared" si="18"/>
        <v>43.097639258187947</v>
      </c>
      <c r="AK21" s="88">
        <f t="shared" si="0"/>
        <v>129.97724981455559</v>
      </c>
      <c r="AL21" s="199">
        <f t="shared" si="19"/>
        <v>2.3339643086407516</v>
      </c>
      <c r="AM21" s="213">
        <f t="shared" si="20"/>
        <v>142.85056515573677</v>
      </c>
      <c r="AN21">
        <f t="shared" si="21"/>
        <v>471.51028587673909</v>
      </c>
      <c r="AO21" s="215">
        <f t="shared" si="1"/>
        <v>14.285056515573652</v>
      </c>
      <c r="AP21" s="63">
        <f t="shared" si="22"/>
        <v>47.151028587673828</v>
      </c>
      <c r="AQ21" s="63">
        <f t="shared" si="23"/>
        <v>15.148191824714548</v>
      </c>
      <c r="AR21" s="63">
        <f t="shared" si="24"/>
        <v>50</v>
      </c>
      <c r="AS21" s="63">
        <f t="shared" si="25"/>
        <v>23.607215920905457</v>
      </c>
      <c r="AT21" s="63">
        <f t="shared" si="26"/>
        <v>19.49042333728249</v>
      </c>
      <c r="AV21" s="257">
        <f t="shared" si="41"/>
        <v>18</v>
      </c>
      <c r="AW21" s="202">
        <f t="shared" si="42"/>
        <v>509</v>
      </c>
      <c r="AX21" s="257"/>
      <c r="AY21" s="257">
        <f t="shared" si="27"/>
        <v>54.134355646735173</v>
      </c>
      <c r="AZ21" s="257">
        <f t="shared" si="28"/>
        <v>59.518564247184507</v>
      </c>
      <c r="BA21" s="257">
        <f t="shared" si="29"/>
        <v>113.65291989391969</v>
      </c>
      <c r="BB21" s="53" t="e">
        <f t="shared" si="2"/>
        <v>#NUM!</v>
      </c>
      <c r="BC21" s="198" t="e">
        <f t="shared" si="30"/>
        <v>#NUM!</v>
      </c>
      <c r="BD21" s="211">
        <f t="shared" si="31"/>
        <v>481555.10886823642</v>
      </c>
      <c r="BE21" s="257" t="e">
        <f t="shared" si="32"/>
        <v>#NUM!</v>
      </c>
      <c r="BF21" s="4" t="e">
        <f t="shared" si="3"/>
        <v>#NUM!</v>
      </c>
      <c r="BG21" s="4" t="e">
        <f t="shared" si="33"/>
        <v>#NUM!</v>
      </c>
      <c r="BH21" s="4" t="e">
        <f t="shared" si="34"/>
        <v>#NUM!</v>
      </c>
      <c r="BI21" s="4" t="e">
        <f t="shared" si="35"/>
        <v>#NUM!</v>
      </c>
      <c r="BJ21" t="e">
        <f t="shared" si="36"/>
        <v>#NUM!</v>
      </c>
      <c r="BK21" t="e">
        <f t="shared" si="37"/>
        <v>#NUM!</v>
      </c>
      <c r="BM21" s="40"/>
    </row>
    <row r="22" spans="2:65">
      <c r="B22" s="9">
        <v>1</v>
      </c>
      <c r="C22" s="304" t="s">
        <v>29</v>
      </c>
      <c r="D22" s="259">
        <v>120</v>
      </c>
      <c r="E22" s="254" t="s">
        <v>30</v>
      </c>
      <c r="G22" s="285">
        <v>1</v>
      </c>
      <c r="H22" s="285"/>
      <c r="I22" s="291" t="s">
        <v>15</v>
      </c>
      <c r="J22" s="125">
        <f>(4*$D$29*(D22/1000000))/POWER(RADIANS($D$10),2)</f>
        <v>36.931571437632122</v>
      </c>
      <c r="K22" s="254" t="s">
        <v>7</v>
      </c>
      <c r="N22" s="57"/>
      <c r="O22" s="252">
        <f t="shared" si="38"/>
        <v>19</v>
      </c>
      <c r="P22" s="138">
        <f t="shared" si="4"/>
        <v>7.05</v>
      </c>
      <c r="Q22" s="146"/>
      <c r="R22" s="56">
        <f t="shared" si="43"/>
        <v>16.963782339827972</v>
      </c>
      <c r="S22" s="56">
        <f t="shared" si="6"/>
        <v>33.927564679655944</v>
      </c>
      <c r="T22" s="56">
        <f t="shared" si="7"/>
        <v>0.82437304114469701</v>
      </c>
      <c r="U22" s="56">
        <f t="shared" si="8"/>
        <v>17.788155380972668</v>
      </c>
      <c r="V22" s="56">
        <f t="shared" si="9"/>
        <v>34.75193772080064</v>
      </c>
      <c r="W22" s="154">
        <f t="shared" si="10"/>
        <v>135.28673369177085</v>
      </c>
      <c r="X22" s="149">
        <f t="shared" si="11"/>
        <v>4.3009897179408254</v>
      </c>
      <c r="Y22" s="162">
        <f t="shared" si="12"/>
        <v>7.7518929922546755</v>
      </c>
      <c r="Z22" s="4">
        <f t="shared" si="39"/>
        <v>47.1510285876738</v>
      </c>
      <c r="AA22" s="4">
        <f t="shared" si="13"/>
        <v>8.2202798374171291</v>
      </c>
      <c r="AB22" s="4">
        <f t="shared" si="14"/>
        <v>54.650845595395481</v>
      </c>
      <c r="AC22" s="14">
        <f t="shared" si="15"/>
        <v>135.28673369177088</v>
      </c>
      <c r="AE22" s="257">
        <f t="shared" si="44"/>
        <v>19</v>
      </c>
      <c r="AF22" s="202">
        <f t="shared" si="40"/>
        <v>65</v>
      </c>
      <c r="AH22">
        <f t="shared" si="16"/>
        <v>36.258267132857107</v>
      </c>
      <c r="AI22">
        <f t="shared" si="17"/>
        <v>7.6006025070078449</v>
      </c>
      <c r="AJ22" s="40">
        <f t="shared" si="18"/>
        <v>43.858869639864949</v>
      </c>
      <c r="AK22" s="88">
        <f t="shared" si="0"/>
        <v>129.21601943287857</v>
      </c>
      <c r="AL22" s="199">
        <f t="shared" si="19"/>
        <v>2.138123029955683</v>
      </c>
      <c r="AM22" s="213">
        <f t="shared" si="20"/>
        <v>155.93495597377273</v>
      </c>
      <c r="AN22">
        <f t="shared" si="21"/>
        <v>471.51028587673795</v>
      </c>
      <c r="AO22" s="215">
        <f t="shared" si="1"/>
        <v>15.593495597377245</v>
      </c>
      <c r="AP22" s="63">
        <f t="shared" si="22"/>
        <v>47.151028587673707</v>
      </c>
      <c r="AQ22" s="63">
        <f t="shared" si="23"/>
        <v>16.535689744691719</v>
      </c>
      <c r="AR22" s="63">
        <f t="shared" si="24"/>
        <v>50</v>
      </c>
      <c r="AS22" s="63">
        <f t="shared" si="25"/>
        <v>24.368446302582477</v>
      </c>
      <c r="AT22" s="63">
        <f t="shared" si="26"/>
        <v>19.490423337282472</v>
      </c>
      <c r="AV22" s="257">
        <f t="shared" si="41"/>
        <v>19</v>
      </c>
      <c r="AW22" s="202">
        <f t="shared" si="42"/>
        <v>536</v>
      </c>
      <c r="AX22" s="257"/>
      <c r="AY22" s="257">
        <f t="shared" si="27"/>
        <v>54.583295793855406</v>
      </c>
      <c r="AZ22" s="257">
        <f t="shared" si="28"/>
        <v>62.675737596249306</v>
      </c>
      <c r="BA22" s="257">
        <f t="shared" si="29"/>
        <v>117.25903339010472</v>
      </c>
      <c r="BB22" s="53" t="e">
        <f t="shared" si="2"/>
        <v>#NUM!</v>
      </c>
      <c r="BC22" s="198" t="e">
        <f t="shared" si="30"/>
        <v>#NUM!</v>
      </c>
      <c r="BD22" s="211">
        <f t="shared" si="31"/>
        <v>729376.33703630057</v>
      </c>
      <c r="BE22" s="257" t="e">
        <f t="shared" si="32"/>
        <v>#NUM!</v>
      </c>
      <c r="BF22" s="4" t="e">
        <f t="shared" si="3"/>
        <v>#NUM!</v>
      </c>
      <c r="BG22" s="4" t="e">
        <f t="shared" si="33"/>
        <v>#NUM!</v>
      </c>
      <c r="BH22" s="4" t="e">
        <f t="shared" si="34"/>
        <v>#NUM!</v>
      </c>
      <c r="BI22" s="4" t="e">
        <f t="shared" si="35"/>
        <v>#NUM!</v>
      </c>
      <c r="BJ22" t="e">
        <f t="shared" si="36"/>
        <v>#NUM!</v>
      </c>
      <c r="BK22" t="e">
        <f t="shared" si="37"/>
        <v>#NUM!</v>
      </c>
      <c r="BM22" s="40"/>
    </row>
    <row r="23" spans="2:65">
      <c r="B23" s="9">
        <v>2</v>
      </c>
      <c r="C23" s="304"/>
      <c r="D23" s="259">
        <v>1200</v>
      </c>
      <c r="E23" s="254" t="s">
        <v>30</v>
      </c>
      <c r="G23" s="285">
        <v>2</v>
      </c>
      <c r="H23" s="285"/>
      <c r="I23" s="291"/>
      <c r="J23" s="125">
        <f>(4*$D$29*(D23/1000000))/POWER(RADIANS($D$10),2)</f>
        <v>369.31571437632118</v>
      </c>
      <c r="K23" s="254" t="s">
        <v>7</v>
      </c>
      <c r="N23" s="57"/>
      <c r="O23" s="252">
        <f t="shared" si="38"/>
        <v>20</v>
      </c>
      <c r="P23" s="138">
        <f t="shared" si="4"/>
        <v>7.4249999999999998</v>
      </c>
      <c r="Q23" s="146"/>
      <c r="R23" s="56">
        <f t="shared" si="43"/>
        <v>17.413929159784999</v>
      </c>
      <c r="S23" s="56">
        <f t="shared" si="6"/>
        <v>34.827858319569998</v>
      </c>
      <c r="T23" s="56">
        <f t="shared" si="7"/>
        <v>0.86822267099281925</v>
      </c>
      <c r="U23" s="56">
        <f t="shared" si="8"/>
        <v>18.282151830777817</v>
      </c>
      <c r="V23" s="56">
        <f t="shared" si="9"/>
        <v>35.69608099056282</v>
      </c>
      <c r="W23" s="154">
        <f t="shared" si="10"/>
        <v>134.79273724196571</v>
      </c>
      <c r="X23" s="149">
        <f t="shared" si="11"/>
        <v>4.0632035740231114</v>
      </c>
      <c r="Y23" s="162">
        <f t="shared" si="12"/>
        <v>8.2055480230967355</v>
      </c>
      <c r="Z23" s="4">
        <f t="shared" si="39"/>
        <v>47.151028587673842</v>
      </c>
      <c r="AA23" s="4">
        <f t="shared" si="13"/>
        <v>8.7013457276325692</v>
      </c>
      <c r="AB23" s="4">
        <f t="shared" si="14"/>
        <v>60.926194071493271</v>
      </c>
      <c r="AC23" s="14">
        <f t="shared" si="15"/>
        <v>134.79273724196571</v>
      </c>
      <c r="AE23" s="257">
        <f t="shared" si="44"/>
        <v>20</v>
      </c>
      <c r="AF23" s="202">
        <f t="shared" si="40"/>
        <v>68</v>
      </c>
      <c r="AH23">
        <f t="shared" si="16"/>
        <v>36.650178254124725</v>
      </c>
      <c r="AI23">
        <f t="shared" si="17"/>
        <v>7.9513995457928228</v>
      </c>
      <c r="AJ23" s="40">
        <f t="shared" si="18"/>
        <v>44.60157779991755</v>
      </c>
      <c r="AK23" s="88">
        <f t="shared" si="0"/>
        <v>128.47331127282598</v>
      </c>
      <c r="AL23" s="199">
        <f t="shared" si="19"/>
        <v>1.9628959699933575</v>
      </c>
      <c r="AM23" s="213">
        <f t="shared" si="20"/>
        <v>169.85521680182444</v>
      </c>
      <c r="AN23">
        <f t="shared" si="21"/>
        <v>471.51028587673824</v>
      </c>
      <c r="AO23" s="215">
        <f t="shared" si="1"/>
        <v>16.985521680182416</v>
      </c>
      <c r="AP23" s="63">
        <f t="shared" si="22"/>
        <v>47.151028587673743</v>
      </c>
      <c r="AQ23" s="63">
        <f t="shared" si="23"/>
        <v>18.011825180652348</v>
      </c>
      <c r="AR23" s="63">
        <f t="shared" si="24"/>
        <v>49.999999999999993</v>
      </c>
      <c r="AS23" s="63">
        <f t="shared" si="25"/>
        <v>25.111154462635067</v>
      </c>
      <c r="AT23" s="63">
        <f t="shared" si="26"/>
        <v>19.490423337282483</v>
      </c>
      <c r="AV23" s="257">
        <f t="shared" si="41"/>
        <v>20</v>
      </c>
      <c r="AW23" s="202">
        <f t="shared" si="42"/>
        <v>563</v>
      </c>
      <c r="AX23" s="257"/>
      <c r="AY23" s="257">
        <f t="shared" si="27"/>
        <v>55.010167897026925</v>
      </c>
      <c r="AZ23" s="257">
        <f t="shared" si="28"/>
        <v>65.832910945314097</v>
      </c>
      <c r="BA23" s="257">
        <f t="shared" si="29"/>
        <v>120.84307884234101</v>
      </c>
      <c r="BB23" s="53" t="e">
        <f t="shared" si="2"/>
        <v>#NUM!</v>
      </c>
      <c r="BC23" s="198" t="e">
        <f t="shared" si="30"/>
        <v>#NUM!</v>
      </c>
      <c r="BD23" s="211">
        <f t="shared" si="31"/>
        <v>1101929.8356885989</v>
      </c>
      <c r="BE23" s="257" t="e">
        <f t="shared" si="32"/>
        <v>#NUM!</v>
      </c>
      <c r="BF23" s="4" t="e">
        <f t="shared" si="3"/>
        <v>#NUM!</v>
      </c>
      <c r="BG23" s="4" t="e">
        <f t="shared" si="33"/>
        <v>#NUM!</v>
      </c>
      <c r="BH23" s="4" t="e">
        <f t="shared" si="34"/>
        <v>#NUM!</v>
      </c>
      <c r="BI23" s="4" t="e">
        <f t="shared" si="35"/>
        <v>#NUM!</v>
      </c>
      <c r="BJ23" t="e">
        <f t="shared" si="36"/>
        <v>#NUM!</v>
      </c>
      <c r="BK23" t="e">
        <f t="shared" si="37"/>
        <v>#NUM!</v>
      </c>
      <c r="BM23" s="40"/>
    </row>
    <row r="24" spans="2:65">
      <c r="B24" s="9">
        <v>3</v>
      </c>
      <c r="C24" s="304"/>
      <c r="D24" s="259">
        <v>0</v>
      </c>
      <c r="E24" s="254" t="s">
        <v>30</v>
      </c>
      <c r="G24" s="285">
        <v>3</v>
      </c>
      <c r="H24" s="285"/>
      <c r="I24" s="291"/>
      <c r="J24" s="125">
        <f>(4*$D$29*(D24/1000000))/POWER(RADIANS($D$10),2)</f>
        <v>0</v>
      </c>
      <c r="K24" s="254" t="s">
        <v>7</v>
      </c>
      <c r="N24" s="57"/>
      <c r="O24" s="252">
        <f t="shared" si="38"/>
        <v>21</v>
      </c>
      <c r="P24" s="138">
        <f t="shared" si="4"/>
        <v>7.8</v>
      </c>
      <c r="Q24" s="146"/>
      <c r="R24" s="56">
        <f t="shared" si="43"/>
        <v>17.841892053809609</v>
      </c>
      <c r="S24" s="56">
        <f t="shared" si="6"/>
        <v>35.683784107619218</v>
      </c>
      <c r="T24" s="56">
        <f t="shared" si="7"/>
        <v>0.91207230084094126</v>
      </c>
      <c r="U24" s="56">
        <f t="shared" si="8"/>
        <v>18.753964354650549</v>
      </c>
      <c r="V24" s="56">
        <f t="shared" si="9"/>
        <v>36.595856408460158</v>
      </c>
      <c r="W24" s="154">
        <f t="shared" si="10"/>
        <v>134.32092471809298</v>
      </c>
      <c r="X24" s="149">
        <f t="shared" si="11"/>
        <v>3.8483800591808701</v>
      </c>
      <c r="Y24" s="162">
        <f t="shared" si="12"/>
        <v>8.6635965111412503</v>
      </c>
      <c r="Z24" s="4">
        <f t="shared" si="39"/>
        <v>47.151028587673864</v>
      </c>
      <c r="AA24" s="4">
        <f t="shared" si="13"/>
        <v>9.1870705376362451</v>
      </c>
      <c r="AB24" s="4">
        <f t="shared" si="14"/>
        <v>67.576052786901784</v>
      </c>
      <c r="AC24" s="14">
        <f t="shared" si="15"/>
        <v>134.32092471809301</v>
      </c>
      <c r="AE24" s="257">
        <f t="shared" si="44"/>
        <v>21</v>
      </c>
      <c r="AF24" s="202">
        <f t="shared" si="40"/>
        <v>71</v>
      </c>
      <c r="AH24">
        <f t="shared" si="16"/>
        <v>37.025166974381506</v>
      </c>
      <c r="AI24">
        <f t="shared" si="17"/>
        <v>8.3021965845777981</v>
      </c>
      <c r="AJ24" s="40">
        <f t="shared" si="18"/>
        <v>45.327363558959306</v>
      </c>
      <c r="AK24" s="88">
        <f t="shared" si="0"/>
        <v>127.74752551378425</v>
      </c>
      <c r="AL24" s="199">
        <f t="shared" si="19"/>
        <v>1.8055436634079258</v>
      </c>
      <c r="AM24" s="213">
        <f t="shared" si="20"/>
        <v>184.65802145894915</v>
      </c>
      <c r="AN24">
        <f t="shared" si="21"/>
        <v>471.51028587674</v>
      </c>
      <c r="AO24" s="215">
        <f t="shared" si="1"/>
        <v>18.465802145894884</v>
      </c>
      <c r="AP24" s="63">
        <f t="shared" si="22"/>
        <v>47.15102858767392</v>
      </c>
      <c r="AQ24" s="63">
        <f t="shared" si="23"/>
        <v>19.581547528235852</v>
      </c>
      <c r="AR24" s="63">
        <f t="shared" si="24"/>
        <v>50.000000000000007</v>
      </c>
      <c r="AS24" s="63">
        <f t="shared" si="25"/>
        <v>25.836940221676791</v>
      </c>
      <c r="AT24" s="63">
        <f t="shared" si="26"/>
        <v>19.490423337282515</v>
      </c>
      <c r="AV24" s="257">
        <f t="shared" si="41"/>
        <v>21</v>
      </c>
      <c r="AW24" s="202">
        <f t="shared" si="42"/>
        <v>590</v>
      </c>
      <c r="AX24" s="257"/>
      <c r="AY24" s="257">
        <f t="shared" si="27"/>
        <v>55.417040232842886</v>
      </c>
      <c r="AZ24" s="257">
        <f t="shared" si="28"/>
        <v>68.990084294378889</v>
      </c>
      <c r="BA24" s="257">
        <f t="shared" si="29"/>
        <v>124.40712452722178</v>
      </c>
      <c r="BB24" s="53" t="e">
        <f t="shared" si="2"/>
        <v>#NUM!</v>
      </c>
      <c r="BC24" s="198" t="e">
        <f t="shared" si="30"/>
        <v>#NUM!</v>
      </c>
      <c r="BD24" s="211">
        <f t="shared" si="31"/>
        <v>1660948.7279409645</v>
      </c>
      <c r="BE24" s="257" t="e">
        <f t="shared" si="32"/>
        <v>#NUM!</v>
      </c>
      <c r="BF24" s="4" t="e">
        <f t="shared" si="3"/>
        <v>#NUM!</v>
      </c>
      <c r="BG24" s="4" t="e">
        <f t="shared" si="33"/>
        <v>#NUM!</v>
      </c>
      <c r="BH24" s="4" t="e">
        <f t="shared" si="34"/>
        <v>#NUM!</v>
      </c>
      <c r="BI24" s="4" t="e">
        <f t="shared" si="35"/>
        <v>#NUM!</v>
      </c>
      <c r="BJ24" t="e">
        <f t="shared" si="36"/>
        <v>#NUM!</v>
      </c>
      <c r="BK24" t="e">
        <f t="shared" si="37"/>
        <v>#NUM!</v>
      </c>
      <c r="BM24" s="40"/>
    </row>
    <row r="25" spans="2:65">
      <c r="B25" s="296" t="s">
        <v>185</v>
      </c>
      <c r="C25" s="297"/>
      <c r="D25" s="297"/>
      <c r="E25" s="298"/>
      <c r="G25" s="288" t="s">
        <v>66</v>
      </c>
      <c r="H25" s="288"/>
      <c r="I25" s="288"/>
      <c r="J25" s="288"/>
      <c r="K25" s="288"/>
      <c r="N25" s="57"/>
      <c r="O25" s="252">
        <f t="shared" si="38"/>
        <v>22</v>
      </c>
      <c r="P25" s="138">
        <f t="shared" si="4"/>
        <v>8.1750000000000007</v>
      </c>
      <c r="Q25" s="146"/>
      <c r="R25" s="56">
        <f t="shared" si="43"/>
        <v>18.249755226646474</v>
      </c>
      <c r="S25" s="56">
        <f t="shared" si="6"/>
        <v>36.499510453292949</v>
      </c>
      <c r="T25" s="56">
        <f t="shared" si="7"/>
        <v>0.9559219306890635</v>
      </c>
      <c r="U25" s="56">
        <f t="shared" si="8"/>
        <v>19.205677157335536</v>
      </c>
      <c r="V25" s="56">
        <f t="shared" si="9"/>
        <v>37.455432383982014</v>
      </c>
      <c r="W25" s="154">
        <f t="shared" si="10"/>
        <v>133.86921191540799</v>
      </c>
      <c r="X25" s="149">
        <f t="shared" si="11"/>
        <v>3.6533587049592802</v>
      </c>
      <c r="Y25" s="162">
        <f t="shared" si="12"/>
        <v>9.1260713077547368</v>
      </c>
      <c r="Z25" s="4">
        <f t="shared" si="39"/>
        <v>47.151028587673785</v>
      </c>
      <c r="AA25" s="4">
        <f t="shared" si="13"/>
        <v>9.6774891037482735</v>
      </c>
      <c r="AB25" s="4">
        <f t="shared" si="14"/>
        <v>74.605632940895077</v>
      </c>
      <c r="AC25" s="14">
        <f t="shared" si="15"/>
        <v>133.86921191540802</v>
      </c>
      <c r="AE25" s="257">
        <f t="shared" si="44"/>
        <v>22</v>
      </c>
      <c r="AF25" s="202">
        <f t="shared" si="40"/>
        <v>74</v>
      </c>
      <c r="AH25">
        <f t="shared" si="16"/>
        <v>37.384634394619525</v>
      </c>
      <c r="AI25">
        <f t="shared" si="17"/>
        <v>8.6529936233627769</v>
      </c>
      <c r="AJ25" s="40">
        <f t="shared" si="18"/>
        <v>46.0376280179823</v>
      </c>
      <c r="AK25" s="88">
        <f t="shared" si="0"/>
        <v>127.03726105476126</v>
      </c>
      <c r="AL25" s="199">
        <f t="shared" si="19"/>
        <v>1.6637756826733265</v>
      </c>
      <c r="AM25" s="213">
        <f t="shared" si="20"/>
        <v>200.3924711815331</v>
      </c>
      <c r="AN25">
        <f t="shared" si="21"/>
        <v>471.5102858767396</v>
      </c>
      <c r="AO25" s="215">
        <f t="shared" si="1"/>
        <v>20.039247118153273</v>
      </c>
      <c r="AP25" s="63">
        <f t="shared" si="22"/>
        <v>47.151028587673871</v>
      </c>
      <c r="AQ25" s="63">
        <f t="shared" si="23"/>
        <v>21.250063591817266</v>
      </c>
      <c r="AR25" s="63">
        <f t="shared" si="24"/>
        <v>50</v>
      </c>
      <c r="AS25" s="63">
        <f t="shared" si="25"/>
        <v>26.547204680699792</v>
      </c>
      <c r="AT25" s="63">
        <f t="shared" si="26"/>
        <v>19.490423337282508</v>
      </c>
      <c r="AV25" s="257">
        <f t="shared" si="41"/>
        <v>22</v>
      </c>
      <c r="AW25" s="202">
        <f t="shared" si="42"/>
        <v>617</v>
      </c>
      <c r="AX25" s="257"/>
      <c r="AY25" s="257">
        <f t="shared" si="27"/>
        <v>55.805703280664829</v>
      </c>
      <c r="AZ25" s="257">
        <f t="shared" si="28"/>
        <v>72.147257643443695</v>
      </c>
      <c r="BA25" s="257">
        <f t="shared" si="29"/>
        <v>127.95296092410852</v>
      </c>
      <c r="BB25" s="53" t="e">
        <f t="shared" si="2"/>
        <v>#NUM!</v>
      </c>
      <c r="BC25" s="198" t="e">
        <f t="shared" si="30"/>
        <v>#NUM!</v>
      </c>
      <c r="BD25" s="211">
        <f t="shared" si="31"/>
        <v>2498319.8937461404</v>
      </c>
      <c r="BE25" s="257" t="e">
        <f t="shared" si="32"/>
        <v>#NUM!</v>
      </c>
      <c r="BF25" s="4" t="e">
        <f t="shared" si="3"/>
        <v>#NUM!</v>
      </c>
      <c r="BG25" s="4" t="e">
        <f t="shared" si="33"/>
        <v>#NUM!</v>
      </c>
      <c r="BH25" s="4" t="e">
        <f t="shared" si="34"/>
        <v>#NUM!</v>
      </c>
      <c r="BI25" s="4" t="e">
        <f t="shared" si="35"/>
        <v>#NUM!</v>
      </c>
      <c r="BJ25" t="e">
        <f t="shared" si="36"/>
        <v>#NUM!</v>
      </c>
      <c r="BK25" t="e">
        <f t="shared" si="37"/>
        <v>#NUM!</v>
      </c>
      <c r="BM25" s="40"/>
    </row>
    <row r="26" spans="2:65">
      <c r="B26" s="9">
        <v>1</v>
      </c>
      <c r="C26" s="304" t="s">
        <v>186</v>
      </c>
      <c r="D26" s="258">
        <v>20</v>
      </c>
      <c r="E26" s="254" t="s">
        <v>3</v>
      </c>
      <c r="G26" s="285">
        <v>1</v>
      </c>
      <c r="H26" s="285"/>
      <c r="I26" s="305" t="s">
        <v>46</v>
      </c>
      <c r="J26" s="126">
        <f>D26/POWER(2,0.5)</f>
        <v>14.142135623730949</v>
      </c>
      <c r="K26" s="254" t="s">
        <v>3</v>
      </c>
      <c r="N26" s="57"/>
      <c r="O26" s="252">
        <f t="shared" si="38"/>
        <v>23</v>
      </c>
      <c r="P26" s="138">
        <f t="shared" si="4"/>
        <v>8.5500000000000007</v>
      </c>
      <c r="Q26" s="146"/>
      <c r="R26" s="56">
        <f t="shared" si="43"/>
        <v>18.639322294563453</v>
      </c>
      <c r="S26" s="56">
        <f t="shared" si="6"/>
        <v>37.278644589126905</v>
      </c>
      <c r="T26" s="56">
        <f t="shared" si="7"/>
        <v>0.99977156053718574</v>
      </c>
      <c r="U26" s="56">
        <f t="shared" si="8"/>
        <v>19.63909385510064</v>
      </c>
      <c r="V26" s="56">
        <f t="shared" si="9"/>
        <v>38.278416149664089</v>
      </c>
      <c r="W26" s="154">
        <f t="shared" si="10"/>
        <v>133.43579521764289</v>
      </c>
      <c r="X26" s="149">
        <f t="shared" si="11"/>
        <v>3.475533513333922</v>
      </c>
      <c r="Y26" s="162">
        <f t="shared" si="12"/>
        <v>9.5930054842954409</v>
      </c>
      <c r="Z26" s="4">
        <f t="shared" si="39"/>
        <v>47.151028587673821</v>
      </c>
      <c r="AA26" s="4">
        <f t="shared" si="13"/>
        <v>10.172636495572903</v>
      </c>
      <c r="AB26" s="4">
        <f t="shared" si="14"/>
        <v>82.020196890726027</v>
      </c>
      <c r="AC26" s="14">
        <f t="shared" si="15"/>
        <v>133.43579521764292</v>
      </c>
      <c r="AE26" s="257">
        <f t="shared" si="44"/>
        <v>23</v>
      </c>
      <c r="AF26" s="202">
        <f t="shared" si="40"/>
        <v>77</v>
      </c>
      <c r="AH26">
        <f t="shared" si="16"/>
        <v>37.729814503449639</v>
      </c>
      <c r="AI26">
        <f t="shared" si="17"/>
        <v>9.0037906621477539</v>
      </c>
      <c r="AJ26" s="40">
        <f t="shared" si="18"/>
        <v>46.733605165597396</v>
      </c>
      <c r="AK26" s="88">
        <f t="shared" si="0"/>
        <v>126.34128390714615</v>
      </c>
      <c r="AL26" s="199">
        <f t="shared" si="19"/>
        <v>1.5356629805832029</v>
      </c>
      <c r="AM26" s="213">
        <f t="shared" si="20"/>
        <v>217.11021543023102</v>
      </c>
      <c r="AN26">
        <f t="shared" si="21"/>
        <v>471.5102858767392</v>
      </c>
      <c r="AO26" s="215">
        <f t="shared" si="1"/>
        <v>21.711021543023065</v>
      </c>
      <c r="AP26" s="63">
        <f t="shared" si="22"/>
        <v>47.151028587673835</v>
      </c>
      <c r="AQ26" s="63">
        <f t="shared" si="23"/>
        <v>23.022850395143585</v>
      </c>
      <c r="AR26" s="63">
        <f t="shared" si="24"/>
        <v>49.999999999999993</v>
      </c>
      <c r="AS26" s="63">
        <f t="shared" si="25"/>
        <v>27.243181828314892</v>
      </c>
      <c r="AT26" s="63">
        <f t="shared" si="26"/>
        <v>19.490423337282504</v>
      </c>
      <c r="AV26" s="257">
        <f t="shared" si="41"/>
        <v>23</v>
      </c>
      <c r="AW26" s="202">
        <f t="shared" si="42"/>
        <v>644</v>
      </c>
      <c r="AX26" s="257"/>
      <c r="AY26" s="257">
        <f t="shared" si="27"/>
        <v>56.177717347196243</v>
      </c>
      <c r="AZ26" s="257">
        <f t="shared" si="28"/>
        <v>75.3044309925085</v>
      </c>
      <c r="BA26" s="257">
        <f t="shared" si="29"/>
        <v>131.48214833970474</v>
      </c>
      <c r="BB26" s="53" t="e">
        <f t="shared" si="2"/>
        <v>#NUM!</v>
      </c>
      <c r="BC26" s="198" t="e">
        <f t="shared" si="30"/>
        <v>#NUM!</v>
      </c>
      <c r="BD26" s="211">
        <f t="shared" si="31"/>
        <v>3750657.5831932058</v>
      </c>
      <c r="BE26" s="257" t="e">
        <f t="shared" si="32"/>
        <v>#NUM!</v>
      </c>
      <c r="BF26" s="4" t="e">
        <f t="shared" si="3"/>
        <v>#NUM!</v>
      </c>
      <c r="BG26" s="4" t="e">
        <f t="shared" si="33"/>
        <v>#NUM!</v>
      </c>
      <c r="BH26" s="4" t="e">
        <f t="shared" si="34"/>
        <v>#NUM!</v>
      </c>
      <c r="BI26" s="4" t="e">
        <f t="shared" si="35"/>
        <v>#NUM!</v>
      </c>
      <c r="BJ26" t="e">
        <f t="shared" si="36"/>
        <v>#NUM!</v>
      </c>
      <c r="BK26" t="e">
        <f t="shared" si="37"/>
        <v>#NUM!</v>
      </c>
      <c r="BM26" s="40"/>
    </row>
    <row r="27" spans="2:65">
      <c r="B27" s="9">
        <v>2</v>
      </c>
      <c r="C27" s="304"/>
      <c r="D27" s="258">
        <v>200</v>
      </c>
      <c r="E27" s="254" t="s">
        <v>3</v>
      </c>
      <c r="G27" s="285">
        <v>2</v>
      </c>
      <c r="H27" s="285"/>
      <c r="I27" s="306"/>
      <c r="J27" s="126">
        <f>D27/POWER(2,0.5)</f>
        <v>141.42135623730948</v>
      </c>
      <c r="K27" s="254" t="s">
        <v>3</v>
      </c>
      <c r="N27" s="57"/>
      <c r="O27" s="252">
        <f t="shared" si="38"/>
        <v>24</v>
      </c>
      <c r="P27" s="138">
        <f t="shared" si="4"/>
        <v>8.9250000000000007</v>
      </c>
      <c r="Q27" s="146"/>
      <c r="R27" s="56">
        <f t="shared" si="43"/>
        <v>19.012164495684615</v>
      </c>
      <c r="S27" s="56">
        <f t="shared" si="6"/>
        <v>38.024328991369231</v>
      </c>
      <c r="T27" s="56">
        <f t="shared" si="7"/>
        <v>1.0436211903853079</v>
      </c>
      <c r="U27" s="56">
        <f t="shared" si="8"/>
        <v>20.055785686069925</v>
      </c>
      <c r="V27" s="56">
        <f t="shared" si="9"/>
        <v>39.06795018175454</v>
      </c>
      <c r="W27" s="154">
        <f t="shared" si="10"/>
        <v>133.01910338667361</v>
      </c>
      <c r="X27" s="149">
        <f t="shared" si="11"/>
        <v>3.3127364713152074</v>
      </c>
      <c r="Y27" s="162">
        <f t="shared" si="12"/>
        <v>10.064432333498624</v>
      </c>
      <c r="Z27" s="4">
        <f t="shared" si="39"/>
        <v>47.151028587673807</v>
      </c>
      <c r="AA27" s="4">
        <f t="shared" si="13"/>
        <v>10.67254801746749</v>
      </c>
      <c r="AB27" s="4">
        <f t="shared" si="14"/>
        <v>89.825058576475243</v>
      </c>
      <c r="AC27" s="14">
        <f t="shared" si="15"/>
        <v>133.01910338667361</v>
      </c>
      <c r="AE27" s="257">
        <f t="shared" si="44"/>
        <v>24</v>
      </c>
      <c r="AF27" s="202">
        <f t="shared" si="40"/>
        <v>80</v>
      </c>
      <c r="AH27">
        <f t="shared" si="16"/>
        <v>38.061799739838868</v>
      </c>
      <c r="AI27">
        <f t="shared" si="17"/>
        <v>9.3545877009327327</v>
      </c>
      <c r="AJ27" s="40">
        <f t="shared" si="18"/>
        <v>47.416387440771601</v>
      </c>
      <c r="AK27" s="88">
        <f t="shared" si="0"/>
        <v>125.65850163197196</v>
      </c>
      <c r="AL27" s="199">
        <f t="shared" si="19"/>
        <v>1.4195699626449643</v>
      </c>
      <c r="AM27" s="213">
        <f t="shared" si="20"/>
        <v>234.86557853157117</v>
      </c>
      <c r="AN27">
        <f t="shared" si="21"/>
        <v>471.51028587673994</v>
      </c>
      <c r="AO27" s="215">
        <f t="shared" si="1"/>
        <v>23.486557853157077</v>
      </c>
      <c r="AP27" s="63">
        <f t="shared" si="22"/>
        <v>47.151028587673913</v>
      </c>
      <c r="AQ27" s="63">
        <f t="shared" si="23"/>
        <v>24.905668610691631</v>
      </c>
      <c r="AR27" s="63">
        <f t="shared" si="24"/>
        <v>50</v>
      </c>
      <c r="AS27" s="63">
        <f t="shared" si="25"/>
        <v>27.925964103489093</v>
      </c>
      <c r="AT27" s="63">
        <f t="shared" si="26"/>
        <v>19.490423337282508</v>
      </c>
      <c r="AV27" s="257">
        <f t="shared" si="41"/>
        <v>24</v>
      </c>
      <c r="AW27" s="202">
        <f t="shared" si="42"/>
        <v>671</v>
      </c>
      <c r="AX27" s="257"/>
      <c r="AY27" s="257">
        <f t="shared" si="27"/>
        <v>56.534450403379843</v>
      </c>
      <c r="AZ27" s="257">
        <f t="shared" si="28"/>
        <v>78.461604341573292</v>
      </c>
      <c r="BA27" s="257">
        <f t="shared" si="29"/>
        <v>134.99605474495314</v>
      </c>
      <c r="BB27" s="53" t="e">
        <f t="shared" si="2"/>
        <v>#NUM!</v>
      </c>
      <c r="BC27" s="198" t="e">
        <f t="shared" si="30"/>
        <v>#NUM!</v>
      </c>
      <c r="BD27" s="211">
        <f t="shared" si="31"/>
        <v>5620859.5973388813</v>
      </c>
      <c r="BE27" s="257" t="e">
        <f t="shared" si="32"/>
        <v>#NUM!</v>
      </c>
      <c r="BF27" s="4" t="e">
        <f t="shared" si="3"/>
        <v>#NUM!</v>
      </c>
      <c r="BG27" s="4" t="e">
        <f t="shared" si="33"/>
        <v>#NUM!</v>
      </c>
      <c r="BH27" s="4" t="e">
        <f t="shared" si="34"/>
        <v>#NUM!</v>
      </c>
      <c r="BI27" s="4" t="e">
        <f t="shared" si="35"/>
        <v>#NUM!</v>
      </c>
      <c r="BJ27" t="e">
        <f t="shared" si="36"/>
        <v>#NUM!</v>
      </c>
      <c r="BK27" t="e">
        <f t="shared" si="37"/>
        <v>#NUM!</v>
      </c>
      <c r="BM27" s="40"/>
    </row>
    <row r="28" spans="2:65">
      <c r="B28" s="9">
        <v>3</v>
      </c>
      <c r="C28" s="304"/>
      <c r="D28" s="259">
        <v>0</v>
      </c>
      <c r="E28" s="254" t="s">
        <v>3</v>
      </c>
      <c r="G28" s="285">
        <v>3</v>
      </c>
      <c r="H28" s="285"/>
      <c r="I28" s="307"/>
      <c r="J28" s="126">
        <f>D28/POWER(2,0.5)</f>
        <v>0</v>
      </c>
      <c r="K28" s="254" t="s">
        <v>3</v>
      </c>
      <c r="N28" s="57"/>
      <c r="O28" s="252">
        <f t="shared" si="38"/>
        <v>25</v>
      </c>
      <c r="P28" s="138">
        <f t="shared" si="4"/>
        <v>9.3000000000000007</v>
      </c>
      <c r="Q28" s="146"/>
      <c r="R28" s="56">
        <f t="shared" si="43"/>
        <v>19.369658971078703</v>
      </c>
      <c r="S28" s="56">
        <f t="shared" si="6"/>
        <v>38.739317942157406</v>
      </c>
      <c r="T28" s="56">
        <f t="shared" si="7"/>
        <v>1.0874708202334302</v>
      </c>
      <c r="U28" s="56">
        <f t="shared" si="8"/>
        <v>20.457129791312134</v>
      </c>
      <c r="V28" s="56">
        <f t="shared" si="9"/>
        <v>39.826788762390834</v>
      </c>
      <c r="W28" s="154">
        <f t="shared" si="10"/>
        <v>132.6177592814314</v>
      </c>
      <c r="X28" s="149">
        <f t="shared" si="11"/>
        <v>3.1631492475034633</v>
      </c>
      <c r="Y28" s="162">
        <f t="shared" si="12"/>
        <v>10.54038537087032</v>
      </c>
      <c r="Z28" s="4">
        <f t="shared" si="39"/>
        <v>47.151028587673885</v>
      </c>
      <c r="AA28" s="4">
        <f t="shared" si="13"/>
        <v>11.177259210020475</v>
      </c>
      <c r="AB28" s="4">
        <f t="shared" si="14"/>
        <v>98.025583949093942</v>
      </c>
      <c r="AC28" s="14">
        <f t="shared" si="15"/>
        <v>132.6177592814314</v>
      </c>
      <c r="AE28" s="257">
        <f t="shared" si="44"/>
        <v>25</v>
      </c>
      <c r="AF28" s="202">
        <f t="shared" si="40"/>
        <v>83</v>
      </c>
      <c r="AH28">
        <f t="shared" si="16"/>
        <v>38.381561847521482</v>
      </c>
      <c r="AI28">
        <f t="shared" si="17"/>
        <v>9.7053847397177098</v>
      </c>
      <c r="AJ28" s="40">
        <f t="shared" si="18"/>
        <v>48.08694658723919</v>
      </c>
      <c r="AK28" s="88">
        <f t="shared" si="0"/>
        <v>124.98794248550435</v>
      </c>
      <c r="AL28" s="199">
        <f t="shared" si="19"/>
        <v>1.3141012972017363</v>
      </c>
      <c r="AM28" s="213">
        <f t="shared" si="20"/>
        <v>253.71569242996173</v>
      </c>
      <c r="AN28">
        <f t="shared" si="21"/>
        <v>471.51028587673858</v>
      </c>
      <c r="AO28" s="215">
        <f t="shared" si="1"/>
        <v>25.371569242996131</v>
      </c>
      <c r="AP28" s="63">
        <f t="shared" si="22"/>
        <v>47.151028587673778</v>
      </c>
      <c r="AQ28" s="63">
        <f t="shared" si="23"/>
        <v>26.904576636986416</v>
      </c>
      <c r="AR28" s="63">
        <f t="shared" si="24"/>
        <v>50</v>
      </c>
      <c r="AS28" s="63">
        <f t="shared" si="25"/>
        <v>28.5965232499567</v>
      </c>
      <c r="AT28" s="63">
        <f t="shared" si="26"/>
        <v>19.49042333728249</v>
      </c>
      <c r="AV28" s="257">
        <f t="shared" si="41"/>
        <v>25</v>
      </c>
      <c r="AW28" s="202">
        <f t="shared" si="42"/>
        <v>698</v>
      </c>
      <c r="AX28" s="257"/>
      <c r="AY28" s="257">
        <f t="shared" si="27"/>
        <v>56.877108452463219</v>
      </c>
      <c r="AZ28" s="257">
        <f t="shared" si="28"/>
        <v>81.618777690638083</v>
      </c>
      <c r="BA28" s="257">
        <f t="shared" si="29"/>
        <v>138.4958861431013</v>
      </c>
      <c r="BB28" s="53" t="e">
        <f t="shared" si="2"/>
        <v>#NUM!</v>
      </c>
      <c r="BC28" s="198" t="e">
        <f t="shared" si="30"/>
        <v>#NUM!</v>
      </c>
      <c r="BD28" s="211">
        <f t="shared" si="31"/>
        <v>8409967.29993283</v>
      </c>
      <c r="BE28" s="257" t="e">
        <f t="shared" si="32"/>
        <v>#NUM!</v>
      </c>
      <c r="BF28" s="4" t="e">
        <f t="shared" si="3"/>
        <v>#NUM!</v>
      </c>
      <c r="BG28" s="4" t="e">
        <f t="shared" si="33"/>
        <v>#NUM!</v>
      </c>
      <c r="BH28" s="4" t="e">
        <f t="shared" si="34"/>
        <v>#NUM!</v>
      </c>
      <c r="BI28" s="4" t="e">
        <f t="shared" si="35"/>
        <v>#NUM!</v>
      </c>
      <c r="BJ28" t="e">
        <f t="shared" si="36"/>
        <v>#NUM!</v>
      </c>
      <c r="BK28" t="e">
        <f t="shared" si="37"/>
        <v>#NUM!</v>
      </c>
      <c r="BM28" s="40"/>
    </row>
    <row r="29" spans="2:65">
      <c r="B29" s="119" t="s">
        <v>80</v>
      </c>
      <c r="C29" s="254" t="s">
        <v>81</v>
      </c>
      <c r="D29" s="258">
        <v>1500</v>
      </c>
      <c r="E29" s="254" t="s">
        <v>82</v>
      </c>
      <c r="G29" s="288" t="s">
        <v>74</v>
      </c>
      <c r="H29" s="288"/>
      <c r="I29" s="288"/>
      <c r="J29" s="288"/>
      <c r="K29" s="288"/>
      <c r="N29" s="57"/>
      <c r="O29" s="252">
        <f t="shared" si="38"/>
        <v>26</v>
      </c>
      <c r="P29" s="138">
        <f t="shared" si="4"/>
        <v>9.6750000000000007</v>
      </c>
      <c r="Q29" s="146"/>
      <c r="R29" s="56">
        <f t="shared" si="43"/>
        <v>19.713019473818981</v>
      </c>
      <c r="S29" s="56">
        <f t="shared" si="6"/>
        <v>39.426038947637963</v>
      </c>
      <c r="T29" s="56">
        <f t="shared" si="7"/>
        <v>1.1313204500815524</v>
      </c>
      <c r="U29" s="56">
        <f t="shared" si="8"/>
        <v>20.844339923900534</v>
      </c>
      <c r="V29" s="56">
        <f t="shared" si="9"/>
        <v>40.557359397719516</v>
      </c>
      <c r="W29" s="154">
        <f t="shared" si="10"/>
        <v>132.23054914884301</v>
      </c>
      <c r="X29" s="149">
        <f t="shared" si="11"/>
        <v>3.0252354243288795</v>
      </c>
      <c r="Y29" s="162">
        <f t="shared" si="12"/>
        <v>11.02089833608944</v>
      </c>
      <c r="Z29" s="4">
        <f t="shared" si="39"/>
        <v>47.151028587673913</v>
      </c>
      <c r="AA29" s="4">
        <f t="shared" si="13"/>
        <v>11.686805851538212</v>
      </c>
      <c r="AB29" s="4">
        <f t="shared" si="14"/>
        <v>106.62719140166548</v>
      </c>
      <c r="AC29" s="14">
        <f t="shared" si="15"/>
        <v>132.23054914884301</v>
      </c>
      <c r="AE29" s="257">
        <f t="shared" si="44"/>
        <v>26</v>
      </c>
      <c r="AF29" s="202">
        <f t="shared" si="40"/>
        <v>86</v>
      </c>
      <c r="AH29">
        <f t="shared" si="16"/>
        <v>38.689969024871353</v>
      </c>
      <c r="AI29">
        <f t="shared" si="17"/>
        <v>10.056181778502687</v>
      </c>
      <c r="AJ29" s="40">
        <f t="shared" si="18"/>
        <v>48.746150803374036</v>
      </c>
      <c r="AK29" s="88">
        <f t="shared" si="0"/>
        <v>124.32873826936951</v>
      </c>
      <c r="AL29" s="199">
        <f t="shared" si="19"/>
        <v>1.2180598642887197</v>
      </c>
      <c r="AM29" s="213">
        <f t="shared" si="20"/>
        <v>273.72063583865167</v>
      </c>
      <c r="AN29">
        <f t="shared" si="21"/>
        <v>471.51028587673954</v>
      </c>
      <c r="AO29" s="215">
        <f t="shared" si="1"/>
        <v>27.372063583865121</v>
      </c>
      <c r="AP29" s="63">
        <f t="shared" si="22"/>
        <v>47.151028587673871</v>
      </c>
      <c r="AQ29" s="63">
        <f t="shared" si="23"/>
        <v>29.02594535447809</v>
      </c>
      <c r="AR29" s="63">
        <f t="shared" si="24"/>
        <v>50</v>
      </c>
      <c r="AS29" s="63">
        <f t="shared" si="25"/>
        <v>29.255727466091535</v>
      </c>
      <c r="AT29" s="63">
        <f t="shared" si="26"/>
        <v>19.4904233372825</v>
      </c>
      <c r="AV29" s="257">
        <f t="shared" si="41"/>
        <v>26</v>
      </c>
      <c r="AW29" s="202">
        <f t="shared" si="42"/>
        <v>725</v>
      </c>
      <c r="AX29" s="257"/>
      <c r="AY29" s="257">
        <f t="shared" si="27"/>
        <v>57.20676013141987</v>
      </c>
      <c r="AZ29" s="257">
        <f t="shared" si="28"/>
        <v>84.775951039702875</v>
      </c>
      <c r="BA29" s="257">
        <f t="shared" si="29"/>
        <v>141.98271117112273</v>
      </c>
      <c r="BB29" s="53" t="e">
        <f t="shared" si="2"/>
        <v>#NUM!</v>
      </c>
      <c r="BC29" s="198" t="e">
        <f t="shared" si="30"/>
        <v>#NUM!</v>
      </c>
      <c r="BD29" s="211">
        <f t="shared" si="31"/>
        <v>12564220.75939312</v>
      </c>
      <c r="BE29" s="257" t="e">
        <f t="shared" si="32"/>
        <v>#NUM!</v>
      </c>
      <c r="BF29" s="4" t="e">
        <f t="shared" si="3"/>
        <v>#NUM!</v>
      </c>
      <c r="BG29" s="4" t="e">
        <f t="shared" si="33"/>
        <v>#NUM!</v>
      </c>
      <c r="BH29" s="4" t="e">
        <f t="shared" si="34"/>
        <v>#NUM!</v>
      </c>
      <c r="BI29" s="4" t="e">
        <f t="shared" si="35"/>
        <v>#NUM!</v>
      </c>
      <c r="BJ29" t="e">
        <f t="shared" si="36"/>
        <v>#NUM!</v>
      </c>
      <c r="BK29" t="e">
        <f t="shared" si="37"/>
        <v>#NUM!</v>
      </c>
      <c r="BM29" s="40"/>
    </row>
    <row r="30" spans="2:65">
      <c r="B30" s="119" t="s">
        <v>187</v>
      </c>
      <c r="C30" s="30" t="s">
        <v>188</v>
      </c>
      <c r="D30" s="258">
        <v>1000</v>
      </c>
      <c r="E30" s="254" t="s">
        <v>189</v>
      </c>
      <c r="G30" s="285">
        <v>1</v>
      </c>
      <c r="H30" s="285"/>
      <c r="I30" s="291" t="s">
        <v>207</v>
      </c>
      <c r="J30" s="127">
        <f>POWER(J26,2)/$D$7</f>
        <v>1.1363636363636362</v>
      </c>
      <c r="K30" s="122" t="s">
        <v>5</v>
      </c>
      <c r="O30" s="252">
        <f t="shared" si="38"/>
        <v>27</v>
      </c>
      <c r="P30" s="138">
        <f t="shared" si="4"/>
        <v>10.050000000000001</v>
      </c>
      <c r="Q30" s="146"/>
      <c r="R30" s="56">
        <f t="shared" si="43"/>
        <v>20.043321235130158</v>
      </c>
      <c r="S30" s="56">
        <f t="shared" si="6"/>
        <v>40.086642470260315</v>
      </c>
      <c r="T30" s="56">
        <f t="shared" si="7"/>
        <v>1.1751700799296745</v>
      </c>
      <c r="U30" s="56">
        <f t="shared" si="8"/>
        <v>21.218491315059833</v>
      </c>
      <c r="V30" s="56">
        <f t="shared" si="9"/>
        <v>41.261812550189987</v>
      </c>
      <c r="W30" s="154">
        <f t="shared" si="10"/>
        <v>131.85639775768371</v>
      </c>
      <c r="X30" s="149">
        <f t="shared" si="11"/>
        <v>2.8976879021781214</v>
      </c>
      <c r="Y30" s="162">
        <f t="shared" si="12"/>
        <v>11.506005194418453</v>
      </c>
      <c r="Z30" s="4">
        <f t="shared" si="39"/>
        <v>47.151028587673906</v>
      </c>
      <c r="AA30" s="4">
        <f t="shared" si="13"/>
        <v>12.201223959540876</v>
      </c>
      <c r="AB30" s="4">
        <f t="shared" si="14"/>
        <v>115.63535220390541</v>
      </c>
      <c r="AC30" s="14">
        <f t="shared" si="15"/>
        <v>131.85639775768374</v>
      </c>
      <c r="AE30" s="257">
        <f t="shared" si="44"/>
        <v>27</v>
      </c>
      <c r="AF30" s="202">
        <f t="shared" si="40"/>
        <v>89</v>
      </c>
      <c r="AH30">
        <f t="shared" si="16"/>
        <v>38.987800132898258</v>
      </c>
      <c r="AI30">
        <f t="shared" si="17"/>
        <v>10.406978817287664</v>
      </c>
      <c r="AJ30" s="40">
        <f t="shared" si="18"/>
        <v>49.394778950185923</v>
      </c>
      <c r="AK30" s="88">
        <f t="shared" si="0"/>
        <v>123.68011012255762</v>
      </c>
      <c r="AL30" s="199">
        <f t="shared" si="19"/>
        <v>1.1304132147548103</v>
      </c>
      <c r="AM30" s="213">
        <f t="shared" si="20"/>
        <v>294.9435800916101</v>
      </c>
      <c r="AN30">
        <f t="shared" si="21"/>
        <v>471.51028587673915</v>
      </c>
      <c r="AO30" s="215">
        <f t="shared" si="1"/>
        <v>29.494358009160958</v>
      </c>
      <c r="AP30" s="63">
        <f t="shared" si="22"/>
        <v>47.151028587673828</v>
      </c>
      <c r="AQ30" s="63">
        <f t="shared" si="23"/>
        <v>31.276473592000642</v>
      </c>
      <c r="AR30" s="63">
        <f t="shared" si="24"/>
        <v>50</v>
      </c>
      <c r="AS30" s="63">
        <f t="shared" si="25"/>
        <v>29.90435561290343</v>
      </c>
      <c r="AT30" s="63">
        <f t="shared" si="26"/>
        <v>19.490423337282493</v>
      </c>
      <c r="AV30" s="257">
        <f t="shared" si="41"/>
        <v>27</v>
      </c>
      <c r="AW30" s="202">
        <f t="shared" si="42"/>
        <v>752</v>
      </c>
      <c r="AX30" s="257"/>
      <c r="AY30" s="257">
        <f t="shared" si="27"/>
        <v>57.524356811832845</v>
      </c>
      <c r="AZ30" s="257">
        <f t="shared" si="28"/>
        <v>87.933124388767681</v>
      </c>
      <c r="BA30" s="257">
        <f t="shared" si="29"/>
        <v>145.45748120060051</v>
      </c>
      <c r="BB30" s="53" t="e">
        <f t="shared" si="2"/>
        <v>#NUM!</v>
      </c>
      <c r="BC30" s="198" t="e">
        <f t="shared" si="30"/>
        <v>#NUM!</v>
      </c>
      <c r="BD30" s="211">
        <f t="shared" si="31"/>
        <v>18744508.619313538</v>
      </c>
      <c r="BE30" s="257" t="e">
        <f t="shared" si="32"/>
        <v>#NUM!</v>
      </c>
      <c r="BF30" s="4" t="e">
        <f t="shared" si="3"/>
        <v>#NUM!</v>
      </c>
      <c r="BG30" s="4" t="e">
        <f t="shared" si="33"/>
        <v>#NUM!</v>
      </c>
      <c r="BH30" s="4" t="e">
        <f t="shared" si="34"/>
        <v>#NUM!</v>
      </c>
      <c r="BI30" s="4" t="e">
        <f t="shared" si="35"/>
        <v>#NUM!</v>
      </c>
      <c r="BJ30" t="e">
        <f t="shared" si="36"/>
        <v>#NUM!</v>
      </c>
      <c r="BK30" t="e">
        <f t="shared" si="37"/>
        <v>#NUM!</v>
      </c>
      <c r="BM30" s="40"/>
    </row>
    <row r="31" spans="2:65">
      <c r="B31" s="299" t="s">
        <v>191</v>
      </c>
      <c r="C31" s="299"/>
      <c r="D31" s="299"/>
      <c r="E31" s="299"/>
      <c r="G31" s="285">
        <v>2</v>
      </c>
      <c r="H31" s="285"/>
      <c r="I31" s="291"/>
      <c r="J31" s="127">
        <f>POWER(J27,2)/$D$7</f>
        <v>113.6363636363636</v>
      </c>
      <c r="K31" s="122" t="s">
        <v>5</v>
      </c>
      <c r="O31" s="252">
        <f t="shared" si="38"/>
        <v>28</v>
      </c>
      <c r="P31" s="138">
        <f t="shared" si="4"/>
        <v>10.425000000000001</v>
      </c>
      <c r="Q31" s="146"/>
      <c r="R31" s="56">
        <f t="shared" si="43"/>
        <v>20.361521272915901</v>
      </c>
      <c r="S31" s="56">
        <f t="shared" si="6"/>
        <v>40.723042545831802</v>
      </c>
      <c r="T31" s="56">
        <f t="shared" si="7"/>
        <v>1.2190197097777966</v>
      </c>
      <c r="U31" s="56">
        <f t="shared" si="8"/>
        <v>21.580540982693698</v>
      </c>
      <c r="V31" s="56">
        <f t="shared" si="9"/>
        <v>41.942062255609599</v>
      </c>
      <c r="W31" s="154">
        <f t="shared" si="10"/>
        <v>131.49434809004984</v>
      </c>
      <c r="X31" s="149">
        <f t="shared" si="11"/>
        <v>2.779387655148323</v>
      </c>
      <c r="Y31" s="162">
        <f t="shared" si="12"/>
        <v>11.995740138122505</v>
      </c>
      <c r="Z31" s="4">
        <f t="shared" si="39"/>
        <v>47.151028587673835</v>
      </c>
      <c r="AA31" s="4">
        <f t="shared" si="13"/>
        <v>12.720549792267331</v>
      </c>
      <c r="AB31" s="4">
        <f t="shared" si="14"/>
        <v>125.05559093992711</v>
      </c>
      <c r="AC31" s="14">
        <f t="shared" si="15"/>
        <v>131.49434809004987</v>
      </c>
      <c r="AE31" s="257">
        <f t="shared" si="44"/>
        <v>28</v>
      </c>
      <c r="AF31" s="202">
        <f t="shared" si="40"/>
        <v>92</v>
      </c>
      <c r="AH31">
        <f t="shared" si="16"/>
        <v>39.275756546911104</v>
      </c>
      <c r="AI31">
        <f t="shared" si="17"/>
        <v>10.757775856072641</v>
      </c>
      <c r="AJ31" s="40">
        <f t="shared" si="18"/>
        <v>50.033532402983745</v>
      </c>
      <c r="AK31" s="88">
        <f t="shared" si="0"/>
        <v>123.04135666975979</v>
      </c>
      <c r="AL31" s="199">
        <f t="shared" si="19"/>
        <v>1.0502665968769749</v>
      </c>
      <c r="AM31" s="213">
        <f t="shared" si="20"/>
        <v>317.4509420123012</v>
      </c>
      <c r="AN31">
        <f t="shared" si="21"/>
        <v>471.51028587673864</v>
      </c>
      <c r="AO31" s="215">
        <f t="shared" si="1"/>
        <v>31.745094201230064</v>
      </c>
      <c r="AP31" s="63">
        <f t="shared" si="22"/>
        <v>47.151028587673785</v>
      </c>
      <c r="AQ31" s="63">
        <f t="shared" si="23"/>
        <v>33.663204337316266</v>
      </c>
      <c r="AR31" s="63">
        <f t="shared" si="24"/>
        <v>50.000000000000007</v>
      </c>
      <c r="AS31" s="63">
        <f t="shared" si="25"/>
        <v>30.543109065701252</v>
      </c>
      <c r="AT31" s="63">
        <f t="shared" si="26"/>
        <v>19.490423337282493</v>
      </c>
      <c r="AV31" s="257">
        <f t="shared" si="41"/>
        <v>28</v>
      </c>
      <c r="AW31" s="202">
        <f t="shared" si="42"/>
        <v>779</v>
      </c>
      <c r="AX31" s="257"/>
      <c r="AY31" s="257">
        <f t="shared" si="27"/>
        <v>57.830749153451286</v>
      </c>
      <c r="AZ31" s="257">
        <f t="shared" si="28"/>
        <v>91.090297737832486</v>
      </c>
      <c r="BA31" s="257">
        <f t="shared" si="29"/>
        <v>148.92104689128377</v>
      </c>
      <c r="BB31" s="53" t="e">
        <f t="shared" si="2"/>
        <v>#NUM!</v>
      </c>
      <c r="BC31" s="198" t="e">
        <f t="shared" si="30"/>
        <v>#NUM!</v>
      </c>
      <c r="BD31" s="211">
        <f t="shared" si="31"/>
        <v>27928804.407241873</v>
      </c>
      <c r="BE31" s="257" t="e">
        <f t="shared" si="32"/>
        <v>#NUM!</v>
      </c>
      <c r="BF31" s="4" t="e">
        <f t="shared" si="3"/>
        <v>#NUM!</v>
      </c>
      <c r="BG31" s="4" t="e">
        <f t="shared" si="33"/>
        <v>#NUM!</v>
      </c>
      <c r="BH31" s="4" t="e">
        <f t="shared" si="34"/>
        <v>#NUM!</v>
      </c>
      <c r="BI31" s="4" t="e">
        <f t="shared" si="35"/>
        <v>#NUM!</v>
      </c>
      <c r="BJ31" t="e">
        <f t="shared" si="36"/>
        <v>#NUM!</v>
      </c>
      <c r="BK31" t="e">
        <f t="shared" si="37"/>
        <v>#NUM!</v>
      </c>
      <c r="BM31" s="40"/>
    </row>
    <row r="32" spans="2:65">
      <c r="B32" s="286" t="s">
        <v>24</v>
      </c>
      <c r="C32" s="287"/>
      <c r="D32" s="258">
        <v>0.5</v>
      </c>
      <c r="E32" s="254" t="s">
        <v>23</v>
      </c>
      <c r="G32" s="285">
        <v>3</v>
      </c>
      <c r="H32" s="285"/>
      <c r="I32" s="291"/>
      <c r="J32" s="127">
        <f>POWER(J28,2)/$D$7</f>
        <v>0</v>
      </c>
      <c r="K32" s="122" t="s">
        <v>5</v>
      </c>
      <c r="O32" s="252">
        <f t="shared" si="38"/>
        <v>29</v>
      </c>
      <c r="P32" s="138">
        <f t="shared" si="4"/>
        <v>10.8</v>
      </c>
      <c r="Q32" s="146"/>
      <c r="R32" s="56">
        <f t="shared" si="43"/>
        <v>20.668475109738992</v>
      </c>
      <c r="S32" s="56">
        <f t="shared" si="6"/>
        <v>41.336950219477984</v>
      </c>
      <c r="T32" s="56">
        <f t="shared" si="7"/>
        <v>1.262869339625919</v>
      </c>
      <c r="U32" s="56">
        <f t="shared" si="8"/>
        <v>21.931344449364911</v>
      </c>
      <c r="V32" s="56">
        <f t="shared" si="9"/>
        <v>42.599819559103906</v>
      </c>
      <c r="W32" s="154">
        <f t="shared" si="10"/>
        <v>131.14354462337863</v>
      </c>
      <c r="X32" s="149">
        <f t="shared" si="11"/>
        <v>2.6693710793523771</v>
      </c>
      <c r="Y32" s="162">
        <f t="shared" si="12"/>
        <v>12.490137587897255</v>
      </c>
      <c r="Z32" s="4">
        <f t="shared" si="39"/>
        <v>47.15102858767392</v>
      </c>
      <c r="AA32" s="4">
        <f t="shared" si="13"/>
        <v>13.244819850189243</v>
      </c>
      <c r="AB32" s="4">
        <f t="shared" si="14"/>
        <v>134.89348594929029</v>
      </c>
      <c r="AC32" s="14">
        <f t="shared" si="15"/>
        <v>131.14354462337863</v>
      </c>
      <c r="AE32" s="257">
        <f t="shared" si="44"/>
        <v>29</v>
      </c>
      <c r="AF32" s="202">
        <f t="shared" si="40"/>
        <v>95</v>
      </c>
      <c r="AH32">
        <f t="shared" si="16"/>
        <v>39.554472105776959</v>
      </c>
      <c r="AI32">
        <f t="shared" si="17"/>
        <v>11.10857289485762</v>
      </c>
      <c r="AJ32" s="40">
        <f t="shared" si="18"/>
        <v>50.663045000634582</v>
      </c>
      <c r="AK32" s="88">
        <f t="shared" si="0"/>
        <v>122.41184407210896</v>
      </c>
      <c r="AL32" s="199">
        <f t="shared" si="19"/>
        <v>0.97684109850839063</v>
      </c>
      <c r="AM32" s="213">
        <f t="shared" si="20"/>
        <v>341.31254413000727</v>
      </c>
      <c r="AN32">
        <f t="shared" si="21"/>
        <v>471.5102858767392</v>
      </c>
      <c r="AO32" s="215">
        <f t="shared" si="1"/>
        <v>34.131254413000669</v>
      </c>
      <c r="AP32" s="63">
        <f t="shared" si="22"/>
        <v>47.151028587673842</v>
      </c>
      <c r="AQ32" s="63">
        <f t="shared" si="23"/>
        <v>36.193541726811041</v>
      </c>
      <c r="AR32" s="63">
        <f t="shared" si="24"/>
        <v>50</v>
      </c>
      <c r="AS32" s="63">
        <f t="shared" si="25"/>
        <v>31.172621663352089</v>
      </c>
      <c r="AT32" s="63">
        <f t="shared" si="26"/>
        <v>19.490423337282493</v>
      </c>
      <c r="AV32" s="257">
        <f t="shared" si="41"/>
        <v>29</v>
      </c>
      <c r="AW32" s="202">
        <f t="shared" si="42"/>
        <v>806</v>
      </c>
      <c r="AX32" s="257"/>
      <c r="AY32" s="257">
        <f t="shared" si="27"/>
        <v>58.126700836101818</v>
      </c>
      <c r="AZ32" s="257">
        <f t="shared" si="28"/>
        <v>94.247471086897278</v>
      </c>
      <c r="BA32" s="257">
        <f t="shared" si="29"/>
        <v>152.3741719229991</v>
      </c>
      <c r="BB32" s="53" t="e">
        <f t="shared" si="2"/>
        <v>#NUM!</v>
      </c>
      <c r="BC32" s="198" t="e">
        <f t="shared" si="30"/>
        <v>#NUM!</v>
      </c>
      <c r="BD32" s="211">
        <f t="shared" si="31"/>
        <v>41563163.549783602</v>
      </c>
      <c r="BE32" s="257" t="e">
        <f t="shared" si="32"/>
        <v>#NUM!</v>
      </c>
      <c r="BF32" s="4" t="e">
        <f t="shared" si="3"/>
        <v>#NUM!</v>
      </c>
      <c r="BG32" s="4" t="e">
        <f t="shared" si="33"/>
        <v>#NUM!</v>
      </c>
      <c r="BH32" s="4" t="e">
        <f t="shared" si="34"/>
        <v>#NUM!</v>
      </c>
      <c r="BI32" s="4" t="e">
        <f t="shared" si="35"/>
        <v>#NUM!</v>
      </c>
      <c r="BJ32" t="e">
        <f t="shared" si="36"/>
        <v>#NUM!</v>
      </c>
      <c r="BK32" t="e">
        <f t="shared" si="37"/>
        <v>#NUM!</v>
      </c>
      <c r="BM32" s="40"/>
    </row>
    <row r="33" spans="2:65">
      <c r="B33" s="299" t="s">
        <v>91</v>
      </c>
      <c r="C33" s="299"/>
      <c r="D33" s="299"/>
      <c r="E33" s="299"/>
      <c r="G33" s="288" t="s">
        <v>208</v>
      </c>
      <c r="H33" s="288"/>
      <c r="I33" s="288"/>
      <c r="J33" s="288"/>
      <c r="K33" s="288"/>
      <c r="O33" s="252">
        <f t="shared" si="38"/>
        <v>30</v>
      </c>
      <c r="P33" s="138">
        <f t="shared" si="4"/>
        <v>11.175000000000001</v>
      </c>
      <c r="Q33" s="146"/>
      <c r="R33" s="56">
        <f t="shared" si="43"/>
        <v>20.964950636079482</v>
      </c>
      <c r="S33" s="56">
        <f t="shared" si="6"/>
        <v>41.929901272158965</v>
      </c>
      <c r="T33" s="56">
        <f t="shared" si="7"/>
        <v>1.3067189694740411</v>
      </c>
      <c r="U33" s="56">
        <f t="shared" si="8"/>
        <v>22.271669605553523</v>
      </c>
      <c r="V33" s="56">
        <f t="shared" si="9"/>
        <v>43.236620241633005</v>
      </c>
      <c r="W33" s="154">
        <f t="shared" si="10"/>
        <v>130.80321946719002</v>
      </c>
      <c r="X33" s="149">
        <f t="shared" si="11"/>
        <v>2.5668039153909663</v>
      </c>
      <c r="Y33" s="162">
        <f t="shared" si="12"/>
        <v>12.989232194305199</v>
      </c>
      <c r="Z33" s="4">
        <f t="shared" si="39"/>
        <v>47.151028587673906</v>
      </c>
      <c r="AA33" s="4">
        <f t="shared" si="13"/>
        <v>13.774070877534186</v>
      </c>
      <c r="AB33" s="4">
        <f t="shared" si="14"/>
        <v>145.15466977136057</v>
      </c>
      <c r="AC33" s="14">
        <f t="shared" si="15"/>
        <v>130.80321946719002</v>
      </c>
      <c r="AE33" s="257">
        <f t="shared" si="44"/>
        <v>30</v>
      </c>
      <c r="AF33" s="202">
        <f t="shared" si="40"/>
        <v>98</v>
      </c>
      <c r="AH33">
        <f t="shared" si="16"/>
        <v>39.824521513849895</v>
      </c>
      <c r="AI33">
        <f t="shared" si="17"/>
        <v>11.459369933642597</v>
      </c>
      <c r="AJ33" s="40">
        <f t="shared" si="18"/>
        <v>51.283891447492493</v>
      </c>
      <c r="AK33" s="88">
        <f t="shared" si="0"/>
        <v>121.79099762525105</v>
      </c>
      <c r="AL33" s="199">
        <f t="shared" si="19"/>
        <v>0.90945580839095463</v>
      </c>
      <c r="AM33" s="213">
        <f t="shared" si="20"/>
        <v>366.60178258966619</v>
      </c>
      <c r="AN33">
        <f t="shared" si="21"/>
        <v>471.5102858767392</v>
      </c>
      <c r="AO33" s="215">
        <f t="shared" si="1"/>
        <v>36.660178258966553</v>
      </c>
      <c r="AP33" s="63">
        <f t="shared" si="22"/>
        <v>47.151028587673835</v>
      </c>
      <c r="AQ33" s="63">
        <f t="shared" si="23"/>
        <v>38.875268851028004</v>
      </c>
      <c r="AR33" s="63">
        <f t="shared" si="24"/>
        <v>50</v>
      </c>
      <c r="AS33" s="63">
        <f t="shared" si="25"/>
        <v>31.793468110209993</v>
      </c>
      <c r="AT33" s="63">
        <f t="shared" si="26"/>
        <v>19.4904233372825</v>
      </c>
      <c r="AV33" s="257">
        <f t="shared" si="41"/>
        <v>30</v>
      </c>
      <c r="AW33" s="202">
        <f t="shared" si="42"/>
        <v>833</v>
      </c>
      <c r="AX33" s="257"/>
      <c r="AY33" s="257">
        <f t="shared" si="27"/>
        <v>58.412900028135752</v>
      </c>
      <c r="AZ33" s="257">
        <f t="shared" si="28"/>
        <v>97.404644435962069</v>
      </c>
      <c r="BA33" s="257">
        <f t="shared" si="29"/>
        <v>155.81754446409781</v>
      </c>
      <c r="BB33" s="53" t="e">
        <f t="shared" si="2"/>
        <v>#NUM!</v>
      </c>
      <c r="BC33" s="198" t="e">
        <f t="shared" si="30"/>
        <v>#NUM!</v>
      </c>
      <c r="BD33" s="211">
        <f t="shared" si="31"/>
        <v>61784170.911288537</v>
      </c>
      <c r="BE33" s="257" t="e">
        <f t="shared" si="32"/>
        <v>#NUM!</v>
      </c>
      <c r="BF33" s="4" t="e">
        <f t="shared" si="3"/>
        <v>#NUM!</v>
      </c>
      <c r="BG33" s="4" t="e">
        <f t="shared" si="33"/>
        <v>#NUM!</v>
      </c>
      <c r="BH33" s="4" t="e">
        <f t="shared" si="34"/>
        <v>#NUM!</v>
      </c>
      <c r="BI33" s="4" t="e">
        <f t="shared" si="35"/>
        <v>#NUM!</v>
      </c>
      <c r="BJ33" t="e">
        <f t="shared" si="36"/>
        <v>#NUM!</v>
      </c>
      <c r="BK33" t="e">
        <f t="shared" si="37"/>
        <v>#NUM!</v>
      </c>
      <c r="BM33" s="40"/>
    </row>
    <row r="34" spans="2:65">
      <c r="B34" s="300" t="s">
        <v>192</v>
      </c>
      <c r="C34" s="301"/>
      <c r="D34" s="258">
        <v>7</v>
      </c>
      <c r="E34" s="254" t="s">
        <v>11</v>
      </c>
      <c r="G34" s="285">
        <v>1</v>
      </c>
      <c r="H34" s="285"/>
      <c r="I34" s="291" t="s">
        <v>49</v>
      </c>
      <c r="J34" s="128">
        <f>J30*$D$11</f>
        <v>0.45454545454545453</v>
      </c>
      <c r="K34" s="122" t="s">
        <v>5</v>
      </c>
      <c r="O34" s="252">
        <f t="shared" si="38"/>
        <v>31</v>
      </c>
      <c r="P34" s="138">
        <f t="shared" si="4"/>
        <v>11.55</v>
      </c>
      <c r="Q34" s="146"/>
      <c r="R34" s="56">
        <f t="shared" si="43"/>
        <v>21.251639684563266</v>
      </c>
      <c r="S34" s="56">
        <f t="shared" si="6"/>
        <v>42.503279369126531</v>
      </c>
      <c r="T34" s="56">
        <f t="shared" si="7"/>
        <v>1.3505685993221632</v>
      </c>
      <c r="U34" s="56">
        <f t="shared" si="8"/>
        <v>22.602208283885428</v>
      </c>
      <c r="V34" s="56">
        <f t="shared" si="9"/>
        <v>43.853847968448697</v>
      </c>
      <c r="W34" s="154">
        <f t="shared" si="10"/>
        <v>130.4726807888581</v>
      </c>
      <c r="X34" s="149">
        <f t="shared" si="11"/>
        <v>2.470960250862607</v>
      </c>
      <c r="Y34" s="162">
        <f t="shared" si="12"/>
        <v>13.493058839220788</v>
      </c>
      <c r="Z34" s="4">
        <f t="shared" si="39"/>
        <v>47.151028587673814</v>
      </c>
      <c r="AA34" s="4">
        <f t="shared" si="13"/>
        <v>14.308339863818082</v>
      </c>
      <c r="AB34" s="4">
        <f t="shared" si="14"/>
        <v>155.84482959300027</v>
      </c>
      <c r="AC34" s="14">
        <f t="shared" si="15"/>
        <v>130.47268078885813</v>
      </c>
      <c r="AE34" s="257">
        <f t="shared" si="44"/>
        <v>31</v>
      </c>
      <c r="AF34" s="202">
        <f t="shared" si="40"/>
        <v>101</v>
      </c>
      <c r="AH34">
        <f t="shared" si="16"/>
        <v>40.086427475652854</v>
      </c>
      <c r="AI34">
        <f t="shared" si="17"/>
        <v>11.810166972427576</v>
      </c>
      <c r="AJ34" s="40">
        <f t="shared" si="18"/>
        <v>51.896594448080428</v>
      </c>
      <c r="AK34" s="88">
        <f t="shared" si="0"/>
        <v>121.17829462466311</v>
      </c>
      <c r="AL34" s="199">
        <f t="shared" si="19"/>
        <v>0.84751316079308892</v>
      </c>
      <c r="AM34" s="213">
        <f t="shared" si="20"/>
        <v>393.39580311726604</v>
      </c>
      <c r="AN34">
        <f t="shared" si="21"/>
        <v>471.51028587673915</v>
      </c>
      <c r="AO34" s="215">
        <f t="shared" si="1"/>
        <v>39.339580311726536</v>
      </c>
      <c r="AP34" s="63">
        <f t="shared" si="22"/>
        <v>47.151028587673828</v>
      </c>
      <c r="AQ34" s="63">
        <f t="shared" si="23"/>
        <v>41.716566414428804</v>
      </c>
      <c r="AR34" s="63">
        <f t="shared" si="24"/>
        <v>49.999999999999993</v>
      </c>
      <c r="AS34" s="63">
        <f t="shared" si="25"/>
        <v>32.406171110797935</v>
      </c>
      <c r="AT34" s="63">
        <f t="shared" si="26"/>
        <v>19.490423337282493</v>
      </c>
      <c r="AV34" s="257">
        <f t="shared" si="41"/>
        <v>31</v>
      </c>
      <c r="AW34" s="202">
        <f t="shared" si="42"/>
        <v>860</v>
      </c>
      <c r="AX34" s="257"/>
      <c r="AY34" s="257">
        <f t="shared" si="27"/>
        <v>58.68996902487136</v>
      </c>
      <c r="AZ34" s="257">
        <f t="shared" si="28"/>
        <v>100.56181778502686</v>
      </c>
      <c r="BA34" s="257">
        <f t="shared" si="29"/>
        <v>159.25178680989822</v>
      </c>
      <c r="BB34" s="53" t="e">
        <f t="shared" si="2"/>
        <v>#NUM!</v>
      </c>
      <c r="BC34" s="198" t="e">
        <f t="shared" si="30"/>
        <v>#NUM!</v>
      </c>
      <c r="BD34" s="211">
        <f t="shared" si="31"/>
        <v>91746465.138585001</v>
      </c>
      <c r="BE34" s="257" t="e">
        <f t="shared" si="32"/>
        <v>#NUM!</v>
      </c>
      <c r="BF34" s="4" t="e">
        <f t="shared" si="3"/>
        <v>#NUM!</v>
      </c>
      <c r="BG34" s="4" t="e">
        <f t="shared" si="33"/>
        <v>#NUM!</v>
      </c>
      <c r="BH34" s="4" t="e">
        <f t="shared" si="34"/>
        <v>#NUM!</v>
      </c>
      <c r="BI34" s="4" t="e">
        <f t="shared" si="35"/>
        <v>#NUM!</v>
      </c>
      <c r="BJ34" t="e">
        <f t="shared" si="36"/>
        <v>#NUM!</v>
      </c>
      <c r="BK34" t="e">
        <f t="shared" si="37"/>
        <v>#NUM!</v>
      </c>
      <c r="BM34" s="40"/>
    </row>
    <row r="35" spans="2:65">
      <c r="B35" s="302"/>
      <c r="C35" s="303"/>
      <c r="D35" s="258">
        <f>D34*1000</f>
        <v>7000</v>
      </c>
      <c r="E35" s="254" t="s">
        <v>31</v>
      </c>
      <c r="G35" s="285">
        <v>2</v>
      </c>
      <c r="H35" s="285"/>
      <c r="I35" s="291"/>
      <c r="J35" s="128">
        <f>J31*$D$11</f>
        <v>45.454545454545439</v>
      </c>
      <c r="K35" s="122" t="s">
        <v>5</v>
      </c>
      <c r="O35" s="252">
        <f t="shared" si="38"/>
        <v>32</v>
      </c>
      <c r="P35" s="138">
        <f t="shared" si="4"/>
        <v>11.925000000000001</v>
      </c>
      <c r="Q35" s="146"/>
      <c r="R35" s="56">
        <f t="shared" si="43"/>
        <v>21.529167754243034</v>
      </c>
      <c r="S35" s="56">
        <f t="shared" si="6"/>
        <v>43.058335508486067</v>
      </c>
      <c r="T35" s="56">
        <f t="shared" si="7"/>
        <v>1.3944182291702856</v>
      </c>
      <c r="U35" s="56">
        <f t="shared" si="8"/>
        <v>22.923585983413318</v>
      </c>
      <c r="V35" s="56">
        <f t="shared" si="9"/>
        <v>44.452753737656352</v>
      </c>
      <c r="W35" s="154">
        <f t="shared" si="10"/>
        <v>130.15130308933021</v>
      </c>
      <c r="X35" s="149">
        <f t="shared" si="11"/>
        <v>2.3812054846642501</v>
      </c>
      <c r="Y35" s="162">
        <f t="shared" si="12"/>
        <v>14.00165263728425</v>
      </c>
      <c r="Z35" s="4">
        <f t="shared" si="39"/>
        <v>47.151028587673821</v>
      </c>
      <c r="AA35" s="4">
        <f t="shared" si="13"/>
        <v>14.847664045386857</v>
      </c>
      <c r="AB35" s="4">
        <f t="shared" si="14"/>
        <v>166.96970769961482</v>
      </c>
      <c r="AC35" s="14">
        <f t="shared" si="15"/>
        <v>130.15130308933024</v>
      </c>
      <c r="AE35" s="257">
        <f t="shared" si="44"/>
        <v>32</v>
      </c>
      <c r="AF35" s="202">
        <f t="shared" si="40"/>
        <v>104</v>
      </c>
      <c r="AH35">
        <f t="shared" si="16"/>
        <v>40.340666785975607</v>
      </c>
      <c r="AI35">
        <f t="shared" si="17"/>
        <v>12.160964011212551</v>
      </c>
      <c r="AJ35" s="40">
        <f t="shared" si="18"/>
        <v>52.501630797188156</v>
      </c>
      <c r="AK35" s="88">
        <f t="shared" si="0"/>
        <v>120.57325827555538</v>
      </c>
      <c r="AL35" s="199">
        <f t="shared" si="19"/>
        <v>0.79048682052640529</v>
      </c>
      <c r="AM35" s="213">
        <f t="shared" si="20"/>
        <v>421.77568541955526</v>
      </c>
      <c r="AN35">
        <f t="shared" si="21"/>
        <v>471.51028587673875</v>
      </c>
      <c r="AO35" s="215">
        <f t="shared" si="1"/>
        <v>42.177568541955452</v>
      </c>
      <c r="AP35" s="63">
        <f t="shared" si="22"/>
        <v>47.151028587673792</v>
      </c>
      <c r="AQ35" s="63">
        <f t="shared" si="23"/>
        <v>44.726032289549565</v>
      </c>
      <c r="AR35" s="63">
        <f t="shared" si="24"/>
        <v>50</v>
      </c>
      <c r="AS35" s="63">
        <f t="shared" si="25"/>
        <v>33.01120745990567</v>
      </c>
      <c r="AT35" s="63">
        <f t="shared" si="26"/>
        <v>19.490423337282486</v>
      </c>
      <c r="AV35" s="257">
        <f t="shared" si="41"/>
        <v>32</v>
      </c>
      <c r="AW35" s="202">
        <f t="shared" si="42"/>
        <v>887</v>
      </c>
      <c r="AX35" s="257"/>
      <c r="AY35" s="257">
        <f t="shared" si="27"/>
        <v>58.958472396634527</v>
      </c>
      <c r="AZ35" s="257">
        <f t="shared" si="28"/>
        <v>103.71899113409167</v>
      </c>
      <c r="BA35" s="257">
        <f t="shared" si="29"/>
        <v>162.67746353072619</v>
      </c>
      <c r="BB35" s="53" t="e">
        <f t="shared" si="2"/>
        <v>#NUM!</v>
      </c>
      <c r="BC35" s="198" t="e">
        <f t="shared" si="30"/>
        <v>#NUM!</v>
      </c>
      <c r="BD35" s="211">
        <f t="shared" si="31"/>
        <v>136104716.89602563</v>
      </c>
      <c r="BE35" s="257" t="e">
        <f t="shared" si="32"/>
        <v>#NUM!</v>
      </c>
      <c r="BF35" s="4" t="e">
        <f t="shared" si="3"/>
        <v>#NUM!</v>
      </c>
      <c r="BG35" s="4" t="e">
        <f t="shared" si="33"/>
        <v>#NUM!</v>
      </c>
      <c r="BH35" s="4" t="e">
        <f t="shared" si="34"/>
        <v>#NUM!</v>
      </c>
      <c r="BI35" s="4" t="e">
        <f t="shared" si="35"/>
        <v>#NUM!</v>
      </c>
      <c r="BJ35" t="e">
        <f t="shared" si="36"/>
        <v>#NUM!</v>
      </c>
      <c r="BK35" t="e">
        <f t="shared" si="37"/>
        <v>#NUM!</v>
      </c>
      <c r="BM35" s="40"/>
    </row>
    <row r="36" spans="2:65">
      <c r="B36" s="299" t="s">
        <v>104</v>
      </c>
      <c r="C36" s="299"/>
      <c r="D36" s="299"/>
      <c r="E36" s="299"/>
      <c r="G36" s="285">
        <v>3</v>
      </c>
      <c r="H36" s="285"/>
      <c r="I36" s="291"/>
      <c r="J36" s="128">
        <f>J32*$D$11</f>
        <v>0</v>
      </c>
      <c r="K36" s="122" t="s">
        <v>5</v>
      </c>
      <c r="O36" s="252">
        <f t="shared" si="38"/>
        <v>33</v>
      </c>
      <c r="P36" s="138">
        <f t="shared" si="4"/>
        <v>12.3</v>
      </c>
      <c r="Q36" s="146"/>
      <c r="R36" s="56">
        <f t="shared" si="43"/>
        <v>21.798102228787961</v>
      </c>
      <c r="S36" s="56">
        <f t="shared" si="6"/>
        <v>43.596204457575922</v>
      </c>
      <c r="T36" s="56">
        <f t="shared" si="7"/>
        <v>1.4382678590184075</v>
      </c>
      <c r="U36" s="56">
        <f t="shared" si="8"/>
        <v>23.236370087806367</v>
      </c>
      <c r="V36" s="56">
        <f t="shared" si="9"/>
        <v>45.034472316594332</v>
      </c>
      <c r="W36" s="154">
        <f t="shared" si="10"/>
        <v>129.83851898493717</v>
      </c>
      <c r="X36" s="149">
        <f t="shared" si="11"/>
        <v>2.2969824075783833</v>
      </c>
      <c r="Y36" s="162">
        <f t="shared" si="12"/>
        <v>14.515048937364231</v>
      </c>
      <c r="Z36" s="4">
        <f t="shared" si="39"/>
        <v>47.151028587673864</v>
      </c>
      <c r="AA36" s="4">
        <f t="shared" si="13"/>
        <v>15.392080906967468</v>
      </c>
      <c r="AB36" s="4">
        <f t="shared" si="14"/>
        <v>178.53510192958024</v>
      </c>
      <c r="AC36" s="14">
        <f t="shared" si="15"/>
        <v>129.83851898493717</v>
      </c>
      <c r="AE36" s="257">
        <f t="shared" si="44"/>
        <v>33</v>
      </c>
      <c r="AF36" s="202">
        <f t="shared" si="40"/>
        <v>107</v>
      </c>
      <c r="AH36">
        <f t="shared" si="16"/>
        <v>40.587675553704194</v>
      </c>
      <c r="AI36">
        <f t="shared" si="17"/>
        <v>12.511761049997528</v>
      </c>
      <c r="AJ36" s="40">
        <f t="shared" si="18"/>
        <v>53.099436603701719</v>
      </c>
      <c r="AK36" s="88">
        <f t="shared" ref="AK36:AK67" si="45">$AG$4-(AH36+AI36)+$Q$8+$Q$10</f>
        <v>119.97545246904183</v>
      </c>
      <c r="AL36" s="199">
        <f t="shared" si="19"/>
        <v>0.73791160961310609</v>
      </c>
      <c r="AM36" s="213">
        <f t="shared" si="20"/>
        <v>451.82663641443332</v>
      </c>
      <c r="AN36">
        <f t="shared" si="21"/>
        <v>471.5102858767396</v>
      </c>
      <c r="AO36" s="215">
        <f t="shared" ref="AO36:AO67" si="46">AM36*($Z$4/$AN$4)</f>
        <v>45.182663641443256</v>
      </c>
      <c r="AP36" s="63">
        <f t="shared" si="22"/>
        <v>47.151028587673885</v>
      </c>
      <c r="AQ36" s="63">
        <f t="shared" si="23"/>
        <v>47.912702007581238</v>
      </c>
      <c r="AR36" s="63">
        <f t="shared" si="24"/>
        <v>50</v>
      </c>
      <c r="AS36" s="63">
        <f t="shared" si="25"/>
        <v>33.609013266419218</v>
      </c>
      <c r="AT36" s="63">
        <f t="shared" si="26"/>
        <v>19.4904233372825</v>
      </c>
      <c r="AV36" s="257">
        <f t="shared" si="41"/>
        <v>33</v>
      </c>
      <c r="AW36" s="202">
        <f t="shared" si="42"/>
        <v>914</v>
      </c>
      <c r="AX36" s="257"/>
      <c r="AY36" s="257">
        <f t="shared" si="27"/>
        <v>59.218923914676623</v>
      </c>
      <c r="AZ36" s="257">
        <f t="shared" si="28"/>
        <v>106.87616448315647</v>
      </c>
      <c r="BA36" s="257">
        <f t="shared" si="29"/>
        <v>166.09508839783308</v>
      </c>
      <c r="BB36" s="53" t="e">
        <f t="shared" ref="BB36:BB67" si="47">$AX$4-(AY36+AZ36)+$Q$8+$Q$10</f>
        <v>#NUM!</v>
      </c>
      <c r="BC36" s="198" t="e">
        <f t="shared" si="30"/>
        <v>#NUM!</v>
      </c>
      <c r="BD36" s="211">
        <f t="shared" si="31"/>
        <v>201722536.25081137</v>
      </c>
      <c r="BE36" s="257" t="e">
        <f t="shared" si="32"/>
        <v>#NUM!</v>
      </c>
      <c r="BF36" s="4" t="e">
        <f t="shared" ref="BF36:BF67" si="48">BD36*($Z$4/$BE$4)</f>
        <v>#NUM!</v>
      </c>
      <c r="BG36" s="4" t="e">
        <f t="shared" si="33"/>
        <v>#NUM!</v>
      </c>
      <c r="BH36" s="4" t="e">
        <f t="shared" si="34"/>
        <v>#NUM!</v>
      </c>
      <c r="BI36" s="4" t="e">
        <f t="shared" si="35"/>
        <v>#NUM!</v>
      </c>
      <c r="BJ36" t="e">
        <f t="shared" si="36"/>
        <v>#NUM!</v>
      </c>
      <c r="BK36" t="e">
        <f t="shared" si="37"/>
        <v>#NUM!</v>
      </c>
      <c r="BM36" s="40"/>
    </row>
    <row r="37" spans="2:65">
      <c r="B37" s="9">
        <v>1</v>
      </c>
      <c r="C37" s="291" t="s">
        <v>195</v>
      </c>
      <c r="D37" s="259">
        <v>500</v>
      </c>
      <c r="E37" s="254" t="s">
        <v>30</v>
      </c>
      <c r="G37" s="292" t="s">
        <v>215</v>
      </c>
      <c r="H37" s="293"/>
      <c r="I37" s="293"/>
      <c r="J37" s="293"/>
      <c r="K37" s="294"/>
      <c r="O37" s="252">
        <f t="shared" si="38"/>
        <v>34</v>
      </c>
      <c r="P37" s="138">
        <f t="shared" si="4"/>
        <v>12.675000000000001</v>
      </c>
      <c r="Q37" s="146"/>
      <c r="R37" s="56">
        <f t="shared" si="43"/>
        <v>22.058959360107472</v>
      </c>
      <c r="S37" s="56">
        <f t="shared" si="6"/>
        <v>44.117918720214945</v>
      </c>
      <c r="T37" s="56">
        <f t="shared" si="7"/>
        <v>1.4821174888665298</v>
      </c>
      <c r="U37" s="56">
        <f t="shared" si="8"/>
        <v>23.541076848974001</v>
      </c>
      <c r="V37" s="56">
        <f t="shared" si="9"/>
        <v>45.600036209081473</v>
      </c>
      <c r="W37" s="154">
        <f t="shared" si="10"/>
        <v>129.53381222376953</v>
      </c>
      <c r="X37" s="149">
        <f t="shared" si="11"/>
        <v>2.2177997537619065</v>
      </c>
      <c r="Y37" s="162">
        <f t="shared" si="12"/>
        <v>15.033283324029192</v>
      </c>
      <c r="Z37" s="4">
        <f t="shared" si="39"/>
        <v>47.151028587673821</v>
      </c>
      <c r="AA37" s="4">
        <f t="shared" si="13"/>
        <v>15.941628183228199</v>
      </c>
      <c r="AB37" s="4">
        <f t="shared" si="14"/>
        <v>190.54686613206999</v>
      </c>
      <c r="AC37" s="14">
        <f t="shared" si="15"/>
        <v>129.53381222376953</v>
      </c>
      <c r="AE37" s="257">
        <f t="shared" si="44"/>
        <v>34</v>
      </c>
      <c r="AF37" s="202">
        <f t="shared" si="40"/>
        <v>110</v>
      </c>
      <c r="AH37">
        <f t="shared" si="16"/>
        <v>40.8278537031645</v>
      </c>
      <c r="AI37">
        <f t="shared" si="17"/>
        <v>12.862558088782507</v>
      </c>
      <c r="AJ37" s="40">
        <f t="shared" si="18"/>
        <v>53.690411791947007</v>
      </c>
      <c r="AK37" s="88">
        <f t="shared" si="45"/>
        <v>119.38447728079653</v>
      </c>
      <c r="AL37" s="199">
        <f t="shared" si="19"/>
        <v>0.68937508569524253</v>
      </c>
      <c r="AM37" s="213">
        <f t="shared" si="20"/>
        <v>483.63819270666556</v>
      </c>
      <c r="AN37">
        <f t="shared" si="21"/>
        <v>471.51028587673909</v>
      </c>
      <c r="AO37" s="215">
        <f t="shared" si="46"/>
        <v>48.363819270666468</v>
      </c>
      <c r="AP37" s="63">
        <f t="shared" si="22"/>
        <v>47.151028587673821</v>
      </c>
      <c r="AQ37" s="63">
        <f t="shared" si="23"/>
        <v>51.286070229345633</v>
      </c>
      <c r="AR37" s="63">
        <f t="shared" si="24"/>
        <v>50</v>
      </c>
      <c r="AS37" s="63">
        <f t="shared" si="25"/>
        <v>34.199988454664513</v>
      </c>
      <c r="AT37" s="63">
        <f t="shared" si="26"/>
        <v>19.490423337282493</v>
      </c>
      <c r="AV37" s="257">
        <f t="shared" si="41"/>
        <v>34</v>
      </c>
      <c r="AW37" s="202">
        <f t="shared" si="42"/>
        <v>941</v>
      </c>
      <c r="AX37" s="257"/>
      <c r="AY37" s="257">
        <f t="shared" si="27"/>
        <v>59.471792468545139</v>
      </c>
      <c r="AZ37" s="257">
        <f t="shared" si="28"/>
        <v>110.03333783222125</v>
      </c>
      <c r="BA37" s="257">
        <f t="shared" si="29"/>
        <v>169.50513030076638</v>
      </c>
      <c r="BB37" s="53" t="e">
        <f t="shared" si="47"/>
        <v>#NUM!</v>
      </c>
      <c r="BC37" s="198" t="e">
        <f t="shared" si="30"/>
        <v>#NUM!</v>
      </c>
      <c r="BD37" s="211">
        <f t="shared" si="31"/>
        <v>298714644.91553545</v>
      </c>
      <c r="BE37" s="257" t="e">
        <f t="shared" si="32"/>
        <v>#NUM!</v>
      </c>
      <c r="BF37" s="4" t="e">
        <f t="shared" si="48"/>
        <v>#NUM!</v>
      </c>
      <c r="BG37" s="4" t="e">
        <f t="shared" si="33"/>
        <v>#NUM!</v>
      </c>
      <c r="BH37" s="4" t="e">
        <f t="shared" si="34"/>
        <v>#NUM!</v>
      </c>
      <c r="BI37" s="4" t="e">
        <f t="shared" si="35"/>
        <v>#NUM!</v>
      </c>
      <c r="BJ37" t="e">
        <f t="shared" si="36"/>
        <v>#NUM!</v>
      </c>
      <c r="BK37" t="e">
        <f t="shared" si="37"/>
        <v>#NUM!</v>
      </c>
      <c r="BM37" s="40"/>
    </row>
    <row r="38" spans="2:65">
      <c r="B38" s="9">
        <v>2</v>
      </c>
      <c r="C38" s="291"/>
      <c r="D38" s="259">
        <v>4000</v>
      </c>
      <c r="E38" s="254" t="s">
        <v>30</v>
      </c>
      <c r="G38" s="295"/>
      <c r="H38" s="295"/>
      <c r="I38" s="295"/>
      <c r="J38" s="132">
        <f>20*LOG10(D32*1000000)</f>
        <v>113.97940008672037</v>
      </c>
      <c r="K38" s="122" t="s">
        <v>13</v>
      </c>
      <c r="O38" s="252">
        <f t="shared" si="38"/>
        <v>35</v>
      </c>
      <c r="P38" s="138">
        <f t="shared" si="4"/>
        <v>13.05</v>
      </c>
      <c r="Q38" s="146"/>
      <c r="R38" s="56">
        <f t="shared" si="43"/>
        <v>22.312210233485995</v>
      </c>
      <c r="S38" s="56">
        <f t="shared" si="6"/>
        <v>44.624420466971991</v>
      </c>
      <c r="T38" s="56">
        <f t="shared" si="7"/>
        <v>1.525967118714652</v>
      </c>
      <c r="U38" s="56">
        <f t="shared" si="8"/>
        <v>23.838177352200645</v>
      </c>
      <c r="V38" s="56">
        <f t="shared" si="9"/>
        <v>46.150387585686644</v>
      </c>
      <c r="W38" s="154">
        <f t="shared" si="10"/>
        <v>129.23671172054287</v>
      </c>
      <c r="X38" s="149">
        <f t="shared" si="11"/>
        <v>2.1432227261162518</v>
      </c>
      <c r="Y38" s="162">
        <f t="shared" si="12"/>
        <v>15.55639161902784</v>
      </c>
      <c r="Z38" s="4">
        <f t="shared" si="39"/>
        <v>47.151028587673736</v>
      </c>
      <c r="AA38" s="4">
        <f t="shared" si="13"/>
        <v>16.496343860348549</v>
      </c>
      <c r="AB38" s="4">
        <f t="shared" si="14"/>
        <v>203.01091062831367</v>
      </c>
      <c r="AC38" s="14">
        <f t="shared" si="15"/>
        <v>129.2367117205429</v>
      </c>
      <c r="AE38" s="257">
        <f t="shared" si="44"/>
        <v>35</v>
      </c>
      <c r="AF38" s="202">
        <f t="shared" si="40"/>
        <v>113</v>
      </c>
      <c r="AH38">
        <f t="shared" si="16"/>
        <v>41.061568869668392</v>
      </c>
      <c r="AI38">
        <f t="shared" si="17"/>
        <v>13.213355127567484</v>
      </c>
      <c r="AJ38" s="40">
        <f t="shared" si="18"/>
        <v>54.274923997235874</v>
      </c>
      <c r="AK38" s="88">
        <f t="shared" si="45"/>
        <v>118.79996507550767</v>
      </c>
      <c r="AL38" s="199">
        <f t="shared" si="19"/>
        <v>0.64451046509477905</v>
      </c>
      <c r="AM38" s="213">
        <f t="shared" si="20"/>
        <v>517.30443274279526</v>
      </c>
      <c r="AN38">
        <f t="shared" si="21"/>
        <v>471.51028587673915</v>
      </c>
      <c r="AO38" s="215">
        <f t="shared" si="46"/>
        <v>51.730443274279438</v>
      </c>
      <c r="AP38" s="63">
        <f t="shared" si="22"/>
        <v>47.151028587673835</v>
      </c>
      <c r="AQ38" s="63">
        <f t="shared" si="23"/>
        <v>54.856113242673509</v>
      </c>
      <c r="AR38" s="63">
        <f t="shared" si="24"/>
        <v>50</v>
      </c>
      <c r="AS38" s="63">
        <f t="shared" si="25"/>
        <v>34.78450065995338</v>
      </c>
      <c r="AT38" s="63">
        <f t="shared" si="26"/>
        <v>19.490423337282493</v>
      </c>
      <c r="AV38" s="257">
        <f t="shared" si="41"/>
        <v>35</v>
      </c>
      <c r="AW38" s="202">
        <f t="shared" si="42"/>
        <v>968</v>
      </c>
      <c r="AX38" s="257"/>
      <c r="AY38" s="257">
        <f t="shared" si="27"/>
        <v>59.717507146167875</v>
      </c>
      <c r="AZ38" s="257">
        <f t="shared" si="28"/>
        <v>113.19051118128606</v>
      </c>
      <c r="BA38" s="257">
        <f t="shared" si="29"/>
        <v>172.90801832745393</v>
      </c>
      <c r="BB38" s="53" t="e">
        <f t="shared" si="47"/>
        <v>#NUM!</v>
      </c>
      <c r="BC38" s="198" t="e">
        <f t="shared" si="30"/>
        <v>#NUM!</v>
      </c>
      <c r="BD38" s="211">
        <f t="shared" si="31"/>
        <v>441978268.70028716</v>
      </c>
      <c r="BE38" s="257" t="e">
        <f t="shared" si="32"/>
        <v>#NUM!</v>
      </c>
      <c r="BF38" s="4" t="e">
        <f t="shared" si="48"/>
        <v>#NUM!</v>
      </c>
      <c r="BG38" s="4" t="e">
        <f t="shared" si="33"/>
        <v>#NUM!</v>
      </c>
      <c r="BH38" s="4" t="e">
        <f t="shared" si="34"/>
        <v>#NUM!</v>
      </c>
      <c r="BI38" s="4" t="e">
        <f t="shared" si="35"/>
        <v>#NUM!</v>
      </c>
      <c r="BJ38" t="e">
        <f t="shared" si="36"/>
        <v>#NUM!</v>
      </c>
      <c r="BK38" t="e">
        <f t="shared" si="37"/>
        <v>#NUM!</v>
      </c>
      <c r="BM38" s="40"/>
    </row>
    <row r="39" spans="2:65">
      <c r="B39" s="9">
        <v>3</v>
      </c>
      <c r="C39" s="291"/>
      <c r="D39" s="259">
        <v>36000</v>
      </c>
      <c r="E39" s="254" t="s">
        <v>30</v>
      </c>
      <c r="G39" s="288" t="s">
        <v>216</v>
      </c>
      <c r="H39" s="288"/>
      <c r="I39" s="288"/>
      <c r="J39" s="133">
        <f>D5</f>
        <v>240</v>
      </c>
      <c r="K39" s="131" t="s">
        <v>217</v>
      </c>
      <c r="O39" s="252">
        <f t="shared" si="38"/>
        <v>36</v>
      </c>
      <c r="P39" s="138">
        <f t="shared" si="4"/>
        <v>13.425000000000001</v>
      </c>
      <c r="Q39" s="146"/>
      <c r="R39" s="56">
        <f t="shared" si="43"/>
        <v>22.558285887431865</v>
      </c>
      <c r="S39" s="56">
        <f t="shared" si="6"/>
        <v>45.116571774863729</v>
      </c>
      <c r="T39" s="56">
        <f t="shared" si="7"/>
        <v>1.5698167485627743</v>
      </c>
      <c r="U39" s="56">
        <f t="shared" si="8"/>
        <v>24.12810263599464</v>
      </c>
      <c r="V39" s="56">
        <f t="shared" si="9"/>
        <v>46.686388523426501</v>
      </c>
      <c r="W39" s="154">
        <f t="shared" si="10"/>
        <v>128.94678643674888</v>
      </c>
      <c r="X39" s="149">
        <f t="shared" si="11"/>
        <v>2.0728651095843431</v>
      </c>
      <c r="Y39" s="162">
        <f t="shared" si="12"/>
        <v>16.084409882778381</v>
      </c>
      <c r="Z39" s="4">
        <f t="shared" si="39"/>
        <v>47.151028587673792</v>
      </c>
      <c r="AA39" s="4">
        <f t="shared" si="13"/>
        <v>17.056266177598456</v>
      </c>
      <c r="AB39" s="4">
        <f t="shared" si="14"/>
        <v>215.93320267629963</v>
      </c>
      <c r="AC39" s="14">
        <f t="shared" si="15"/>
        <v>128.94678643674891</v>
      </c>
      <c r="AE39" s="257">
        <f t="shared" si="44"/>
        <v>36</v>
      </c>
      <c r="AF39" s="202">
        <f t="shared" si="40"/>
        <v>116</v>
      </c>
      <c r="AH39">
        <f t="shared" si="16"/>
        <v>41.28915978453837</v>
      </c>
      <c r="AI39">
        <f t="shared" si="17"/>
        <v>13.564152166352462</v>
      </c>
      <c r="AJ39" s="40">
        <f t="shared" si="18"/>
        <v>54.853311950890834</v>
      </c>
      <c r="AK39" s="88">
        <f t="shared" si="45"/>
        <v>118.22157712185272</v>
      </c>
      <c r="AL39" s="199">
        <f t="shared" si="19"/>
        <v>0.60299064697448379</v>
      </c>
      <c r="AM39" s="213">
        <f t="shared" si="20"/>
        <v>552.92419909915941</v>
      </c>
      <c r="AN39">
        <f t="shared" si="21"/>
        <v>471.51028587674</v>
      </c>
      <c r="AO39" s="215">
        <f t="shared" si="46"/>
        <v>55.292419909915843</v>
      </c>
      <c r="AP39" s="63">
        <f t="shared" si="22"/>
        <v>47.151028587673913</v>
      </c>
      <c r="AQ39" s="63">
        <f t="shared" si="23"/>
        <v>58.633312534321071</v>
      </c>
      <c r="AR39" s="63">
        <f t="shared" si="24"/>
        <v>50</v>
      </c>
      <c r="AS39" s="63">
        <f t="shared" si="25"/>
        <v>35.362888613608327</v>
      </c>
      <c r="AT39" s="63">
        <f t="shared" si="26"/>
        <v>19.490423337282508</v>
      </c>
      <c r="AV39" s="257">
        <f t="shared" si="41"/>
        <v>36</v>
      </c>
      <c r="AW39" s="202">
        <f t="shared" si="42"/>
        <v>995</v>
      </c>
      <c r="AX39" s="257"/>
      <c r="AY39" s="257">
        <f t="shared" si="27"/>
        <v>59.95646161491451</v>
      </c>
      <c r="AZ39" s="257">
        <f t="shared" si="28"/>
        <v>116.34768453035085</v>
      </c>
      <c r="BA39" s="257">
        <f t="shared" si="29"/>
        <v>176.30414614526535</v>
      </c>
      <c r="BB39" s="53" t="e">
        <f t="shared" si="47"/>
        <v>#NUM!</v>
      </c>
      <c r="BC39" s="198" t="e">
        <f t="shared" si="30"/>
        <v>#NUM!</v>
      </c>
      <c r="BD39" s="211">
        <f t="shared" si="31"/>
        <v>653442394.11449349</v>
      </c>
      <c r="BE39" s="257" t="e">
        <f t="shared" si="32"/>
        <v>#NUM!</v>
      </c>
      <c r="BF39" s="4" t="e">
        <f t="shared" si="48"/>
        <v>#NUM!</v>
      </c>
      <c r="BG39" s="4" t="e">
        <f t="shared" si="33"/>
        <v>#NUM!</v>
      </c>
      <c r="BH39" s="4" t="e">
        <f t="shared" si="34"/>
        <v>#NUM!</v>
      </c>
      <c r="BI39" s="4" t="e">
        <f t="shared" si="35"/>
        <v>#NUM!</v>
      </c>
      <c r="BJ39" t="e">
        <f t="shared" si="36"/>
        <v>#NUM!</v>
      </c>
      <c r="BK39" t="e">
        <f t="shared" si="37"/>
        <v>#NUM!</v>
      </c>
      <c r="BM39" s="40"/>
    </row>
    <row r="40" spans="2:65">
      <c r="B40" s="296" t="s">
        <v>193</v>
      </c>
      <c r="C40" s="297"/>
      <c r="D40" s="297"/>
      <c r="E40" s="298"/>
      <c r="G40" s="286"/>
      <c r="H40" s="289"/>
      <c r="I40" s="287"/>
      <c r="J40" s="132">
        <f>J38+20*LOG10(1/D5)</f>
        <v>66.375175252488248</v>
      </c>
      <c r="K40" s="122" t="s">
        <v>13</v>
      </c>
      <c r="O40" s="252">
        <f t="shared" si="38"/>
        <v>37</v>
      </c>
      <c r="P40" s="138">
        <f t="shared" si="4"/>
        <v>13.8</v>
      </c>
      <c r="Q40" s="146"/>
      <c r="R40" s="56">
        <f t="shared" si="43"/>
        <v>22.797581728024731</v>
      </c>
      <c r="S40" s="56">
        <f t="shared" si="6"/>
        <v>45.595163456049463</v>
      </c>
      <c r="T40" s="56">
        <f t="shared" si="7"/>
        <v>1.6136663784108964</v>
      </c>
      <c r="U40" s="56">
        <f t="shared" si="8"/>
        <v>24.411248106435629</v>
      </c>
      <c r="V40" s="56">
        <f t="shared" si="9"/>
        <v>47.20882983446036</v>
      </c>
      <c r="W40" s="154">
        <f t="shared" si="10"/>
        <v>128.6636409663079</v>
      </c>
      <c r="X40" s="149">
        <f t="shared" si="11"/>
        <v>2.0063826703230609</v>
      </c>
      <c r="Y40" s="162">
        <f t="shared" si="12"/>
        <v>16.617374415866792</v>
      </c>
      <c r="Z40" s="4">
        <f t="shared" si="39"/>
        <v>47.151028587673835</v>
      </c>
      <c r="AA40" s="4">
        <f t="shared" si="13"/>
        <v>17.621433628927118</v>
      </c>
      <c r="AB40" s="4">
        <f t="shared" si="14"/>
        <v>229.31976693896164</v>
      </c>
      <c r="AC40" s="14">
        <f t="shared" si="15"/>
        <v>128.66364096630792</v>
      </c>
      <c r="AE40" s="257">
        <f t="shared" si="44"/>
        <v>37</v>
      </c>
      <c r="AF40" s="202">
        <f t="shared" si="40"/>
        <v>119</v>
      </c>
      <c r="AH40">
        <f t="shared" si="16"/>
        <v>41.510939227850614</v>
      </c>
      <c r="AI40">
        <f t="shared" si="17"/>
        <v>13.914949205137438</v>
      </c>
      <c r="AJ40" s="40">
        <f t="shared" si="18"/>
        <v>55.425888432988053</v>
      </c>
      <c r="AK40" s="88">
        <f t="shared" si="45"/>
        <v>117.6490006397555</v>
      </c>
      <c r="AL40" s="199">
        <f t="shared" si="19"/>
        <v>0.56452314417376104</v>
      </c>
      <c r="AM40" s="213">
        <f t="shared" si="20"/>
        <v>590.60133137787977</v>
      </c>
      <c r="AN40">
        <f t="shared" si="21"/>
        <v>471.51028587673949</v>
      </c>
      <c r="AO40" s="215">
        <f t="shared" si="46"/>
        <v>59.060133137787872</v>
      </c>
      <c r="AP40" s="63">
        <f t="shared" si="22"/>
        <v>47.151028587673864</v>
      </c>
      <c r="AQ40" s="63">
        <f t="shared" si="23"/>
        <v>62.628679486779284</v>
      </c>
      <c r="AR40" s="63">
        <f t="shared" si="24"/>
        <v>50</v>
      </c>
      <c r="AS40" s="63">
        <f t="shared" si="25"/>
        <v>35.935465095705553</v>
      </c>
      <c r="AT40" s="63">
        <f t="shared" si="26"/>
        <v>19.4904233372825</v>
      </c>
      <c r="AV40" s="257">
        <f t="shared" si="41"/>
        <v>37</v>
      </c>
      <c r="AW40" s="202">
        <f t="shared" si="42"/>
        <v>1022</v>
      </c>
      <c r="AX40" s="257"/>
      <c r="AY40" s="257">
        <f t="shared" si="27"/>
        <v>60.189017915973878</v>
      </c>
      <c r="AZ40" s="257">
        <f t="shared" si="28"/>
        <v>119.50485787941565</v>
      </c>
      <c r="BA40" s="257">
        <f t="shared" si="29"/>
        <v>179.69387579538954</v>
      </c>
      <c r="BB40" s="53" t="e">
        <f t="shared" si="47"/>
        <v>#NUM!</v>
      </c>
      <c r="BC40" s="198" t="e">
        <f t="shared" si="30"/>
        <v>#NUM!</v>
      </c>
      <c r="BD40" s="211">
        <f t="shared" si="31"/>
        <v>965369980.62844849</v>
      </c>
      <c r="BE40" s="257" t="e">
        <f t="shared" si="32"/>
        <v>#NUM!</v>
      </c>
      <c r="BF40" s="4" t="e">
        <f t="shared" si="48"/>
        <v>#NUM!</v>
      </c>
      <c r="BG40" s="4" t="e">
        <f t="shared" si="33"/>
        <v>#NUM!</v>
      </c>
      <c r="BH40" s="4" t="e">
        <f t="shared" si="34"/>
        <v>#NUM!</v>
      </c>
      <c r="BI40" s="4" t="e">
        <f t="shared" si="35"/>
        <v>#NUM!</v>
      </c>
      <c r="BJ40" t="e">
        <f t="shared" si="36"/>
        <v>#NUM!</v>
      </c>
      <c r="BK40" t="e">
        <f t="shared" si="37"/>
        <v>#NUM!</v>
      </c>
      <c r="BM40" s="40"/>
    </row>
    <row r="41" spans="2:65">
      <c r="B41" s="286" t="s">
        <v>194</v>
      </c>
      <c r="C41" s="287"/>
      <c r="D41" s="258">
        <v>-30</v>
      </c>
      <c r="E41" s="254" t="s">
        <v>13</v>
      </c>
      <c r="G41" s="288" t="s">
        <v>216</v>
      </c>
      <c r="H41" s="288"/>
      <c r="I41" s="288"/>
      <c r="J41" s="133">
        <f>D5</f>
        <v>240</v>
      </c>
      <c r="K41" s="131" t="s">
        <v>218</v>
      </c>
      <c r="L41" s="242">
        <f>D34</f>
        <v>7</v>
      </c>
      <c r="M41" s="131" t="s">
        <v>11</v>
      </c>
      <c r="N41" s="174"/>
      <c r="O41" s="252">
        <f t="shared" si="38"/>
        <v>38</v>
      </c>
      <c r="P41" s="138">
        <f t="shared" si="4"/>
        <v>14.175000000000001</v>
      </c>
      <c r="Q41" s="146"/>
      <c r="R41" s="56">
        <f t="shared" si="43"/>
        <v>23.030461351298882</v>
      </c>
      <c r="S41" s="56">
        <f t="shared" si="6"/>
        <v>46.060922702597765</v>
      </c>
      <c r="T41" s="56">
        <f t="shared" si="7"/>
        <v>1.6575160082590183</v>
      </c>
      <c r="U41" s="56">
        <f t="shared" si="8"/>
        <v>24.687977359557902</v>
      </c>
      <c r="V41" s="56">
        <f t="shared" si="9"/>
        <v>47.71843871085678</v>
      </c>
      <c r="W41" s="154">
        <f t="shared" si="10"/>
        <v>128.38691171318564</v>
      </c>
      <c r="X41" s="149">
        <f t="shared" si="11"/>
        <v>1.9434676026261744</v>
      </c>
      <c r="Y41" s="162">
        <f t="shared" si="12"/>
        <v>17.155321760554234</v>
      </c>
      <c r="Z41" s="4">
        <f t="shared" si="39"/>
        <v>47.151028587673906</v>
      </c>
      <c r="AA41" s="4">
        <f t="shared" si="13"/>
        <v>18.191884964561474</v>
      </c>
      <c r="AB41" s="4">
        <f t="shared" si="14"/>
        <v>243.17668595585607</v>
      </c>
      <c r="AC41" s="14">
        <f t="shared" si="15"/>
        <v>128.38691171318564</v>
      </c>
      <c r="AE41" s="252">
        <v>38</v>
      </c>
      <c r="AF41" s="202">
        <f t="shared" si="40"/>
        <v>122</v>
      </c>
      <c r="AH41">
        <f t="shared" si="16"/>
        <v>41.727196613494968</v>
      </c>
      <c r="AI41">
        <f t="shared" si="17"/>
        <v>14.265746243922417</v>
      </c>
      <c r="AJ41" s="40">
        <f t="shared" si="18"/>
        <v>55.992942857417383</v>
      </c>
      <c r="AK41" s="88">
        <f t="shared" si="45"/>
        <v>117.08194621532617</v>
      </c>
      <c r="AL41" s="199">
        <f t="shared" si="19"/>
        <v>0.52884576454558174</v>
      </c>
      <c r="AM41" s="213">
        <f t="shared" si="20"/>
        <v>630.44491020767816</v>
      </c>
      <c r="AN41">
        <f t="shared" si="21"/>
        <v>471.51028587673966</v>
      </c>
      <c r="AO41" s="215">
        <f t="shared" si="46"/>
        <v>63.044491020767708</v>
      </c>
      <c r="AP41" s="63">
        <f t="shared" si="22"/>
        <v>47.151028587673885</v>
      </c>
      <c r="AQ41" s="63">
        <f t="shared" si="23"/>
        <v>66.853781252662486</v>
      </c>
      <c r="AR41" s="63">
        <f t="shared" si="24"/>
        <v>50</v>
      </c>
      <c r="AS41" s="63">
        <f t="shared" si="25"/>
        <v>36.502519520134882</v>
      </c>
      <c r="AT41" s="63">
        <f t="shared" si="26"/>
        <v>19.4904233372825</v>
      </c>
      <c r="AV41" s="257">
        <f t="shared" si="41"/>
        <v>38</v>
      </c>
      <c r="AW41" s="202">
        <f t="shared" si="42"/>
        <v>1049</v>
      </c>
      <c r="AX41" s="257"/>
      <c r="AY41" s="257">
        <f t="shared" si="27"/>
        <v>60.415509763871157</v>
      </c>
      <c r="AZ41" s="257">
        <f t="shared" si="28"/>
        <v>122.66203122848044</v>
      </c>
      <c r="BA41" s="257">
        <f t="shared" si="29"/>
        <v>183.0775409923516</v>
      </c>
      <c r="BB41" s="53" t="e">
        <f t="shared" si="47"/>
        <v>#NUM!</v>
      </c>
      <c r="BC41" s="198" t="e">
        <f t="shared" si="30"/>
        <v>#NUM!</v>
      </c>
      <c r="BD41" s="211">
        <f t="shared" si="31"/>
        <v>1425204055.9166145</v>
      </c>
      <c r="BE41" s="257" t="e">
        <f t="shared" si="32"/>
        <v>#NUM!</v>
      </c>
      <c r="BF41" s="4" t="e">
        <f t="shared" si="48"/>
        <v>#NUM!</v>
      </c>
      <c r="BG41" s="4" t="e">
        <f t="shared" si="33"/>
        <v>#NUM!</v>
      </c>
      <c r="BH41" s="4" t="e">
        <f t="shared" si="34"/>
        <v>#NUM!</v>
      </c>
      <c r="BI41" s="4" t="e">
        <f t="shared" si="35"/>
        <v>#NUM!</v>
      </c>
      <c r="BJ41" t="e">
        <f t="shared" si="36"/>
        <v>#NUM!</v>
      </c>
      <c r="BK41" t="e">
        <f t="shared" si="37"/>
        <v>#NUM!</v>
      </c>
      <c r="BM41" s="40"/>
    </row>
    <row r="42" spans="2:65">
      <c r="G42" s="286"/>
      <c r="H42" s="289"/>
      <c r="I42" s="287"/>
      <c r="J42" s="134">
        <f>J40+10*LOG10(D35)</f>
        <v>104.82615565263082</v>
      </c>
      <c r="K42" s="122" t="s">
        <v>13</v>
      </c>
      <c r="O42" s="252">
        <f t="shared" si="38"/>
        <v>39</v>
      </c>
      <c r="P42" s="138">
        <f t="shared" si="4"/>
        <v>14.55</v>
      </c>
      <c r="Q42" s="146"/>
      <c r="R42" s="56">
        <f t="shared" si="43"/>
        <v>23.257259866438524</v>
      </c>
      <c r="S42" s="56">
        <f t="shared" si="6"/>
        <v>46.514519732877048</v>
      </c>
      <c r="T42" s="56">
        <f t="shared" si="7"/>
        <v>1.7013656381071407</v>
      </c>
      <c r="U42" s="56">
        <f t="shared" si="8"/>
        <v>24.958625504545665</v>
      </c>
      <c r="V42" s="56">
        <f t="shared" si="9"/>
        <v>48.215885370984189</v>
      </c>
      <c r="W42" s="154">
        <f t="shared" si="10"/>
        <v>128.11626356819787</v>
      </c>
      <c r="X42" s="149">
        <f t="shared" si="11"/>
        <v>1.8838438345705304</v>
      </c>
      <c r="Y42" s="162">
        <f t="shared" si="12"/>
        <v>17.698288702293524</v>
      </c>
      <c r="Z42" s="4">
        <f t="shared" si="39"/>
        <v>47.151028587673835</v>
      </c>
      <c r="AA42" s="4">
        <f t="shared" si="13"/>
        <v>18.767659192614296</v>
      </c>
      <c r="AB42" s="4">
        <f t="shared" si="14"/>
        <v>257.51010061837087</v>
      </c>
      <c r="AC42" s="14">
        <f t="shared" si="15"/>
        <v>128.11626356819789</v>
      </c>
      <c r="AE42" s="252">
        <f>AE41+1</f>
        <v>39</v>
      </c>
      <c r="AF42" s="202">
        <f t="shared" si="40"/>
        <v>125</v>
      </c>
      <c r="AH42">
        <f t="shared" si="16"/>
        <v>41.938200260161125</v>
      </c>
      <c r="AI42">
        <f t="shared" si="17"/>
        <v>14.616543282707394</v>
      </c>
      <c r="AJ42" s="40">
        <f t="shared" si="18"/>
        <v>56.554743542868522</v>
      </c>
      <c r="AK42" s="88">
        <f t="shared" si="45"/>
        <v>116.52014552987502</v>
      </c>
      <c r="AL42" s="199">
        <f t="shared" si="19"/>
        <v>0.495722916610224</v>
      </c>
      <c r="AM42" s="213">
        <f t="shared" si="20"/>
        <v>672.5695128692256</v>
      </c>
      <c r="AN42">
        <f t="shared" si="21"/>
        <v>471.51028587673954</v>
      </c>
      <c r="AO42" s="215">
        <f t="shared" si="46"/>
        <v>67.256951286922444</v>
      </c>
      <c r="AP42" s="63">
        <f t="shared" si="22"/>
        <v>47.151028587673871</v>
      </c>
      <c r="AQ42" s="63">
        <f t="shared" si="23"/>
        <v>71.320767861790216</v>
      </c>
      <c r="AR42" s="63">
        <f t="shared" si="24"/>
        <v>50</v>
      </c>
      <c r="AS42" s="63">
        <f t="shared" si="25"/>
        <v>37.064320205586021</v>
      </c>
      <c r="AT42" s="63">
        <f t="shared" si="26"/>
        <v>19.4904233372825</v>
      </c>
      <c r="AV42" s="257">
        <f t="shared" si="41"/>
        <v>39</v>
      </c>
      <c r="AW42" s="202">
        <f t="shared" si="42"/>
        <v>1076</v>
      </c>
      <c r="AX42" s="257"/>
      <c r="AY42" s="257">
        <f t="shared" si="27"/>
        <v>60.63624542660741</v>
      </c>
      <c r="AZ42" s="257">
        <f t="shared" si="28"/>
        <v>125.81920457754525</v>
      </c>
      <c r="BA42" s="257">
        <f t="shared" si="29"/>
        <v>186.45545000415265</v>
      </c>
      <c r="BB42" s="53" t="e">
        <f t="shared" si="47"/>
        <v>#NUM!</v>
      </c>
      <c r="BC42" s="198" t="e">
        <f t="shared" si="30"/>
        <v>#NUM!</v>
      </c>
      <c r="BD42" s="211">
        <f t="shared" si="31"/>
        <v>2102676690.0475366</v>
      </c>
      <c r="BE42" s="257" t="e">
        <f t="shared" si="32"/>
        <v>#NUM!</v>
      </c>
      <c r="BF42" s="4" t="e">
        <f t="shared" si="48"/>
        <v>#NUM!</v>
      </c>
      <c r="BG42" s="4" t="e">
        <f t="shared" si="33"/>
        <v>#NUM!</v>
      </c>
      <c r="BH42" s="4" t="e">
        <f t="shared" si="34"/>
        <v>#NUM!</v>
      </c>
      <c r="BI42" s="4" t="e">
        <f t="shared" si="35"/>
        <v>#NUM!</v>
      </c>
      <c r="BJ42" t="e">
        <f t="shared" si="36"/>
        <v>#NUM!</v>
      </c>
      <c r="BK42" t="e">
        <f t="shared" si="37"/>
        <v>#NUM!</v>
      </c>
      <c r="BM42" s="40"/>
    </row>
    <row r="43" spans="2:65">
      <c r="G43" s="290" t="s">
        <v>219</v>
      </c>
      <c r="H43" s="290"/>
      <c r="I43" s="290"/>
      <c r="J43" s="128">
        <f>J42-J9</f>
        <v>75.237733537956771</v>
      </c>
      <c r="K43" s="135" t="s">
        <v>13</v>
      </c>
      <c r="O43" s="252">
        <f t="shared" si="38"/>
        <v>40</v>
      </c>
      <c r="P43" s="138">
        <f t="shared" si="4"/>
        <v>14.925000000000001</v>
      </c>
      <c r="Q43" s="146"/>
      <c r="R43" s="56">
        <f t="shared" si="43"/>
        <v>23.478286796028133</v>
      </c>
      <c r="S43" s="56">
        <f t="shared" si="6"/>
        <v>46.956573592056266</v>
      </c>
      <c r="T43" s="56">
        <f t="shared" si="7"/>
        <v>1.7452152679552628</v>
      </c>
      <c r="U43" s="56">
        <f t="shared" si="8"/>
        <v>25.223502063983396</v>
      </c>
      <c r="V43" s="56">
        <f t="shared" si="9"/>
        <v>48.701788860011526</v>
      </c>
      <c r="W43" s="154">
        <f t="shared" si="10"/>
        <v>127.85138700876014</v>
      </c>
      <c r="X43" s="149">
        <f t="shared" si="11"/>
        <v>1.8272630413538544</v>
      </c>
      <c r="Y43" s="162">
        <f t="shared" si="12"/>
        <v>18.246312271254666</v>
      </c>
      <c r="Z43" s="4">
        <f t="shared" si="39"/>
        <v>47.151028587673878</v>
      </c>
      <c r="AA43" s="4">
        <f t="shared" si="13"/>
        <v>19.348795580701921</v>
      </c>
      <c r="AB43" s="4">
        <f t="shared" si="14"/>
        <v>272.32621064847575</v>
      </c>
      <c r="AC43" s="14">
        <f t="shared" si="15"/>
        <v>127.85138700876014</v>
      </c>
      <c r="AE43" s="252">
        <f t="shared" ref="AE43:AE98" si="49">AE42+1</f>
        <v>40</v>
      </c>
      <c r="AF43" s="202">
        <f t="shared" si="40"/>
        <v>128</v>
      </c>
      <c r="AH43">
        <f t="shared" si="16"/>
        <v>42.144199392957368</v>
      </c>
      <c r="AI43">
        <f t="shared" si="17"/>
        <v>14.967340321492371</v>
      </c>
      <c r="AJ43" s="40">
        <f t="shared" si="18"/>
        <v>57.111539714449741</v>
      </c>
      <c r="AK43" s="88">
        <f t="shared" si="45"/>
        <v>115.9633493582938</v>
      </c>
      <c r="AL43" s="199">
        <f t="shared" si="19"/>
        <v>0.4649424370049362</v>
      </c>
      <c r="AM43" s="213">
        <f t="shared" si="20"/>
        <v>717.09548108879085</v>
      </c>
      <c r="AN43">
        <f t="shared" si="21"/>
        <v>471.51028587673881</v>
      </c>
      <c r="AO43" s="215">
        <f t="shared" si="46"/>
        <v>71.709548108878963</v>
      </c>
      <c r="AP43" s="63">
        <f t="shared" si="22"/>
        <v>47.1510285876738</v>
      </c>
      <c r="AQ43" s="63">
        <f t="shared" si="23"/>
        <v>76.042400618621116</v>
      </c>
      <c r="AR43" s="63">
        <f t="shared" si="24"/>
        <v>50</v>
      </c>
      <c r="AS43" s="63">
        <f t="shared" si="25"/>
        <v>37.621116377167255</v>
      </c>
      <c r="AT43" s="63">
        <f t="shared" si="26"/>
        <v>19.490423337282486</v>
      </c>
      <c r="AV43" s="257">
        <f t="shared" si="41"/>
        <v>40</v>
      </c>
      <c r="AW43" s="202">
        <f t="shared" si="42"/>
        <v>1103</v>
      </c>
      <c r="AX43" s="257"/>
      <c r="AY43" s="257">
        <f t="shared" si="27"/>
        <v>60.851510248803812</v>
      </c>
      <c r="AZ43" s="257">
        <f t="shared" si="28"/>
        <v>128.97637792661004</v>
      </c>
      <c r="BA43" s="257">
        <f t="shared" si="29"/>
        <v>189.82788817541385</v>
      </c>
      <c r="BB43" s="53" t="e">
        <f t="shared" si="47"/>
        <v>#NUM!</v>
      </c>
      <c r="BC43" s="198" t="e">
        <f t="shared" si="30"/>
        <v>#NUM!</v>
      </c>
      <c r="BD43" s="211">
        <f t="shared" si="31"/>
        <v>3100233528.4628739</v>
      </c>
      <c r="BE43" s="257" t="e">
        <f t="shared" si="32"/>
        <v>#NUM!</v>
      </c>
      <c r="BF43" s="4" t="e">
        <f t="shared" si="48"/>
        <v>#NUM!</v>
      </c>
      <c r="BG43" s="4" t="e">
        <f t="shared" si="33"/>
        <v>#NUM!</v>
      </c>
      <c r="BH43" s="4" t="e">
        <f t="shared" si="34"/>
        <v>#NUM!</v>
      </c>
      <c r="BI43" s="4" t="e">
        <f t="shared" si="35"/>
        <v>#NUM!</v>
      </c>
      <c r="BJ43" t="e">
        <f t="shared" si="36"/>
        <v>#NUM!</v>
      </c>
      <c r="BK43" t="e">
        <f t="shared" si="37"/>
        <v>#NUM!</v>
      </c>
      <c r="BM43" s="40"/>
    </row>
    <row r="44" spans="2:65">
      <c r="G44" s="288" t="s">
        <v>220</v>
      </c>
      <c r="H44" s="288"/>
      <c r="I44" s="288"/>
      <c r="J44" s="288"/>
      <c r="K44" s="288"/>
      <c r="O44" s="252">
        <f t="shared" si="38"/>
        <v>41</v>
      </c>
      <c r="P44" s="138">
        <f t="shared" si="4"/>
        <v>15.3</v>
      </c>
      <c r="Q44" s="146"/>
      <c r="R44" s="56">
        <f t="shared" si="43"/>
        <v>23.693828616351979</v>
      </c>
      <c r="S44" s="56">
        <f t="shared" si="6"/>
        <v>47.387657232703958</v>
      </c>
      <c r="T44" s="56">
        <f t="shared" si="7"/>
        <v>1.7890648978033852</v>
      </c>
      <c r="U44" s="56">
        <f t="shared" si="8"/>
        <v>25.482893514155364</v>
      </c>
      <c r="V44" s="56">
        <f t="shared" si="9"/>
        <v>49.176722130507343</v>
      </c>
      <c r="W44" s="154">
        <f t="shared" si="10"/>
        <v>127.59199555858818</v>
      </c>
      <c r="X44" s="149">
        <f t="shared" si="11"/>
        <v>1.7735012449063587</v>
      </c>
      <c r="Y44" s="162">
        <f t="shared" si="12"/>
        <v>18.799429743859786</v>
      </c>
      <c r="Z44" s="4">
        <f t="shared" si="39"/>
        <v>47.151028587673878</v>
      </c>
      <c r="AA44" s="4">
        <f t="shared" si="13"/>
        <v>19.93533365757191</v>
      </c>
      <c r="AB44" s="4">
        <f t="shared" si="14"/>
        <v>287.63127508105504</v>
      </c>
      <c r="AC44" s="14">
        <f t="shared" si="15"/>
        <v>127.59199555858817</v>
      </c>
      <c r="AE44" s="252">
        <f t="shared" si="49"/>
        <v>41</v>
      </c>
      <c r="AF44" s="202">
        <f t="shared" si="40"/>
        <v>131</v>
      </c>
      <c r="AH44">
        <f t="shared" si="16"/>
        <v>42.345425913115292</v>
      </c>
      <c r="AI44">
        <f t="shared" si="17"/>
        <v>15.318137360277349</v>
      </c>
      <c r="AJ44" s="40">
        <f t="shared" si="18"/>
        <v>57.66356327339264</v>
      </c>
      <c r="AK44" s="88">
        <f t="shared" si="45"/>
        <v>115.41132579935091</v>
      </c>
      <c r="AL44" s="199">
        <f t="shared" si="19"/>
        <v>0.43631285599473313</v>
      </c>
      <c r="AM44" s="213">
        <f t="shared" si="20"/>
        <v>764.14920156896437</v>
      </c>
      <c r="AN44">
        <f t="shared" si="21"/>
        <v>471.5102858767392</v>
      </c>
      <c r="AO44" s="215">
        <f t="shared" si="46"/>
        <v>76.414920156896301</v>
      </c>
      <c r="AP44" s="63">
        <f t="shared" si="22"/>
        <v>47.151028587673835</v>
      </c>
      <c r="AQ44" s="63">
        <f t="shared" si="23"/>
        <v>81.032081850354999</v>
      </c>
      <c r="AR44" s="63">
        <f t="shared" si="24"/>
        <v>50</v>
      </c>
      <c r="AS44" s="63">
        <f t="shared" si="25"/>
        <v>38.17313993611014</v>
      </c>
      <c r="AT44" s="63">
        <f t="shared" si="26"/>
        <v>19.4904233372825</v>
      </c>
      <c r="AV44" s="257">
        <f t="shared" si="41"/>
        <v>41</v>
      </c>
      <c r="AW44" s="202">
        <f t="shared" si="42"/>
        <v>1130</v>
      </c>
      <c r="AX44" s="257"/>
      <c r="AY44" s="257">
        <f t="shared" si="27"/>
        <v>61.061568869668392</v>
      </c>
      <c r="AZ44" s="257">
        <f t="shared" si="28"/>
        <v>132.13355127567482</v>
      </c>
      <c r="BA44" s="257">
        <f t="shared" si="29"/>
        <v>193.1951201453432</v>
      </c>
      <c r="BB44" s="53" t="e">
        <f t="shared" si="47"/>
        <v>#NUM!</v>
      </c>
      <c r="BC44" s="198" t="e">
        <f t="shared" si="30"/>
        <v>#NUM!</v>
      </c>
      <c r="BD44" s="211">
        <f t="shared" si="31"/>
        <v>4568314631.8027086</v>
      </c>
      <c r="BE44" s="257" t="e">
        <f t="shared" si="32"/>
        <v>#NUM!</v>
      </c>
      <c r="BF44" s="4" t="e">
        <f t="shared" si="48"/>
        <v>#NUM!</v>
      </c>
      <c r="BG44" s="4" t="e">
        <f t="shared" si="33"/>
        <v>#NUM!</v>
      </c>
      <c r="BH44" s="4" t="e">
        <f t="shared" si="34"/>
        <v>#NUM!</v>
      </c>
      <c r="BI44" s="4" t="e">
        <f t="shared" si="35"/>
        <v>#NUM!</v>
      </c>
      <c r="BJ44" t="e">
        <f t="shared" si="36"/>
        <v>#NUM!</v>
      </c>
      <c r="BK44" t="e">
        <f t="shared" si="37"/>
        <v>#NUM!</v>
      </c>
      <c r="BM44" s="40"/>
    </row>
    <row r="45" spans="2:65">
      <c r="G45" s="285">
        <v>1</v>
      </c>
      <c r="H45" s="285"/>
      <c r="I45" s="285"/>
      <c r="J45" s="259">
        <f>D29*(D37/1000000)/2</f>
        <v>0.375</v>
      </c>
      <c r="K45" s="253" t="s">
        <v>7</v>
      </c>
      <c r="O45" s="252">
        <f t="shared" si="38"/>
        <v>42</v>
      </c>
      <c r="P45" s="138">
        <f t="shared" si="4"/>
        <v>15.675000000000001</v>
      </c>
      <c r="Q45" s="146"/>
      <c r="R45" s="56">
        <f t="shared" si="43"/>
        <v>23.904150990055083</v>
      </c>
      <c r="S45" s="56">
        <f t="shared" si="6"/>
        <v>47.808301980110166</v>
      </c>
      <c r="T45" s="56">
        <f t="shared" si="7"/>
        <v>1.8329145276515073</v>
      </c>
      <c r="U45" s="56">
        <f t="shared" si="8"/>
        <v>25.73706551770659</v>
      </c>
      <c r="V45" s="56">
        <f t="shared" si="9"/>
        <v>49.641216507761676</v>
      </c>
      <c r="W45" s="154">
        <f t="shared" si="10"/>
        <v>127.33782355503696</v>
      </c>
      <c r="X45" s="149">
        <f t="shared" si="11"/>
        <v>1.7223559015964807</v>
      </c>
      <c r="Y45" s="162">
        <f t="shared" si="12"/>
        <v>19.357678644327116</v>
      </c>
      <c r="Z45" s="4">
        <f t="shared" si="39"/>
        <v>47.151028587673892</v>
      </c>
      <c r="AA45" s="4">
        <f t="shared" si="13"/>
        <v>20.527313214740325</v>
      </c>
      <c r="AB45" s="4">
        <f t="shared" si="14"/>
        <v>303.43161274982776</v>
      </c>
      <c r="AC45" s="14">
        <f t="shared" si="15"/>
        <v>127.33782355503696</v>
      </c>
      <c r="AE45" s="252">
        <f t="shared" si="49"/>
        <v>42</v>
      </c>
      <c r="AF45" s="202">
        <f t="shared" si="40"/>
        <v>134</v>
      </c>
      <c r="AH45">
        <f t="shared" si="16"/>
        <v>42.542095967296156</v>
      </c>
      <c r="AI45">
        <f t="shared" si="17"/>
        <v>15.668934399062326</v>
      </c>
      <c r="AJ45" s="40">
        <f t="shared" si="18"/>
        <v>58.211030366358486</v>
      </c>
      <c r="AK45" s="88">
        <f t="shared" si="45"/>
        <v>114.86385870638505</v>
      </c>
      <c r="AL45" s="199">
        <f t="shared" si="19"/>
        <v>0.40966103231019452</v>
      </c>
      <c r="AM45" s="213">
        <f t="shared" si="20"/>
        <v>813.86339985149789</v>
      </c>
      <c r="AN45">
        <f t="shared" si="21"/>
        <v>471.51028587673829</v>
      </c>
      <c r="AO45" s="215">
        <f t="shared" si="46"/>
        <v>81.386339985149647</v>
      </c>
      <c r="AP45" s="63">
        <f t="shared" si="22"/>
        <v>47.151028587673743</v>
      </c>
      <c r="AQ45" s="63">
        <f t="shared" si="23"/>
        <v>86.303886068803294</v>
      </c>
      <c r="AR45" s="63">
        <f t="shared" si="24"/>
        <v>49.999999999999993</v>
      </c>
      <c r="AS45" s="63">
        <f t="shared" si="25"/>
        <v>38.720607029076007</v>
      </c>
      <c r="AT45" s="63">
        <f t="shared" si="26"/>
        <v>19.490423337282479</v>
      </c>
      <c r="AV45" s="257">
        <f t="shared" si="41"/>
        <v>42</v>
      </c>
      <c r="AW45" s="202">
        <f t="shared" si="42"/>
        <v>1157</v>
      </c>
      <c r="AX45" s="257"/>
      <c r="AY45" s="257">
        <f t="shared" si="27"/>
        <v>61.266667179034997</v>
      </c>
      <c r="AZ45" s="257">
        <f t="shared" si="28"/>
        <v>135.29072462473962</v>
      </c>
      <c r="BA45" s="257">
        <f t="shared" si="29"/>
        <v>196.55739180377464</v>
      </c>
      <c r="BB45" s="53" t="e">
        <f t="shared" si="47"/>
        <v>#NUM!</v>
      </c>
      <c r="BC45" s="198" t="e">
        <f t="shared" si="30"/>
        <v>#NUM!</v>
      </c>
      <c r="BD45" s="211">
        <f t="shared" si="31"/>
        <v>6727746054.0174675</v>
      </c>
      <c r="BE45" s="257" t="e">
        <f t="shared" si="32"/>
        <v>#NUM!</v>
      </c>
      <c r="BF45" s="4" t="e">
        <f t="shared" si="48"/>
        <v>#NUM!</v>
      </c>
      <c r="BG45" s="4" t="e">
        <f t="shared" si="33"/>
        <v>#NUM!</v>
      </c>
      <c r="BH45" s="4" t="e">
        <f t="shared" si="34"/>
        <v>#NUM!</v>
      </c>
      <c r="BI45" s="4" t="e">
        <f t="shared" si="35"/>
        <v>#NUM!</v>
      </c>
      <c r="BJ45" t="e">
        <f t="shared" si="36"/>
        <v>#NUM!</v>
      </c>
      <c r="BK45" t="e">
        <f t="shared" si="37"/>
        <v>#NUM!</v>
      </c>
      <c r="BM45" s="40"/>
    </row>
    <row r="46" spans="2:65">
      <c r="G46" s="285">
        <v>2</v>
      </c>
      <c r="H46" s="285"/>
      <c r="I46" s="285"/>
      <c r="J46" s="259">
        <f>$D$29*(D38/1000000)/2</f>
        <v>3</v>
      </c>
      <c r="K46" s="253" t="s">
        <v>7</v>
      </c>
      <c r="O46" s="252">
        <f t="shared" si="38"/>
        <v>43</v>
      </c>
      <c r="P46" s="138">
        <f t="shared" si="4"/>
        <v>16.05</v>
      </c>
      <c r="Q46" s="146"/>
      <c r="R46" s="56">
        <f t="shared" si="43"/>
        <v>24.109500734817818</v>
      </c>
      <c r="S46" s="56">
        <f t="shared" si="6"/>
        <v>48.219001469635636</v>
      </c>
      <c r="T46" s="56">
        <f t="shared" si="7"/>
        <v>1.8767641574996294</v>
      </c>
      <c r="U46" s="56">
        <f t="shared" si="8"/>
        <v>25.986264892317447</v>
      </c>
      <c r="V46" s="56">
        <f t="shared" si="9"/>
        <v>50.095765627135265</v>
      </c>
      <c r="W46" s="154">
        <f t="shared" si="10"/>
        <v>127.08862418042609</v>
      </c>
      <c r="X46" s="149">
        <f t="shared" si="11"/>
        <v>1.6736433982021461</v>
      </c>
      <c r="Y46" s="162">
        <f t="shared" si="12"/>
        <v>19.921096746224546</v>
      </c>
      <c r="Z46" s="4">
        <f t="shared" si="39"/>
        <v>47.151028587673892</v>
      </c>
      <c r="AA46" s="4">
        <f t="shared" si="13"/>
        <v>21.124774308139163</v>
      </c>
      <c r="AB46" s="4">
        <f t="shared" si="14"/>
        <v>319.73360277690392</v>
      </c>
      <c r="AC46" s="14">
        <f t="shared" si="15"/>
        <v>127.08862418042608</v>
      </c>
      <c r="AE46" s="252">
        <f t="shared" si="49"/>
        <v>43</v>
      </c>
      <c r="AF46" s="202">
        <f t="shared" si="40"/>
        <v>137</v>
      </c>
      <c r="AH46">
        <f t="shared" si="16"/>
        <v>42.73441134312813</v>
      </c>
      <c r="AI46">
        <f t="shared" si="17"/>
        <v>16.019731437847305</v>
      </c>
      <c r="AJ46" s="40">
        <f t="shared" si="18"/>
        <v>58.754142780975435</v>
      </c>
      <c r="AK46" s="88">
        <f t="shared" si="45"/>
        <v>114.32074629176812</v>
      </c>
      <c r="AL46" s="199">
        <f t="shared" si="19"/>
        <v>0.38483010062240969</v>
      </c>
      <c r="AM46" s="213">
        <f t="shared" si="20"/>
        <v>866.37744813466622</v>
      </c>
      <c r="AN46">
        <f t="shared" si="21"/>
        <v>471.5102858767396</v>
      </c>
      <c r="AO46" s="215">
        <f t="shared" si="46"/>
        <v>86.637744813466469</v>
      </c>
      <c r="AP46" s="63">
        <f t="shared" si="22"/>
        <v>47.151028587673878</v>
      </c>
      <c r="AQ46" s="63">
        <f t="shared" si="23"/>
        <v>91.872592612025358</v>
      </c>
      <c r="AR46" s="63">
        <f t="shared" si="24"/>
        <v>50</v>
      </c>
      <c r="AS46" s="63">
        <f t="shared" si="25"/>
        <v>39.263719443692935</v>
      </c>
      <c r="AT46" s="63">
        <f t="shared" si="26"/>
        <v>19.4904233372825</v>
      </c>
      <c r="AV46" s="257">
        <f t="shared" si="41"/>
        <v>43</v>
      </c>
      <c r="AW46" s="202">
        <f t="shared" si="42"/>
        <v>1184</v>
      </c>
      <c r="AX46" s="257"/>
      <c r="AY46" s="257">
        <f t="shared" si="27"/>
        <v>61.467034047738018</v>
      </c>
      <c r="AZ46" s="257">
        <f t="shared" si="28"/>
        <v>138.44789797380443</v>
      </c>
      <c r="BA46" s="257">
        <f t="shared" si="29"/>
        <v>199.91493202154246</v>
      </c>
      <c r="BB46" s="53" t="e">
        <f t="shared" si="47"/>
        <v>#NUM!</v>
      </c>
      <c r="BC46" s="198" t="e">
        <f t="shared" si="30"/>
        <v>#NUM!</v>
      </c>
      <c r="BD46" s="211">
        <f t="shared" si="31"/>
        <v>9902539902.4590416</v>
      </c>
      <c r="BE46" s="257" t="e">
        <f t="shared" si="32"/>
        <v>#NUM!</v>
      </c>
      <c r="BF46" s="4" t="e">
        <f t="shared" si="48"/>
        <v>#NUM!</v>
      </c>
      <c r="BG46" s="4" t="e">
        <f t="shared" si="33"/>
        <v>#NUM!</v>
      </c>
      <c r="BH46" s="4" t="e">
        <f t="shared" si="34"/>
        <v>#NUM!</v>
      </c>
      <c r="BI46" s="4" t="e">
        <f t="shared" si="35"/>
        <v>#NUM!</v>
      </c>
      <c r="BJ46" t="e">
        <f t="shared" si="36"/>
        <v>#NUM!</v>
      </c>
      <c r="BK46" t="e">
        <f t="shared" si="37"/>
        <v>#NUM!</v>
      </c>
      <c r="BM46" s="40"/>
    </row>
    <row r="47" spans="2:65">
      <c r="G47" s="285">
        <v>3</v>
      </c>
      <c r="H47" s="285"/>
      <c r="I47" s="285"/>
      <c r="J47" s="259">
        <f>$D$29*(D39/1000000)/2</f>
        <v>26.999999999999996</v>
      </c>
      <c r="K47" s="253" t="s">
        <v>7</v>
      </c>
      <c r="O47" s="252">
        <f t="shared" si="38"/>
        <v>44</v>
      </c>
      <c r="P47" s="138">
        <f t="shared" si="4"/>
        <v>16.425000000000001</v>
      </c>
      <c r="Q47" s="146"/>
      <c r="R47" s="56">
        <f t="shared" si="43"/>
        <v>24.310107564636368</v>
      </c>
      <c r="S47" s="56">
        <f t="shared" si="6"/>
        <v>48.620215129272736</v>
      </c>
      <c r="T47" s="56">
        <f t="shared" si="7"/>
        <v>1.9206137873477518</v>
      </c>
      <c r="U47" s="56">
        <f t="shared" si="8"/>
        <v>26.230721351984119</v>
      </c>
      <c r="V47" s="56">
        <f t="shared" si="9"/>
        <v>50.540828916620491</v>
      </c>
      <c r="W47" s="154">
        <f t="shared" si="10"/>
        <v>126.84416772075942</v>
      </c>
      <c r="X47" s="149">
        <f t="shared" si="11"/>
        <v>1.6271968908997303</v>
      </c>
      <c r="Y47" s="162">
        <f t="shared" si="12"/>
        <v>20.489722074032304</v>
      </c>
      <c r="Z47" s="4">
        <f t="shared" si="39"/>
        <v>47.151028587673856</v>
      </c>
      <c r="AA47" s="4">
        <f t="shared" si="13"/>
        <v>21.727757259773444</v>
      </c>
      <c r="AB47" s="4">
        <f t="shared" si="14"/>
        <v>336.54368506598092</v>
      </c>
      <c r="AC47" s="14">
        <f t="shared" si="15"/>
        <v>126.84416772075943</v>
      </c>
      <c r="AE47" s="252">
        <f t="shared" si="49"/>
        <v>44</v>
      </c>
      <c r="AF47" s="202">
        <f t="shared" si="40"/>
        <v>140</v>
      </c>
      <c r="AH47">
        <f t="shared" si="16"/>
        <v>42.922560713564764</v>
      </c>
      <c r="AI47">
        <f t="shared" si="17"/>
        <v>16.370528476632284</v>
      </c>
      <c r="AJ47" s="40">
        <f t="shared" si="18"/>
        <v>59.293089190197051</v>
      </c>
      <c r="AK47" s="88">
        <f t="shared" si="45"/>
        <v>113.78179988254648</v>
      </c>
      <c r="AL47" s="199">
        <f t="shared" si="19"/>
        <v>0.36167768468639738</v>
      </c>
      <c r="AM47" s="213">
        <f t="shared" si="20"/>
        <v>921.83768769627</v>
      </c>
      <c r="AN47">
        <f t="shared" si="21"/>
        <v>471.51028587673829</v>
      </c>
      <c r="AO47" s="215">
        <f t="shared" si="46"/>
        <v>92.183768769626838</v>
      </c>
      <c r="AP47" s="63">
        <f t="shared" si="22"/>
        <v>47.151028587673743</v>
      </c>
      <c r="AQ47" s="63">
        <f t="shared" si="23"/>
        <v>97.753719834783809</v>
      </c>
      <c r="AR47" s="63">
        <f t="shared" si="24"/>
        <v>49.999999999999993</v>
      </c>
      <c r="AS47" s="63">
        <f t="shared" si="25"/>
        <v>39.802665852914572</v>
      </c>
      <c r="AT47" s="63">
        <f t="shared" si="26"/>
        <v>19.490423337282479</v>
      </c>
      <c r="AV47" s="257">
        <f t="shared" si="41"/>
        <v>44</v>
      </c>
      <c r="AW47" s="202">
        <f t="shared" si="42"/>
        <v>1211</v>
      </c>
      <c r="AX47" s="257"/>
      <c r="AY47" s="257">
        <f t="shared" si="27"/>
        <v>61.662882862861046</v>
      </c>
      <c r="AZ47" s="257">
        <f t="shared" si="28"/>
        <v>141.60507132286924</v>
      </c>
      <c r="BA47" s="257">
        <f t="shared" si="29"/>
        <v>203.26795418573028</v>
      </c>
      <c r="BB47" s="53" t="e">
        <f t="shared" si="47"/>
        <v>#NUM!</v>
      </c>
      <c r="BC47" s="198" t="e">
        <f t="shared" si="30"/>
        <v>#NUM!</v>
      </c>
      <c r="BD47" s="211">
        <f t="shared" si="31"/>
        <v>14567925414.962635</v>
      </c>
      <c r="BE47" s="257" t="e">
        <f t="shared" si="32"/>
        <v>#NUM!</v>
      </c>
      <c r="BF47" s="4" t="e">
        <f t="shared" si="48"/>
        <v>#NUM!</v>
      </c>
      <c r="BG47" s="4" t="e">
        <f t="shared" si="33"/>
        <v>#NUM!</v>
      </c>
      <c r="BH47" s="4" t="e">
        <f t="shared" si="34"/>
        <v>#NUM!</v>
      </c>
      <c r="BI47" s="4" t="e">
        <f t="shared" si="35"/>
        <v>#NUM!</v>
      </c>
      <c r="BJ47" t="e">
        <f t="shared" si="36"/>
        <v>#NUM!</v>
      </c>
      <c r="BK47" t="e">
        <f t="shared" si="37"/>
        <v>#NUM!</v>
      </c>
      <c r="BM47" s="40"/>
    </row>
    <row r="48" spans="2:65">
      <c r="O48" s="252">
        <f t="shared" si="38"/>
        <v>45</v>
      </c>
      <c r="P48" s="138">
        <f t="shared" si="4"/>
        <v>16.8</v>
      </c>
      <c r="Q48" s="146"/>
      <c r="R48" s="56">
        <f t="shared" si="43"/>
        <v>24.506185634517259</v>
      </c>
      <c r="S48" s="56">
        <f t="shared" si="6"/>
        <v>49.012371269034517</v>
      </c>
      <c r="T48" s="56">
        <f t="shared" si="7"/>
        <v>1.9644634171958739</v>
      </c>
      <c r="U48" s="56">
        <f t="shared" si="8"/>
        <v>26.470649051713131</v>
      </c>
      <c r="V48" s="56">
        <f t="shared" si="9"/>
        <v>50.97683468623039</v>
      </c>
      <c r="W48" s="154">
        <f t="shared" si="10"/>
        <v>126.60424002103041</v>
      </c>
      <c r="X48" s="149">
        <f t="shared" si="11"/>
        <v>1.5828644336741469</v>
      </c>
      <c r="Y48" s="162">
        <f t="shared" si="12"/>
        <v>21.063592904715289</v>
      </c>
      <c r="Z48" s="4">
        <f t="shared" si="39"/>
        <v>47.151028587673864</v>
      </c>
      <c r="AA48" s="4">
        <f t="shared" si="13"/>
        <v>22.336302659388551</v>
      </c>
      <c r="AB48" s="4">
        <f t="shared" si="14"/>
        <v>353.86836079921699</v>
      </c>
      <c r="AC48" s="14">
        <f t="shared" si="15"/>
        <v>126.60424002103039</v>
      </c>
      <c r="AE48" s="252">
        <f t="shared" si="49"/>
        <v>45</v>
      </c>
      <c r="AF48" s="202">
        <f t="shared" si="40"/>
        <v>143</v>
      </c>
      <c r="AH48">
        <f t="shared" si="16"/>
        <v>43.106720749301239</v>
      </c>
      <c r="AI48">
        <f t="shared" si="17"/>
        <v>16.721325515417256</v>
      </c>
      <c r="AJ48" s="40">
        <f t="shared" si="18"/>
        <v>59.828046264718495</v>
      </c>
      <c r="AK48" s="88">
        <f t="shared" si="45"/>
        <v>113.24684280802505</v>
      </c>
      <c r="AL48" s="199">
        <f t="shared" si="19"/>
        <v>0.3400743370701288</v>
      </c>
      <c r="AM48" s="213">
        <f t="shared" si="20"/>
        <v>980.39776660329335</v>
      </c>
      <c r="AN48">
        <f t="shared" si="21"/>
        <v>471.51028587673915</v>
      </c>
      <c r="AO48" s="215">
        <f t="shared" si="46"/>
        <v>98.039776660329167</v>
      </c>
      <c r="AP48" s="63">
        <f t="shared" si="22"/>
        <v>47.151028587673835</v>
      </c>
      <c r="AQ48" s="63">
        <f t="shared" si="23"/>
        <v>103.96356092002478</v>
      </c>
      <c r="AR48" s="63">
        <f t="shared" si="24"/>
        <v>50</v>
      </c>
      <c r="AS48" s="63">
        <f t="shared" si="25"/>
        <v>40.337622927436001</v>
      </c>
      <c r="AT48" s="63">
        <f t="shared" si="26"/>
        <v>19.490423337282493</v>
      </c>
      <c r="AV48" s="257">
        <f t="shared" si="41"/>
        <v>45</v>
      </c>
      <c r="AW48" s="202">
        <f t="shared" si="42"/>
        <v>1238</v>
      </c>
      <c r="AX48" s="257"/>
      <c r="AY48" s="257">
        <f t="shared" si="27"/>
        <v>61.854412893681989</v>
      </c>
      <c r="AZ48" s="257">
        <f t="shared" si="28"/>
        <v>144.76224467193401</v>
      </c>
      <c r="BA48" s="257">
        <f t="shared" si="29"/>
        <v>206.61665756561601</v>
      </c>
      <c r="BB48" s="53" t="e">
        <f t="shared" si="47"/>
        <v>#NUM!</v>
      </c>
      <c r="BC48" s="198" t="e">
        <f t="shared" si="30"/>
        <v>#NUM!</v>
      </c>
      <c r="BD48" s="211">
        <f t="shared" si="31"/>
        <v>21420661497.858822</v>
      </c>
      <c r="BE48" s="257" t="e">
        <f t="shared" si="32"/>
        <v>#NUM!</v>
      </c>
      <c r="BF48" s="4" t="e">
        <f t="shared" si="48"/>
        <v>#NUM!</v>
      </c>
      <c r="BG48" s="4" t="e">
        <f t="shared" si="33"/>
        <v>#NUM!</v>
      </c>
      <c r="BH48" s="4" t="e">
        <f t="shared" si="34"/>
        <v>#NUM!</v>
      </c>
      <c r="BI48" s="4" t="e">
        <f t="shared" si="35"/>
        <v>#NUM!</v>
      </c>
      <c r="BJ48" t="e">
        <f t="shared" si="36"/>
        <v>#NUM!</v>
      </c>
      <c r="BK48" t="e">
        <f t="shared" si="37"/>
        <v>#NUM!</v>
      </c>
      <c r="BM48" s="40"/>
    </row>
    <row r="49" spans="15:65">
      <c r="O49" s="252">
        <f t="shared" si="38"/>
        <v>46</v>
      </c>
      <c r="P49" s="138">
        <f t="shared" si="4"/>
        <v>17.175000000000001</v>
      </c>
      <c r="Q49" s="146"/>
      <c r="R49" s="56">
        <f t="shared" si="43"/>
        <v>24.697934914631759</v>
      </c>
      <c r="S49" s="56">
        <f t="shared" si="6"/>
        <v>49.395869829263518</v>
      </c>
      <c r="T49" s="56">
        <f t="shared" si="7"/>
        <v>2.0083130470439956</v>
      </c>
      <c r="U49" s="56">
        <f t="shared" si="8"/>
        <v>26.706247961675754</v>
      </c>
      <c r="V49" s="56">
        <f t="shared" si="9"/>
        <v>51.404182876307516</v>
      </c>
      <c r="W49" s="154">
        <f t="shared" si="10"/>
        <v>126.36864111106779</v>
      </c>
      <c r="X49" s="149">
        <f t="shared" si="11"/>
        <v>1.5405073519154218</v>
      </c>
      <c r="Y49" s="162">
        <f t="shared" si="12"/>
        <v>21.642747769304677</v>
      </c>
      <c r="Z49" s="4">
        <f t="shared" si="39"/>
        <v>47.151028587673864</v>
      </c>
      <c r="AA49" s="4">
        <f t="shared" si="13"/>
        <v>22.950451366147398</v>
      </c>
      <c r="AB49" s="4">
        <f t="shared" si="14"/>
        <v>371.71419293780792</v>
      </c>
      <c r="AC49" s="14">
        <f t="shared" si="15"/>
        <v>126.36864111106779</v>
      </c>
      <c r="AE49" s="252">
        <f t="shared" si="49"/>
        <v>46</v>
      </c>
      <c r="AF49" s="202">
        <f t="shared" si="40"/>
        <v>146</v>
      </c>
      <c r="AH49">
        <f t="shared" si="16"/>
        <v>43.287057115688739</v>
      </c>
      <c r="AI49">
        <f t="shared" si="17"/>
        <v>17.072122554202235</v>
      </c>
      <c r="AJ49" s="40">
        <f t="shared" si="18"/>
        <v>60.359179669890977</v>
      </c>
      <c r="AK49" s="88">
        <f t="shared" si="45"/>
        <v>112.71570940285257</v>
      </c>
      <c r="AL49" s="199">
        <f t="shared" si="19"/>
        <v>0.31990217281338862</v>
      </c>
      <c r="AM49" s="213">
        <f t="shared" si="20"/>
        <v>1042.2189934206547</v>
      </c>
      <c r="AN49">
        <f t="shared" si="21"/>
        <v>471.51028587673972</v>
      </c>
      <c r="AO49" s="215">
        <f t="shared" si="46"/>
        <v>104.22189934206529</v>
      </c>
      <c r="AP49" s="63">
        <f t="shared" si="22"/>
        <v>47.151028587673885</v>
      </c>
      <c r="AQ49" s="63">
        <f t="shared" si="23"/>
        <v>110.51922138694417</v>
      </c>
      <c r="AR49" s="63">
        <f t="shared" si="24"/>
        <v>49.999999999999993</v>
      </c>
      <c r="AS49" s="63">
        <f t="shared" si="25"/>
        <v>40.86875633260847</v>
      </c>
      <c r="AT49" s="63">
        <f t="shared" si="26"/>
        <v>19.490423337282508</v>
      </c>
      <c r="AV49" s="257">
        <f t="shared" si="41"/>
        <v>46</v>
      </c>
      <c r="AW49" s="202">
        <f t="shared" si="42"/>
        <v>1265</v>
      </c>
      <c r="AX49" s="257"/>
      <c r="AY49" s="257">
        <f t="shared" si="27"/>
        <v>62.041810510236736</v>
      </c>
      <c r="AZ49" s="257">
        <f t="shared" si="28"/>
        <v>147.91941802099882</v>
      </c>
      <c r="BA49" s="257">
        <f t="shared" si="29"/>
        <v>209.96122853123555</v>
      </c>
      <c r="BB49" s="53" t="e">
        <f t="shared" si="47"/>
        <v>#NUM!</v>
      </c>
      <c r="BC49" s="198" t="e">
        <f t="shared" si="30"/>
        <v>#NUM!</v>
      </c>
      <c r="BD49" s="211">
        <f t="shared" si="31"/>
        <v>31481935627.495533</v>
      </c>
      <c r="BE49" s="257" t="e">
        <f t="shared" si="32"/>
        <v>#NUM!</v>
      </c>
      <c r="BF49" s="4" t="e">
        <f t="shared" si="48"/>
        <v>#NUM!</v>
      </c>
      <c r="BG49" s="4" t="e">
        <f t="shared" si="33"/>
        <v>#NUM!</v>
      </c>
      <c r="BH49" s="4" t="e">
        <f t="shared" si="34"/>
        <v>#NUM!</v>
      </c>
      <c r="BI49" s="4" t="e">
        <f t="shared" si="35"/>
        <v>#NUM!</v>
      </c>
      <c r="BJ49" t="e">
        <f t="shared" si="36"/>
        <v>#NUM!</v>
      </c>
      <c r="BK49" t="e">
        <f t="shared" si="37"/>
        <v>#NUM!</v>
      </c>
      <c r="BM49" s="40"/>
    </row>
    <row r="50" spans="15:65">
      <c r="O50" s="252">
        <f t="shared" si="38"/>
        <v>47</v>
      </c>
      <c r="P50" s="138">
        <f t="shared" si="4"/>
        <v>17.55</v>
      </c>
      <c r="Q50" s="146"/>
      <c r="R50" s="56">
        <f t="shared" si="43"/>
        <v>24.885542416036856</v>
      </c>
      <c r="S50" s="56">
        <f t="shared" si="6"/>
        <v>49.771084832073711</v>
      </c>
      <c r="T50" s="56">
        <f t="shared" si="7"/>
        <v>2.052162676892118</v>
      </c>
      <c r="U50" s="56">
        <f t="shared" si="8"/>
        <v>26.937705092928972</v>
      </c>
      <c r="V50" s="56">
        <f t="shared" si="9"/>
        <v>51.823247508965828</v>
      </c>
      <c r="W50" s="154">
        <f t="shared" si="10"/>
        <v>126.13718397981457</v>
      </c>
      <c r="X50" s="149">
        <f t="shared" si="11"/>
        <v>1.4999988245285467</v>
      </c>
      <c r="Y50" s="162">
        <f t="shared" si="12"/>
        <v>22.2272254544893</v>
      </c>
      <c r="Z50" s="4">
        <f t="shared" si="39"/>
        <v>47.151028587673856</v>
      </c>
      <c r="AA50" s="4">
        <f t="shared" si="13"/>
        <v>23.570244510317977</v>
      </c>
      <c r="AB50" s="4">
        <f t="shared" si="14"/>
        <v>390.08780672628762</v>
      </c>
      <c r="AC50" s="14">
        <f t="shared" si="15"/>
        <v>126.13718397981457</v>
      </c>
      <c r="AE50" s="252">
        <f t="shared" si="49"/>
        <v>47</v>
      </c>
      <c r="AF50" s="202">
        <f t="shared" si="40"/>
        <v>149</v>
      </c>
      <c r="AH50">
        <f t="shared" si="16"/>
        <v>43.463725368245477</v>
      </c>
      <c r="AI50">
        <f t="shared" si="17"/>
        <v>17.422919592987213</v>
      </c>
      <c r="AJ50" s="40">
        <f t="shared" si="18"/>
        <v>60.88664496123269</v>
      </c>
      <c r="AK50" s="88">
        <f t="shared" si="45"/>
        <v>112.18824411151085</v>
      </c>
      <c r="AL50" s="199">
        <f t="shared" si="19"/>
        <v>0.30105366962334668</v>
      </c>
      <c r="AM50" s="213">
        <f t="shared" si="20"/>
        <v>1107.4707076641273</v>
      </c>
      <c r="AN50">
        <f t="shared" si="21"/>
        <v>471.5102858767396</v>
      </c>
      <c r="AO50" s="215">
        <f t="shared" si="46"/>
        <v>110.74707076641253</v>
      </c>
      <c r="AP50" s="63">
        <f t="shared" si="22"/>
        <v>47.151028587673878</v>
      </c>
      <c r="AQ50" s="63">
        <f t="shared" si="23"/>
        <v>117.43865837463809</v>
      </c>
      <c r="AR50" s="63">
        <f t="shared" si="24"/>
        <v>50</v>
      </c>
      <c r="AS50" s="63">
        <f t="shared" si="25"/>
        <v>41.396221623950197</v>
      </c>
      <c r="AT50" s="63">
        <f t="shared" si="26"/>
        <v>19.490423337282493</v>
      </c>
      <c r="AV50" s="257">
        <f t="shared" si="41"/>
        <v>47</v>
      </c>
      <c r="AW50" s="202">
        <f t="shared" si="42"/>
        <v>1292</v>
      </c>
      <c r="AX50" s="257"/>
      <c r="AY50" s="257">
        <f t="shared" si="27"/>
        <v>62.22525027318131</v>
      </c>
      <c r="AZ50" s="257">
        <f t="shared" si="28"/>
        <v>151.07659137006362</v>
      </c>
      <c r="BA50" s="257">
        <f t="shared" si="29"/>
        <v>213.30184164324493</v>
      </c>
      <c r="BB50" s="53" t="e">
        <f t="shared" si="47"/>
        <v>#NUM!</v>
      </c>
      <c r="BC50" s="198" t="e">
        <f t="shared" si="30"/>
        <v>#NUM!</v>
      </c>
      <c r="BD50" s="211">
        <f t="shared" si="31"/>
        <v>46247906906.062386</v>
      </c>
      <c r="BE50" s="257" t="e">
        <f t="shared" si="32"/>
        <v>#NUM!</v>
      </c>
      <c r="BF50" s="4" t="e">
        <f t="shared" si="48"/>
        <v>#NUM!</v>
      </c>
      <c r="BG50" s="4" t="e">
        <f t="shared" si="33"/>
        <v>#NUM!</v>
      </c>
      <c r="BH50" s="4" t="e">
        <f t="shared" si="34"/>
        <v>#NUM!</v>
      </c>
      <c r="BI50" s="4" t="e">
        <f t="shared" si="35"/>
        <v>#NUM!</v>
      </c>
      <c r="BJ50" t="e">
        <f t="shared" si="36"/>
        <v>#NUM!</v>
      </c>
      <c r="BK50" t="e">
        <f t="shared" si="37"/>
        <v>#NUM!</v>
      </c>
      <c r="BM50" s="40"/>
    </row>
    <row r="51" spans="15:65">
      <c r="O51" s="252">
        <f t="shared" si="38"/>
        <v>48</v>
      </c>
      <c r="P51" s="138">
        <f t="shared" si="4"/>
        <v>17.925000000000001</v>
      </c>
      <c r="Q51" s="146"/>
      <c r="R51" s="56">
        <f t="shared" si="43"/>
        <v>25.069183286796758</v>
      </c>
      <c r="S51" s="56">
        <f t="shared" si="6"/>
        <v>50.138366573593515</v>
      </c>
      <c r="T51" s="56">
        <f t="shared" si="7"/>
        <v>2.0960123067402403</v>
      </c>
      <c r="U51" s="56">
        <f t="shared" si="8"/>
        <v>27.165195593537</v>
      </c>
      <c r="V51" s="56">
        <f t="shared" si="9"/>
        <v>52.234378880333757</v>
      </c>
      <c r="W51" s="154">
        <f t="shared" si="10"/>
        <v>125.90969347920655</v>
      </c>
      <c r="X51" s="149">
        <f t="shared" si="11"/>
        <v>1.4612226440212113</v>
      </c>
      <c r="Y51" s="162">
        <f t="shared" si="12"/>
        <v>22.81706500421646</v>
      </c>
      <c r="Z51" s="4">
        <f t="shared" si="39"/>
        <v>47.151028587673977</v>
      </c>
      <c r="AA51" s="4">
        <f t="shared" si="13"/>
        <v>24.195723494970874</v>
      </c>
      <c r="AB51" s="4">
        <f t="shared" si="14"/>
        <v>408.99589020058033</v>
      </c>
      <c r="AC51" s="14">
        <f t="shared" si="15"/>
        <v>125.90969347920654</v>
      </c>
      <c r="AE51" s="252">
        <f t="shared" si="49"/>
        <v>48</v>
      </c>
      <c r="AF51" s="202">
        <f t="shared" si="40"/>
        <v>152</v>
      </c>
      <c r="AH51">
        <f t="shared" si="16"/>
        <v>43.636871758895452</v>
      </c>
      <c r="AI51">
        <f t="shared" si="17"/>
        <v>17.773716631772189</v>
      </c>
      <c r="AJ51" s="40">
        <f t="shared" si="18"/>
        <v>61.410588390667641</v>
      </c>
      <c r="AK51" s="88">
        <f t="shared" si="45"/>
        <v>111.6643006820759</v>
      </c>
      <c r="AL51" s="199">
        <f t="shared" si="19"/>
        <v>0.28343061154118793</v>
      </c>
      <c r="AM51" s="213">
        <f t="shared" si="20"/>
        <v>1176.3306677768617</v>
      </c>
      <c r="AN51">
        <f t="shared" si="21"/>
        <v>471.51028587673915</v>
      </c>
      <c r="AO51" s="215">
        <f t="shared" si="46"/>
        <v>117.63306677768597</v>
      </c>
      <c r="AP51" s="63">
        <f t="shared" si="22"/>
        <v>47.151028587673835</v>
      </c>
      <c r="AQ51" s="63">
        <f t="shared" si="23"/>
        <v>124.74072178399673</v>
      </c>
      <c r="AR51" s="63">
        <f t="shared" si="24"/>
        <v>50</v>
      </c>
      <c r="AS51" s="63">
        <f t="shared" si="25"/>
        <v>41.920165053385148</v>
      </c>
      <c r="AT51" s="63">
        <f t="shared" si="26"/>
        <v>19.490423337282493</v>
      </c>
      <c r="AV51" s="257">
        <f t="shared" si="41"/>
        <v>48</v>
      </c>
      <c r="AW51" s="202">
        <f t="shared" si="42"/>
        <v>1319</v>
      </c>
      <c r="AX51" s="257"/>
      <c r="AY51" s="257">
        <f t="shared" si="27"/>
        <v>62.404895910927308</v>
      </c>
      <c r="AZ51" s="257">
        <f t="shared" si="28"/>
        <v>154.2337647191284</v>
      </c>
      <c r="BA51" s="257">
        <f t="shared" si="29"/>
        <v>216.63866063005571</v>
      </c>
      <c r="BB51" s="53" t="e">
        <f t="shared" si="47"/>
        <v>#NUM!</v>
      </c>
      <c r="BC51" s="198" t="e">
        <f t="shared" si="30"/>
        <v>#NUM!</v>
      </c>
      <c r="BD51" s="211">
        <f t="shared" si="31"/>
        <v>67909890704.104645</v>
      </c>
      <c r="BE51" s="257" t="e">
        <f t="shared" si="32"/>
        <v>#NUM!</v>
      </c>
      <c r="BF51" s="4" t="e">
        <f t="shared" si="48"/>
        <v>#NUM!</v>
      </c>
      <c r="BG51" s="4" t="e">
        <f t="shared" si="33"/>
        <v>#NUM!</v>
      </c>
      <c r="BH51" s="4" t="e">
        <f t="shared" si="34"/>
        <v>#NUM!</v>
      </c>
      <c r="BI51" s="4" t="e">
        <f t="shared" si="35"/>
        <v>#NUM!</v>
      </c>
      <c r="BJ51" t="e">
        <f t="shared" si="36"/>
        <v>#NUM!</v>
      </c>
      <c r="BK51" t="e">
        <f t="shared" si="37"/>
        <v>#NUM!</v>
      </c>
      <c r="BM51" s="40"/>
    </row>
    <row r="52" spans="15:65">
      <c r="O52" s="252">
        <f t="shared" si="38"/>
        <v>49</v>
      </c>
      <c r="P52" s="138">
        <f t="shared" si="4"/>
        <v>18.3</v>
      </c>
      <c r="Q52" s="146"/>
      <c r="R52" s="56">
        <f t="shared" si="43"/>
        <v>25.249021794608591</v>
      </c>
      <c r="S52" s="56">
        <f t="shared" si="6"/>
        <v>50.498043589217183</v>
      </c>
      <c r="T52" s="56">
        <f t="shared" si="7"/>
        <v>2.1398619365883627</v>
      </c>
      <c r="U52" s="56">
        <f t="shared" si="8"/>
        <v>27.388883731196955</v>
      </c>
      <c r="V52" s="56">
        <f t="shared" si="9"/>
        <v>52.637905525805543</v>
      </c>
      <c r="W52" s="154">
        <f t="shared" si="10"/>
        <v>125.68600534154659</v>
      </c>
      <c r="X52" s="149">
        <f t="shared" si="11"/>
        <v>1.4240721290397687</v>
      </c>
      <c r="Y52" s="162">
        <f t="shared" si="12"/>
        <v>23.412305721302328</v>
      </c>
      <c r="Z52" s="4">
        <f t="shared" si="39"/>
        <v>47.151028587673878</v>
      </c>
      <c r="AA52" s="4">
        <f t="shared" si="13"/>
        <v>24.826929997686996</v>
      </c>
      <c r="AB52" s="4">
        <f t="shared" si="14"/>
        <v>428.44519469983288</v>
      </c>
      <c r="AC52" s="14">
        <f t="shared" si="15"/>
        <v>125.6860053415466</v>
      </c>
      <c r="AE52" s="252">
        <f t="shared" si="49"/>
        <v>49</v>
      </c>
      <c r="AF52" s="202">
        <f t="shared" si="40"/>
        <v>155</v>
      </c>
      <c r="AH52">
        <f t="shared" si="16"/>
        <v>43.806633963405829</v>
      </c>
      <c r="AI52">
        <f t="shared" si="17"/>
        <v>18.124513670557167</v>
      </c>
      <c r="AJ52" s="40">
        <f t="shared" si="18"/>
        <v>61.931147633962993</v>
      </c>
      <c r="AK52" s="88">
        <f t="shared" si="45"/>
        <v>111.14374143878054</v>
      </c>
      <c r="AL52" s="199">
        <f t="shared" si="19"/>
        <v>0.26694315658789181</v>
      </c>
      <c r="AM52" s="213">
        <f t="shared" si="20"/>
        <v>1248.9854574446588</v>
      </c>
      <c r="AN52">
        <f t="shared" si="21"/>
        <v>471.51028587673824</v>
      </c>
      <c r="AO52" s="215">
        <f t="shared" si="46"/>
        <v>124.89854574446566</v>
      </c>
      <c r="AP52" s="63">
        <f t="shared" si="22"/>
        <v>47.151028587673743</v>
      </c>
      <c r="AQ52" s="63">
        <f t="shared" si="23"/>
        <v>132.44519736428055</v>
      </c>
      <c r="AR52" s="63">
        <f t="shared" si="24"/>
        <v>50</v>
      </c>
      <c r="AS52" s="63">
        <f t="shared" si="25"/>
        <v>42.440724296680514</v>
      </c>
      <c r="AT52" s="63">
        <f t="shared" si="26"/>
        <v>19.490423337282479</v>
      </c>
      <c r="AV52" s="257">
        <f t="shared" si="41"/>
        <v>49</v>
      </c>
      <c r="AW52" s="202">
        <f t="shared" si="42"/>
        <v>1346</v>
      </c>
      <c r="AX52" s="257"/>
      <c r="AY52" s="257">
        <f t="shared" si="27"/>
        <v>62.580901197759161</v>
      </c>
      <c r="AZ52" s="257">
        <f t="shared" si="28"/>
        <v>157.39093806819324</v>
      </c>
      <c r="BA52" s="257">
        <f t="shared" si="29"/>
        <v>219.97183926595238</v>
      </c>
      <c r="BB52" s="53" t="e">
        <f t="shared" si="47"/>
        <v>#NUM!</v>
      </c>
      <c r="BC52" s="198" t="e">
        <f t="shared" si="30"/>
        <v>#NUM!</v>
      </c>
      <c r="BD52" s="211">
        <f t="shared" si="31"/>
        <v>99676312568.851227</v>
      </c>
      <c r="BE52" s="257" t="e">
        <f t="shared" si="32"/>
        <v>#NUM!</v>
      </c>
      <c r="BF52" s="4" t="e">
        <f t="shared" si="48"/>
        <v>#NUM!</v>
      </c>
      <c r="BG52" s="4" t="e">
        <f t="shared" si="33"/>
        <v>#NUM!</v>
      </c>
      <c r="BH52" s="4" t="e">
        <f t="shared" si="34"/>
        <v>#NUM!</v>
      </c>
      <c r="BI52" s="4" t="e">
        <f t="shared" si="35"/>
        <v>#NUM!</v>
      </c>
      <c r="BJ52" t="e">
        <f t="shared" si="36"/>
        <v>#NUM!</v>
      </c>
      <c r="BK52" t="e">
        <f t="shared" si="37"/>
        <v>#NUM!</v>
      </c>
      <c r="BM52" s="40"/>
    </row>
    <row r="53" spans="15:65">
      <c r="O53" s="252">
        <f t="shared" si="38"/>
        <v>50</v>
      </c>
      <c r="P53" s="138">
        <f t="shared" si="4"/>
        <v>18.675000000000001</v>
      </c>
      <c r="Q53" s="146"/>
      <c r="R53" s="56">
        <f t="shared" si="43"/>
        <v>25.425212209748729</v>
      </c>
      <c r="S53" s="56">
        <f t="shared" si="6"/>
        <v>50.850424419497458</v>
      </c>
      <c r="T53" s="56">
        <f t="shared" si="7"/>
        <v>2.1837115664364846</v>
      </c>
      <c r="U53" s="56">
        <f t="shared" si="8"/>
        <v>27.608923776185215</v>
      </c>
      <c r="V53" s="56">
        <f t="shared" si="9"/>
        <v>53.034135985933943</v>
      </c>
      <c r="W53" s="154">
        <f t="shared" si="10"/>
        <v>125.46596529655834</v>
      </c>
      <c r="X53" s="149">
        <f t="shared" si="11"/>
        <v>1.3884491679250215</v>
      </c>
      <c r="Y53" s="162">
        <f t="shared" si="12"/>
        <v>24.012987169052387</v>
      </c>
      <c r="Z53" s="4">
        <f t="shared" si="39"/>
        <v>47.151028587673942</v>
      </c>
      <c r="AA53" s="4">
        <f t="shared" si="13"/>
        <v>25.463905972275903</v>
      </c>
      <c r="AB53" s="4">
        <f t="shared" si="14"/>
        <v>448.44253538205362</v>
      </c>
      <c r="AC53" s="14">
        <f t="shared" si="15"/>
        <v>125.46596529655832</v>
      </c>
      <c r="AE53" s="252">
        <f t="shared" si="49"/>
        <v>50</v>
      </c>
      <c r="AF53" s="202">
        <f t="shared" si="40"/>
        <v>158</v>
      </c>
      <c r="AH53">
        <f t="shared" si="16"/>
        <v>43.973141739088454</v>
      </c>
      <c r="AI53">
        <f t="shared" si="17"/>
        <v>18.475310709342146</v>
      </c>
      <c r="AJ53" s="40">
        <f t="shared" si="18"/>
        <v>62.448452448430601</v>
      </c>
      <c r="AK53" s="88">
        <f t="shared" si="45"/>
        <v>110.62643662431294</v>
      </c>
      <c r="AL53" s="199">
        <f t="shared" si="19"/>
        <v>0.25150901186011593</v>
      </c>
      <c r="AM53" s="213">
        <f t="shared" si="20"/>
        <v>1325.6309111026385</v>
      </c>
      <c r="AN53">
        <f t="shared" si="21"/>
        <v>471.51028587673903</v>
      </c>
      <c r="AO53" s="215">
        <f t="shared" si="46"/>
        <v>132.56309111026363</v>
      </c>
      <c r="AP53" s="63">
        <f t="shared" si="22"/>
        <v>47.151028587673828</v>
      </c>
      <c r="AQ53" s="63">
        <f t="shared" si="23"/>
        <v>140.57285183479343</v>
      </c>
      <c r="AR53" s="63">
        <f t="shared" si="24"/>
        <v>50.000000000000007</v>
      </c>
      <c r="AS53" s="63">
        <f t="shared" si="25"/>
        <v>42.958029111148107</v>
      </c>
      <c r="AT53" s="63">
        <f t="shared" si="26"/>
        <v>19.490423337282493</v>
      </c>
      <c r="AV53" s="257">
        <f t="shared" si="41"/>
        <v>50</v>
      </c>
      <c r="AW53" s="202">
        <f t="shared" si="42"/>
        <v>1373</v>
      </c>
      <c r="AX53" s="257"/>
      <c r="AY53" s="257">
        <f t="shared" si="27"/>
        <v>62.753410744735099</v>
      </c>
      <c r="AZ53" s="257">
        <f t="shared" si="28"/>
        <v>160.54811141725801</v>
      </c>
      <c r="BA53" s="257">
        <f t="shared" si="29"/>
        <v>223.30152216199312</v>
      </c>
      <c r="BB53" s="53" t="e">
        <f t="shared" si="47"/>
        <v>#NUM!</v>
      </c>
      <c r="BC53" s="198" t="e">
        <f t="shared" si="30"/>
        <v>#NUM!</v>
      </c>
      <c r="BD53" s="211">
        <f t="shared" si="31"/>
        <v>146243343669.87637</v>
      </c>
      <c r="BE53" s="257" t="e">
        <f t="shared" si="32"/>
        <v>#NUM!</v>
      </c>
      <c r="BF53" s="4" t="e">
        <f t="shared" si="48"/>
        <v>#NUM!</v>
      </c>
      <c r="BG53" s="4" t="e">
        <f t="shared" si="33"/>
        <v>#NUM!</v>
      </c>
      <c r="BH53" s="4" t="e">
        <f t="shared" si="34"/>
        <v>#NUM!</v>
      </c>
      <c r="BI53" s="4" t="e">
        <f t="shared" si="35"/>
        <v>#NUM!</v>
      </c>
      <c r="BJ53" t="e">
        <f t="shared" si="36"/>
        <v>#NUM!</v>
      </c>
      <c r="BK53" t="e">
        <f t="shared" si="37"/>
        <v>#NUM!</v>
      </c>
      <c r="BM53" s="40"/>
    </row>
    <row r="54" spans="15:65">
      <c r="O54" s="252">
        <f t="shared" si="38"/>
        <v>51</v>
      </c>
      <c r="P54" s="138">
        <f t="shared" si="4"/>
        <v>19.05</v>
      </c>
      <c r="Q54" s="146"/>
      <c r="R54" s="56">
        <f t="shared" si="43"/>
        <v>25.597899600232765</v>
      </c>
      <c r="S54" s="56">
        <f t="shared" si="6"/>
        <v>51.19579920046553</v>
      </c>
      <c r="T54" s="56">
        <f t="shared" si="7"/>
        <v>2.2275611962846069</v>
      </c>
      <c r="U54" s="56">
        <f t="shared" si="8"/>
        <v>27.825460796517373</v>
      </c>
      <c r="V54" s="56">
        <f t="shared" si="9"/>
        <v>53.423360396750134</v>
      </c>
      <c r="W54" s="154">
        <f t="shared" si="10"/>
        <v>125.24942827622617</v>
      </c>
      <c r="X54" s="149">
        <f t="shared" si="11"/>
        <v>1.3542633752338322</v>
      </c>
      <c r="Y54" s="162">
        <f t="shared" si="12"/>
        <v>24.619149172891305</v>
      </c>
      <c r="Z54" s="4">
        <f t="shared" si="39"/>
        <v>47.15102858767392</v>
      </c>
      <c r="AA54" s="4">
        <f t="shared" si="13"/>
        <v>26.106693650504177</v>
      </c>
      <c r="AB54" s="4">
        <f t="shared" si="14"/>
        <v>468.99479174357958</v>
      </c>
      <c r="AC54" s="14">
        <f t="shared" si="15"/>
        <v>125.24942827622618</v>
      </c>
      <c r="AE54" s="252">
        <f t="shared" si="49"/>
        <v>51</v>
      </c>
      <c r="AF54" s="202">
        <f t="shared" si="40"/>
        <v>161</v>
      </c>
      <c r="AH54">
        <f t="shared" si="16"/>
        <v>44.136517520636993</v>
      </c>
      <c r="AI54">
        <f t="shared" si="17"/>
        <v>18.826107748127125</v>
      </c>
      <c r="AJ54" s="40">
        <f t="shared" si="18"/>
        <v>62.962625268764114</v>
      </c>
      <c r="AK54" s="88">
        <f t="shared" si="45"/>
        <v>110.11226380397945</v>
      </c>
      <c r="AL54" s="199">
        <f t="shared" si="19"/>
        <v>0.23705270201307851</v>
      </c>
      <c r="AM54" s="213">
        <f t="shared" si="20"/>
        <v>1406.4725595249934</v>
      </c>
      <c r="AN54">
        <f t="shared" si="21"/>
        <v>471.51028587673954</v>
      </c>
      <c r="AO54" s="215">
        <f t="shared" si="46"/>
        <v>140.64725595249908</v>
      </c>
      <c r="AP54" s="63">
        <f t="shared" si="22"/>
        <v>47.151028587673871</v>
      </c>
      <c r="AQ54" s="63">
        <f t="shared" si="23"/>
        <v>149.14548013621362</v>
      </c>
      <c r="AR54" s="63">
        <f t="shared" si="24"/>
        <v>49.999999999999993</v>
      </c>
      <c r="AS54" s="63">
        <f t="shared" si="25"/>
        <v>43.472201931481607</v>
      </c>
      <c r="AT54" s="63">
        <f t="shared" si="26"/>
        <v>19.490423337282508</v>
      </c>
      <c r="AV54" s="257">
        <f t="shared" si="41"/>
        <v>51</v>
      </c>
      <c r="AW54" s="202">
        <f t="shared" si="42"/>
        <v>1400</v>
      </c>
      <c r="AX54" s="257"/>
      <c r="AY54" s="257">
        <f t="shared" si="27"/>
        <v>62.922560713564764</v>
      </c>
      <c r="AZ54" s="257">
        <f t="shared" si="28"/>
        <v>163.70528476632279</v>
      </c>
      <c r="BA54" s="257">
        <f t="shared" si="29"/>
        <v>226.62784547988755</v>
      </c>
      <c r="BB54" s="53" t="e">
        <f t="shared" si="47"/>
        <v>#NUM!</v>
      </c>
      <c r="BC54" s="198" t="e">
        <f t="shared" si="30"/>
        <v>#NUM!</v>
      </c>
      <c r="BD54" s="211">
        <f t="shared" si="31"/>
        <v>214482702913.98981</v>
      </c>
      <c r="BE54" s="257" t="e">
        <f t="shared" si="32"/>
        <v>#NUM!</v>
      </c>
      <c r="BF54" s="4" t="e">
        <f t="shared" si="48"/>
        <v>#NUM!</v>
      </c>
      <c r="BG54" s="4" t="e">
        <f t="shared" si="33"/>
        <v>#NUM!</v>
      </c>
      <c r="BH54" s="4" t="e">
        <f t="shared" si="34"/>
        <v>#NUM!</v>
      </c>
      <c r="BI54" s="4" t="e">
        <f t="shared" si="35"/>
        <v>#NUM!</v>
      </c>
      <c r="BJ54" t="e">
        <f t="shared" si="36"/>
        <v>#NUM!</v>
      </c>
      <c r="BK54" t="e">
        <f t="shared" si="37"/>
        <v>#NUM!</v>
      </c>
      <c r="BM54" s="40"/>
    </row>
    <row r="55" spans="15:65">
      <c r="O55" s="252">
        <f t="shared" si="38"/>
        <v>52</v>
      </c>
      <c r="P55" s="138">
        <f t="shared" si="4"/>
        <v>19.425000000000001</v>
      </c>
      <c r="Q55" s="146"/>
      <c r="R55" s="56">
        <f t="shared" si="43"/>
        <v>25.767220549459037</v>
      </c>
      <c r="S55" s="56">
        <f t="shared" si="6"/>
        <v>51.534441098918073</v>
      </c>
      <c r="T55" s="56">
        <f t="shared" si="7"/>
        <v>2.2714108261327293</v>
      </c>
      <c r="U55" s="56">
        <f t="shared" si="8"/>
        <v>28.038631375591766</v>
      </c>
      <c r="V55" s="56">
        <f t="shared" si="9"/>
        <v>53.805851925050803</v>
      </c>
      <c r="W55" s="154">
        <f t="shared" si="10"/>
        <v>125.03625769715178</v>
      </c>
      <c r="X55" s="149">
        <f t="shared" si="11"/>
        <v>1.3214313459610136</v>
      </c>
      <c r="Y55" s="162">
        <f t="shared" si="12"/>
        <v>25.230831822002699</v>
      </c>
      <c r="Z55" s="4">
        <f t="shared" si="39"/>
        <v>47.151028587673935</v>
      </c>
      <c r="AA55" s="4">
        <f t="shared" si="13"/>
        <v>26.755335543834263</v>
      </c>
      <c r="AB55" s="4">
        <f t="shared" si="14"/>
        <v>490.10890814240264</v>
      </c>
      <c r="AC55" s="14">
        <f t="shared" si="15"/>
        <v>125.03625769715178</v>
      </c>
      <c r="AE55" s="252">
        <f t="shared" si="49"/>
        <v>52</v>
      </c>
      <c r="AF55" s="202">
        <f t="shared" si="40"/>
        <v>164</v>
      </c>
      <c r="AH55">
        <f t="shared" si="16"/>
        <v>44.296876960953959</v>
      </c>
      <c r="AI55">
        <f t="shared" si="17"/>
        <v>19.1769047869121</v>
      </c>
      <c r="AJ55" s="40">
        <f t="shared" si="18"/>
        <v>63.473781747866056</v>
      </c>
      <c r="AK55" s="88">
        <f t="shared" si="45"/>
        <v>109.6011073248775</v>
      </c>
      <c r="AL55" s="199">
        <f t="shared" si="19"/>
        <v>0.22350491912720483</v>
      </c>
      <c r="AM55" s="213">
        <f t="shared" si="20"/>
        <v>1491.7260964305472</v>
      </c>
      <c r="AN55">
        <f t="shared" si="21"/>
        <v>471.51028587673994</v>
      </c>
      <c r="AO55" s="215">
        <f t="shared" si="46"/>
        <v>149.17260964305444</v>
      </c>
      <c r="AP55" s="63">
        <f t="shared" si="22"/>
        <v>47.151028587673906</v>
      </c>
      <c r="AQ55" s="63">
        <f t="shared" si="23"/>
        <v>158.1859549104839</v>
      </c>
      <c r="AR55" s="63">
        <f t="shared" si="24"/>
        <v>50</v>
      </c>
      <c r="AS55" s="63">
        <f t="shared" si="25"/>
        <v>43.983358410583548</v>
      </c>
      <c r="AT55" s="63">
        <f t="shared" si="26"/>
        <v>19.490423337282508</v>
      </c>
      <c r="AV55" s="257">
        <f t="shared" si="41"/>
        <v>52</v>
      </c>
      <c r="AW55" s="202">
        <f t="shared" si="42"/>
        <v>1427</v>
      </c>
      <c r="AX55" s="257"/>
      <c r="AY55" s="257">
        <f t="shared" si="27"/>
        <v>63.088479462292938</v>
      </c>
      <c r="AZ55" s="257">
        <f t="shared" si="28"/>
        <v>166.8624581153876</v>
      </c>
      <c r="BA55" s="257">
        <f t="shared" si="29"/>
        <v>229.95093757768052</v>
      </c>
      <c r="BB55" s="53" t="e">
        <f t="shared" si="47"/>
        <v>#NUM!</v>
      </c>
      <c r="BC55" s="198" t="e">
        <f t="shared" si="30"/>
        <v>#NUM!</v>
      </c>
      <c r="BD55" s="211">
        <f t="shared" si="31"/>
        <v>314446582381.84882</v>
      </c>
      <c r="BE55" s="257" t="e">
        <f t="shared" si="32"/>
        <v>#NUM!</v>
      </c>
      <c r="BF55" s="4" t="e">
        <f t="shared" si="48"/>
        <v>#NUM!</v>
      </c>
      <c r="BG55" s="4" t="e">
        <f t="shared" si="33"/>
        <v>#NUM!</v>
      </c>
      <c r="BH55" s="4" t="e">
        <f t="shared" si="34"/>
        <v>#NUM!</v>
      </c>
      <c r="BI55" s="4" t="e">
        <f t="shared" si="35"/>
        <v>#NUM!</v>
      </c>
      <c r="BJ55" t="e">
        <f t="shared" si="36"/>
        <v>#NUM!</v>
      </c>
      <c r="BK55" t="e">
        <f t="shared" si="37"/>
        <v>#NUM!</v>
      </c>
      <c r="BM55" s="40"/>
    </row>
    <row r="56" spans="15:65">
      <c r="O56" s="12">
        <f t="shared" si="38"/>
        <v>53</v>
      </c>
      <c r="P56" s="138">
        <f t="shared" si="4"/>
        <v>19.8</v>
      </c>
      <c r="Q56" s="146"/>
      <c r="R56" s="11">
        <f t="shared" si="43"/>
        <v>25.933303805230622</v>
      </c>
      <c r="S56" s="56">
        <f t="shared" si="6"/>
        <v>51.866607610461244</v>
      </c>
      <c r="T56" s="11">
        <f t="shared" si="7"/>
        <v>2.3152604559808512</v>
      </c>
      <c r="U56" s="11">
        <f t="shared" si="8"/>
        <v>28.248564261211474</v>
      </c>
      <c r="V56" s="56">
        <f t="shared" si="9"/>
        <v>54.181868066442092</v>
      </c>
      <c r="W56" s="154">
        <f t="shared" si="10"/>
        <v>124.82632481153207</v>
      </c>
      <c r="X56" s="163">
        <f t="shared" si="11"/>
        <v>1.2898759945086982</v>
      </c>
      <c r="Y56" s="162">
        <f t="shared" si="12"/>
        <v>25.848075470979051</v>
      </c>
      <c r="Z56" s="164">
        <f t="shared" si="39"/>
        <v>47.151028587673927</v>
      </c>
      <c r="AA56" s="4">
        <f t="shared" si="13"/>
        <v>27.409874445174065</v>
      </c>
      <c r="AB56" s="4">
        <f t="shared" si="14"/>
        <v>511.79189432538533</v>
      </c>
      <c r="AC56" s="14">
        <f t="shared" si="15"/>
        <v>124.82632481153207</v>
      </c>
      <c r="AD56" s="153"/>
      <c r="AE56" s="252">
        <f t="shared" si="49"/>
        <v>53</v>
      </c>
      <c r="AF56" s="202">
        <f t="shared" si="40"/>
        <v>167</v>
      </c>
      <c r="AG56" s="153"/>
      <c r="AH56">
        <f t="shared" si="16"/>
        <v>44.454329422951666</v>
      </c>
      <c r="AI56">
        <f t="shared" si="17"/>
        <v>19.527701825697079</v>
      </c>
      <c r="AJ56" s="40">
        <f t="shared" si="18"/>
        <v>63.982031248648745</v>
      </c>
      <c r="AK56" s="88">
        <f t="shared" si="45"/>
        <v>109.09285782409479</v>
      </c>
      <c r="AL56" s="199">
        <f t="shared" si="19"/>
        <v>0.21080194368207833</v>
      </c>
      <c r="AM56" s="213">
        <f t="shared" si="20"/>
        <v>1581.6178670794441</v>
      </c>
      <c r="AN56">
        <f t="shared" si="21"/>
        <v>471.51028587673909</v>
      </c>
      <c r="AO56" s="215">
        <f t="shared" si="46"/>
        <v>158.16178670794412</v>
      </c>
      <c r="AP56" s="63">
        <f t="shared" si="22"/>
        <v>47.151028587673821</v>
      </c>
      <c r="AQ56" s="63">
        <f t="shared" si="23"/>
        <v>167.71827831269266</v>
      </c>
      <c r="AR56" s="63">
        <f t="shared" si="24"/>
        <v>50.000000000000007</v>
      </c>
      <c r="AS56" s="63">
        <f t="shared" si="25"/>
        <v>44.491607911366259</v>
      </c>
      <c r="AT56" s="63">
        <f t="shared" si="26"/>
        <v>19.490423337282486</v>
      </c>
      <c r="AU56" s="153"/>
      <c r="AV56" s="257">
        <f t="shared" si="41"/>
        <v>53</v>
      </c>
      <c r="AW56" s="202">
        <f t="shared" si="42"/>
        <v>1454</v>
      </c>
      <c r="AX56" s="23"/>
      <c r="AY56" s="257">
        <f t="shared" si="27"/>
        <v>63.251288130460381</v>
      </c>
      <c r="AZ56" s="257">
        <f t="shared" si="28"/>
        <v>170.0196314644524</v>
      </c>
      <c r="BA56" s="257">
        <f t="shared" si="29"/>
        <v>233.27091959491278</v>
      </c>
      <c r="BB56" s="53" t="e">
        <f t="shared" si="47"/>
        <v>#NUM!</v>
      </c>
      <c r="BC56" s="198" t="e">
        <f t="shared" si="30"/>
        <v>#NUM!</v>
      </c>
      <c r="BD56" s="211">
        <f t="shared" si="31"/>
        <v>460835555817.19177</v>
      </c>
      <c r="BE56" s="257" t="e">
        <f t="shared" si="32"/>
        <v>#NUM!</v>
      </c>
      <c r="BF56" s="4" t="e">
        <f t="shared" si="48"/>
        <v>#NUM!</v>
      </c>
      <c r="BG56" s="4" t="e">
        <f t="shared" si="33"/>
        <v>#NUM!</v>
      </c>
      <c r="BH56" s="4" t="e">
        <f t="shared" si="34"/>
        <v>#NUM!</v>
      </c>
      <c r="BI56" s="4" t="e">
        <f t="shared" si="35"/>
        <v>#NUM!</v>
      </c>
      <c r="BJ56" t="e">
        <f t="shared" si="36"/>
        <v>#NUM!</v>
      </c>
      <c r="BK56" t="e">
        <f t="shared" si="37"/>
        <v>#NUM!</v>
      </c>
      <c r="BL56" s="153"/>
      <c r="BM56" s="40"/>
    </row>
    <row r="57" spans="15:65">
      <c r="O57" s="252">
        <f t="shared" si="38"/>
        <v>54</v>
      </c>
      <c r="P57" s="138">
        <f t="shared" si="4"/>
        <v>20.175000000000001</v>
      </c>
      <c r="Q57" s="146"/>
      <c r="R57" s="56">
        <f t="shared" si="43"/>
        <v>26.096270867882158</v>
      </c>
      <c r="S57" s="56">
        <f t="shared" si="6"/>
        <v>52.192541735764316</v>
      </c>
      <c r="T57" s="56">
        <f t="shared" si="7"/>
        <v>2.3591100858289735</v>
      </c>
      <c r="U57" s="56">
        <f t="shared" si="8"/>
        <v>28.455380953711131</v>
      </c>
      <c r="V57" s="56">
        <f t="shared" si="9"/>
        <v>54.551651821593289</v>
      </c>
      <c r="W57" s="154">
        <f t="shared" si="10"/>
        <v>124.6195081190324</v>
      </c>
      <c r="X57" s="149">
        <f t="shared" si="11"/>
        <v>1.2595259673766617</v>
      </c>
      <c r="Y57" s="162">
        <f t="shared" si="12"/>
        <v>26.470920741481081</v>
      </c>
      <c r="Z57" s="4">
        <f t="shared" si="39"/>
        <v>47.151028587673792</v>
      </c>
      <c r="AA57" s="4">
        <f t="shared" si="13"/>
        <v>28.07035343063659</v>
      </c>
      <c r="AB57" s="4">
        <f t="shared" si="14"/>
        <v>534.05082595938143</v>
      </c>
      <c r="AC57" s="14">
        <f t="shared" si="15"/>
        <v>124.61950811903242</v>
      </c>
      <c r="AE57" s="252">
        <f t="shared" si="49"/>
        <v>54</v>
      </c>
      <c r="AF57" s="202">
        <f t="shared" si="40"/>
        <v>170</v>
      </c>
      <c r="AH57">
        <f t="shared" si="16"/>
        <v>44.608978427565482</v>
      </c>
      <c r="AI57">
        <f t="shared" si="17"/>
        <v>19.878498864482058</v>
      </c>
      <c r="AJ57" s="40">
        <f t="shared" si="18"/>
        <v>64.487477292047544</v>
      </c>
      <c r="AK57" s="88">
        <f t="shared" si="45"/>
        <v>108.587411780696</v>
      </c>
      <c r="AL57" s="199">
        <f t="shared" si="19"/>
        <v>0.19888512781368148</v>
      </c>
      <c r="AM57" s="213">
        <f t="shared" si="20"/>
        <v>1676.3853798811529</v>
      </c>
      <c r="AN57">
        <f t="shared" si="21"/>
        <v>471.51028587673949</v>
      </c>
      <c r="AO57" s="215">
        <f t="shared" si="46"/>
        <v>167.63853798811499</v>
      </c>
      <c r="AP57" s="63">
        <f t="shared" si="22"/>
        <v>47.151028587673871</v>
      </c>
      <c r="AQ57" s="63">
        <f t="shared" si="23"/>
        <v>177.76763626312359</v>
      </c>
      <c r="AR57" s="63">
        <f t="shared" si="24"/>
        <v>50.000000000000007</v>
      </c>
      <c r="AS57" s="63">
        <f t="shared" si="25"/>
        <v>44.997053954765036</v>
      </c>
      <c r="AT57" s="63">
        <f t="shared" si="26"/>
        <v>19.490423337282508</v>
      </c>
      <c r="AV57" s="257">
        <f t="shared" si="41"/>
        <v>54</v>
      </c>
      <c r="AW57" s="202">
        <f t="shared" si="42"/>
        <v>1481</v>
      </c>
      <c r="AX57" s="257"/>
      <c r="AY57" s="257">
        <f t="shared" si="27"/>
        <v>63.411101170424175</v>
      </c>
      <c r="AZ57" s="257">
        <f t="shared" si="28"/>
        <v>173.17680481351721</v>
      </c>
      <c r="BA57" s="257">
        <f t="shared" si="29"/>
        <v>236.58790598394137</v>
      </c>
      <c r="BB57" s="53" t="e">
        <f t="shared" si="47"/>
        <v>#NUM!</v>
      </c>
      <c r="BC57" s="198" t="e">
        <f t="shared" si="30"/>
        <v>#NUM!</v>
      </c>
      <c r="BD57" s="211">
        <f t="shared" si="31"/>
        <v>675142269382.01086</v>
      </c>
      <c r="BE57" s="257" t="e">
        <f t="shared" si="32"/>
        <v>#NUM!</v>
      </c>
      <c r="BF57" s="4" t="e">
        <f t="shared" si="48"/>
        <v>#NUM!</v>
      </c>
      <c r="BG57" s="4" t="e">
        <f t="shared" si="33"/>
        <v>#NUM!</v>
      </c>
      <c r="BH57" s="4" t="e">
        <f t="shared" si="34"/>
        <v>#NUM!</v>
      </c>
      <c r="BI57" s="4" t="e">
        <f t="shared" si="35"/>
        <v>#NUM!</v>
      </c>
      <c r="BJ57" t="e">
        <f t="shared" si="36"/>
        <v>#NUM!</v>
      </c>
      <c r="BK57" t="e">
        <f t="shared" si="37"/>
        <v>#NUM!</v>
      </c>
      <c r="BM57" s="40"/>
    </row>
    <row r="58" spans="15:65">
      <c r="O58" s="252">
        <f t="shared" si="38"/>
        <v>55</v>
      </c>
      <c r="P58" s="138">
        <f t="shared" si="4"/>
        <v>20.55</v>
      </c>
      <c r="Q58" s="146"/>
      <c r="R58" s="56">
        <f t="shared" si="43"/>
        <v>26.256236524241761</v>
      </c>
      <c r="S58" s="56">
        <f t="shared" si="6"/>
        <v>52.512473048483521</v>
      </c>
      <c r="T58" s="56">
        <f t="shared" si="7"/>
        <v>2.4029597156770959</v>
      </c>
      <c r="U58" s="56">
        <f t="shared" si="8"/>
        <v>28.659196239918856</v>
      </c>
      <c r="V58" s="56">
        <f t="shared" si="9"/>
        <v>54.91543276416062</v>
      </c>
      <c r="W58" s="154">
        <f t="shared" si="10"/>
        <v>124.41569283282469</v>
      </c>
      <c r="X58" s="149">
        <f t="shared" si="11"/>
        <v>1.2303151201566256</v>
      </c>
      <c r="Y58" s="162">
        <f t="shared" si="12"/>
        <v>27.099408523907695</v>
      </c>
      <c r="Z58" s="4">
        <f t="shared" si="39"/>
        <v>47.151028587673913</v>
      </c>
      <c r="AA58" s="4">
        <f t="shared" si="13"/>
        <v>28.736815861310809</v>
      </c>
      <c r="AB58" s="4">
        <f t="shared" si="14"/>
        <v>556.89284516630369</v>
      </c>
      <c r="AC58" s="14">
        <f t="shared" si="15"/>
        <v>124.41569283282469</v>
      </c>
      <c r="AE58" s="252">
        <f t="shared" si="49"/>
        <v>55</v>
      </c>
      <c r="AF58" s="202">
        <f t="shared" si="40"/>
        <v>173</v>
      </c>
      <c r="AH58">
        <f t="shared" si="16"/>
        <v>44.760922062575908</v>
      </c>
      <c r="AI58">
        <f t="shared" si="17"/>
        <v>20.22929590326703</v>
      </c>
      <c r="AJ58" s="40">
        <f t="shared" si="18"/>
        <v>64.99021796584293</v>
      </c>
      <c r="AK58" s="88">
        <f t="shared" si="45"/>
        <v>108.08467110690061</v>
      </c>
      <c r="AL58" s="199">
        <f t="shared" si="19"/>
        <v>0.1877004332566142</v>
      </c>
      <c r="AM58" s="213">
        <f t="shared" si="20"/>
        <v>1776.2778420805862</v>
      </c>
      <c r="AN58">
        <f t="shared" si="21"/>
        <v>471.51028587673909</v>
      </c>
      <c r="AO58" s="215">
        <f t="shared" si="46"/>
        <v>177.6277842080583</v>
      </c>
      <c r="AP58" s="63">
        <f t="shared" si="22"/>
        <v>47.151028587673828</v>
      </c>
      <c r="AQ58" s="63">
        <f t="shared" si="23"/>
        <v>188.3604552526067</v>
      </c>
      <c r="AR58" s="63">
        <f t="shared" si="24"/>
        <v>50</v>
      </c>
      <c r="AS58" s="63">
        <f t="shared" si="25"/>
        <v>45.499794628560437</v>
      </c>
      <c r="AT58" s="63">
        <f t="shared" si="26"/>
        <v>19.490423337282493</v>
      </c>
      <c r="AV58" s="257">
        <f t="shared" si="41"/>
        <v>55</v>
      </c>
      <c r="AW58" s="202">
        <f t="shared" si="42"/>
        <v>1508</v>
      </c>
      <c r="AY58" s="257">
        <f t="shared" si="27"/>
        <v>63.568026830675102</v>
      </c>
      <c r="AZ58" s="257">
        <f t="shared" si="28"/>
        <v>176.33397816258199</v>
      </c>
      <c r="BA58" s="257">
        <f t="shared" si="29"/>
        <v>239.90200499325709</v>
      </c>
      <c r="BB58" s="53" t="e">
        <f t="shared" si="47"/>
        <v>#NUM!</v>
      </c>
      <c r="BC58" s="198" t="e">
        <f t="shared" si="30"/>
        <v>#NUM!</v>
      </c>
      <c r="BD58" s="211">
        <f t="shared" si="31"/>
        <v>988781312047.44751</v>
      </c>
      <c r="BE58" s="257" t="e">
        <f t="shared" si="32"/>
        <v>#NUM!</v>
      </c>
      <c r="BF58" s="4" t="e">
        <f t="shared" si="48"/>
        <v>#NUM!</v>
      </c>
      <c r="BG58" s="4" t="e">
        <f t="shared" si="33"/>
        <v>#NUM!</v>
      </c>
      <c r="BH58" s="4" t="e">
        <f t="shared" si="34"/>
        <v>#NUM!</v>
      </c>
      <c r="BI58" s="4" t="e">
        <f t="shared" si="35"/>
        <v>#NUM!</v>
      </c>
      <c r="BJ58" t="e">
        <f t="shared" si="36"/>
        <v>#NUM!</v>
      </c>
      <c r="BK58" t="e">
        <f t="shared" si="37"/>
        <v>#NUM!</v>
      </c>
      <c r="BM58" s="40"/>
    </row>
    <row r="59" spans="15:65">
      <c r="O59" s="252">
        <f t="shared" si="38"/>
        <v>56</v>
      </c>
      <c r="P59" s="138">
        <f t="shared" si="4"/>
        <v>20.925000000000001</v>
      </c>
      <c r="Q59" s="146"/>
      <c r="R59" s="56">
        <f t="shared" si="43"/>
        <v>26.413309333305953</v>
      </c>
      <c r="S59" s="56">
        <f t="shared" si="6"/>
        <v>52.826618666611907</v>
      </c>
      <c r="T59" s="56">
        <f t="shared" si="7"/>
        <v>2.4468093455252178</v>
      </c>
      <c r="U59" s="56">
        <f t="shared" si="8"/>
        <v>28.860118678831171</v>
      </c>
      <c r="V59" s="56">
        <f t="shared" si="9"/>
        <v>55.273428012137124</v>
      </c>
      <c r="W59" s="154">
        <f t="shared" si="10"/>
        <v>124.21477039391239</v>
      </c>
      <c r="X59" s="149">
        <f t="shared" si="11"/>
        <v>1.2021820507637377</v>
      </c>
      <c r="Y59" s="162">
        <f t="shared" si="12"/>
        <v>27.733579979075426</v>
      </c>
      <c r="Z59" s="4">
        <f t="shared" si="39"/>
        <v>47.151028587673991</v>
      </c>
      <c r="AA59" s="4">
        <f t="shared" si="13"/>
        <v>29.409305385042554</v>
      </c>
      <c r="AB59" s="4">
        <f t="shared" si="14"/>
        <v>580.32516106215405</v>
      </c>
      <c r="AC59" s="14">
        <f t="shared" si="15"/>
        <v>124.21477039391237</v>
      </c>
      <c r="AE59" s="252">
        <f t="shared" si="49"/>
        <v>56</v>
      </c>
      <c r="AF59" s="202">
        <f t="shared" si="40"/>
        <v>176</v>
      </c>
      <c r="AH59">
        <f t="shared" si="16"/>
        <v>44.910253356283</v>
      </c>
      <c r="AI59">
        <f t="shared" si="17"/>
        <v>20.580092942052008</v>
      </c>
      <c r="AJ59" s="40">
        <f t="shared" si="18"/>
        <v>65.490346298335012</v>
      </c>
      <c r="AK59" s="88">
        <f t="shared" si="45"/>
        <v>107.58454277440855</v>
      </c>
      <c r="AL59" s="199">
        <f t="shared" si="19"/>
        <v>0.17719801741059735</v>
      </c>
      <c r="AM59" s="213">
        <f t="shared" si="20"/>
        <v>1881.5567206380656</v>
      </c>
      <c r="AN59">
        <f t="shared" si="21"/>
        <v>471.51028587673989</v>
      </c>
      <c r="AO59" s="215">
        <f t="shared" si="46"/>
        <v>188.15567206380624</v>
      </c>
      <c r="AP59" s="63">
        <f t="shared" si="22"/>
        <v>47.151028587673913</v>
      </c>
      <c r="AQ59" s="63">
        <f t="shared" si="23"/>
        <v>199.52446181947488</v>
      </c>
      <c r="AR59" s="63">
        <f t="shared" si="24"/>
        <v>50</v>
      </c>
      <c r="AS59" s="63">
        <f t="shared" si="25"/>
        <v>45.999922961052505</v>
      </c>
      <c r="AT59" s="63">
        <f t="shared" si="26"/>
        <v>19.490423337282508</v>
      </c>
      <c r="AV59" s="257">
        <f t="shared" si="41"/>
        <v>56</v>
      </c>
      <c r="AW59" s="202">
        <f t="shared" si="42"/>
        <v>1535</v>
      </c>
      <c r="AY59" s="257">
        <f t="shared" si="27"/>
        <v>63.722167596264107</v>
      </c>
      <c r="AZ59" s="257">
        <f t="shared" si="28"/>
        <v>179.49115151164679</v>
      </c>
      <c r="BA59" s="257">
        <f t="shared" si="29"/>
        <v>243.21331910791091</v>
      </c>
      <c r="BB59" s="53" t="e">
        <f t="shared" si="47"/>
        <v>#NUM!</v>
      </c>
      <c r="BC59" s="198" t="e">
        <f t="shared" si="30"/>
        <v>#NUM!</v>
      </c>
      <c r="BD59" s="211">
        <f t="shared" si="31"/>
        <v>1447657935758.6646</v>
      </c>
      <c r="BE59" s="257" t="e">
        <f t="shared" si="32"/>
        <v>#NUM!</v>
      </c>
      <c r="BF59" s="4" t="e">
        <f t="shared" si="48"/>
        <v>#NUM!</v>
      </c>
      <c r="BG59" s="4" t="e">
        <f t="shared" si="33"/>
        <v>#NUM!</v>
      </c>
      <c r="BH59" s="4" t="e">
        <f t="shared" si="34"/>
        <v>#NUM!</v>
      </c>
      <c r="BI59" s="4" t="e">
        <f t="shared" si="35"/>
        <v>#NUM!</v>
      </c>
      <c r="BJ59" t="e">
        <f t="shared" si="36"/>
        <v>#NUM!</v>
      </c>
      <c r="BK59" t="e">
        <f t="shared" si="37"/>
        <v>#NUM!</v>
      </c>
      <c r="BM59" s="40"/>
    </row>
    <row r="60" spans="15:65">
      <c r="O60" s="252">
        <f t="shared" si="38"/>
        <v>57</v>
      </c>
      <c r="P60" s="138">
        <f t="shared" si="4"/>
        <v>21.3</v>
      </c>
      <c r="Q60" s="146"/>
      <c r="R60" s="56">
        <f t="shared" si="43"/>
        <v>26.567592068774758</v>
      </c>
      <c r="S60" s="56">
        <f t="shared" si="6"/>
        <v>53.135184137549516</v>
      </c>
      <c r="T60" s="56">
        <f t="shared" si="7"/>
        <v>2.4906589753733397</v>
      </c>
      <c r="U60" s="56">
        <f t="shared" si="8"/>
        <v>29.058251044148097</v>
      </c>
      <c r="V60" s="56">
        <f t="shared" si="9"/>
        <v>55.625843112922858</v>
      </c>
      <c r="W60" s="154">
        <f t="shared" si="10"/>
        <v>124.01663802859544</v>
      </c>
      <c r="X60" s="149">
        <f t="shared" si="11"/>
        <v>1.1750696819746336</v>
      </c>
      <c r="Y60" s="162">
        <f t="shared" si="12"/>
        <v>28.373476539908445</v>
      </c>
      <c r="Z60" s="4">
        <f t="shared" si="39"/>
        <v>47.151028587673856</v>
      </c>
      <c r="AA60" s="4">
        <f t="shared" si="13"/>
        <v>30.087865938226649</v>
      </c>
      <c r="AB60" s="4">
        <f t="shared" si="14"/>
        <v>604.35505030005049</v>
      </c>
      <c r="AC60" s="14">
        <f t="shared" si="15"/>
        <v>124.01663802859544</v>
      </c>
      <c r="AE60" s="252">
        <f t="shared" si="49"/>
        <v>57</v>
      </c>
      <c r="AF60" s="202">
        <f t="shared" si="40"/>
        <v>179</v>
      </c>
      <c r="AH60">
        <f t="shared" si="16"/>
        <v>45.057060619597863</v>
      </c>
      <c r="AI60">
        <f t="shared" si="17"/>
        <v>20.930889980836987</v>
      </c>
      <c r="AJ60" s="40">
        <f t="shared" si="18"/>
        <v>65.987950600434857</v>
      </c>
      <c r="AK60" s="88">
        <f t="shared" si="45"/>
        <v>107.08693847230869</v>
      </c>
      <c r="AL60" s="199">
        <f t="shared" si="19"/>
        <v>0.16733186185159174</v>
      </c>
      <c r="AM60" s="213">
        <f t="shared" si="20"/>
        <v>1992.4963294698334</v>
      </c>
      <c r="AN60">
        <f t="shared" si="21"/>
        <v>471.51028587673909</v>
      </c>
      <c r="AO60" s="215">
        <f t="shared" si="46"/>
        <v>199.24963294698298</v>
      </c>
      <c r="AP60" s="63">
        <f t="shared" si="22"/>
        <v>47.151028587673828</v>
      </c>
      <c r="AQ60" s="63">
        <f t="shared" si="23"/>
        <v>211.28874482185805</v>
      </c>
      <c r="AR60" s="63">
        <f t="shared" si="24"/>
        <v>50</v>
      </c>
      <c r="AS60" s="63">
        <f t="shared" si="25"/>
        <v>46.497527263152364</v>
      </c>
      <c r="AT60" s="63">
        <f t="shared" si="26"/>
        <v>19.490423337282493</v>
      </c>
      <c r="AV60" s="257">
        <f t="shared" si="41"/>
        <v>57</v>
      </c>
      <c r="AW60" s="202">
        <f t="shared" si="42"/>
        <v>1562</v>
      </c>
      <c r="AY60" s="257">
        <f t="shared" si="27"/>
        <v>63.873620590825631</v>
      </c>
      <c r="AZ60" s="257">
        <f t="shared" si="28"/>
        <v>182.6483248607116</v>
      </c>
      <c r="BA60" s="257">
        <f t="shared" si="29"/>
        <v>246.52194545153722</v>
      </c>
      <c r="BB60" s="53" t="e">
        <f t="shared" si="47"/>
        <v>#NUM!</v>
      </c>
      <c r="BC60" s="198" t="e">
        <f t="shared" si="30"/>
        <v>#NUM!</v>
      </c>
      <c r="BD60" s="211">
        <f t="shared" si="31"/>
        <v>2118835655494.5139</v>
      </c>
      <c r="BE60" s="257" t="e">
        <f t="shared" si="32"/>
        <v>#NUM!</v>
      </c>
      <c r="BF60" s="4" t="e">
        <f t="shared" si="48"/>
        <v>#NUM!</v>
      </c>
      <c r="BG60" s="4" t="e">
        <f t="shared" si="33"/>
        <v>#NUM!</v>
      </c>
      <c r="BH60" s="4" t="e">
        <f t="shared" si="34"/>
        <v>#NUM!</v>
      </c>
      <c r="BI60" s="4" t="e">
        <f t="shared" si="35"/>
        <v>#NUM!</v>
      </c>
      <c r="BJ60" t="e">
        <f t="shared" si="36"/>
        <v>#NUM!</v>
      </c>
      <c r="BK60" t="e">
        <f t="shared" si="37"/>
        <v>#NUM!</v>
      </c>
      <c r="BM60" s="40"/>
    </row>
    <row r="61" spans="15:65">
      <c r="O61" s="252">
        <f t="shared" si="38"/>
        <v>58</v>
      </c>
      <c r="P61" s="138">
        <f t="shared" si="4"/>
        <v>21.675000000000001</v>
      </c>
      <c r="Q61" s="146"/>
      <c r="R61" s="56">
        <f t="shared" si="43"/>
        <v>26.719182122964959</v>
      </c>
      <c r="S61" s="56">
        <f t="shared" si="6"/>
        <v>53.438364245929918</v>
      </c>
      <c r="T61" s="56">
        <f t="shared" si="7"/>
        <v>2.534508605221462</v>
      </c>
      <c r="U61" s="56">
        <f t="shared" si="8"/>
        <v>29.25369072818642</v>
      </c>
      <c r="V61" s="56">
        <f t="shared" si="9"/>
        <v>55.972872851151379</v>
      </c>
      <c r="W61" s="154">
        <f t="shared" si="10"/>
        <v>123.82119834455712</v>
      </c>
      <c r="X61" s="149">
        <f t="shared" si="11"/>
        <v>1.1489248873006677</v>
      </c>
      <c r="Y61" s="162">
        <f t="shared" si="12"/>
        <v>29.019139913138478</v>
      </c>
      <c r="Z61" s="4">
        <f t="shared" si="39"/>
        <v>47.151028587673842</v>
      </c>
      <c r="AA61" s="4">
        <f t="shared" si="13"/>
        <v>30.772541747609544</v>
      </c>
      <c r="AB61" s="4">
        <f t="shared" si="14"/>
        <v>628.98985761727681</v>
      </c>
      <c r="AC61" s="14">
        <f t="shared" si="15"/>
        <v>123.82119834455713</v>
      </c>
      <c r="AE61" s="252">
        <f t="shared" si="49"/>
        <v>58</v>
      </c>
      <c r="AF61" s="202">
        <f t="shared" si="40"/>
        <v>182</v>
      </c>
      <c r="AH61">
        <f t="shared" si="16"/>
        <v>45.201427759701495</v>
      </c>
      <c r="AI61">
        <f t="shared" si="17"/>
        <v>21.281687019621966</v>
      </c>
      <c r="AJ61" s="40">
        <f t="shared" si="18"/>
        <v>66.483114779323458</v>
      </c>
      <c r="AK61" s="88">
        <f t="shared" si="45"/>
        <v>106.5917742934201</v>
      </c>
      <c r="AL61" s="199">
        <f t="shared" si="19"/>
        <v>0.15805943835815922</v>
      </c>
      <c r="AM61" s="213">
        <f t="shared" si="20"/>
        <v>2109.3844442693444</v>
      </c>
      <c r="AN61">
        <f t="shared" si="21"/>
        <v>471.51028587673989</v>
      </c>
      <c r="AO61" s="215">
        <f t="shared" si="46"/>
        <v>210.93844442693407</v>
      </c>
      <c r="AP61" s="63">
        <f t="shared" si="22"/>
        <v>47.151028587673906</v>
      </c>
      <c r="AQ61" s="63">
        <f t="shared" si="23"/>
        <v>223.68382063469662</v>
      </c>
      <c r="AR61" s="63">
        <f t="shared" si="24"/>
        <v>50</v>
      </c>
      <c r="AS61" s="63">
        <f t="shared" si="25"/>
        <v>46.992691442040943</v>
      </c>
      <c r="AT61" s="63">
        <f t="shared" si="26"/>
        <v>19.490423337282515</v>
      </c>
      <c r="AV61" s="257">
        <f t="shared" si="41"/>
        <v>58</v>
      </c>
      <c r="AW61" s="202">
        <f t="shared" si="42"/>
        <v>1589</v>
      </c>
      <c r="AY61" s="257">
        <f t="shared" si="27"/>
        <v>64.022477944147596</v>
      </c>
      <c r="AZ61" s="257">
        <f t="shared" si="28"/>
        <v>185.80549820977637</v>
      </c>
      <c r="BA61" s="257">
        <f t="shared" si="29"/>
        <v>249.82797615392397</v>
      </c>
      <c r="BB61" s="53" t="e">
        <f t="shared" si="47"/>
        <v>#NUM!</v>
      </c>
      <c r="BC61" s="198" t="e">
        <f t="shared" si="30"/>
        <v>#NUM!</v>
      </c>
      <c r="BD61" s="211">
        <f t="shared" si="31"/>
        <v>3100264930578.2124</v>
      </c>
      <c r="BE61" s="257" t="e">
        <f t="shared" si="32"/>
        <v>#NUM!</v>
      </c>
      <c r="BF61" s="4" t="e">
        <f t="shared" si="48"/>
        <v>#NUM!</v>
      </c>
      <c r="BG61" s="4" t="e">
        <f t="shared" si="33"/>
        <v>#NUM!</v>
      </c>
      <c r="BH61" s="4" t="e">
        <f t="shared" si="34"/>
        <v>#NUM!</v>
      </c>
      <c r="BI61" s="4" t="e">
        <f t="shared" si="35"/>
        <v>#NUM!</v>
      </c>
      <c r="BJ61" t="e">
        <f t="shared" si="36"/>
        <v>#NUM!</v>
      </c>
      <c r="BK61" t="e">
        <f t="shared" si="37"/>
        <v>#NUM!</v>
      </c>
      <c r="BM61" s="40"/>
    </row>
    <row r="62" spans="15:65">
      <c r="O62" s="252">
        <f t="shared" si="38"/>
        <v>59</v>
      </c>
      <c r="P62" s="138">
        <f t="shared" si="4"/>
        <v>22.05</v>
      </c>
      <c r="Q62" s="146"/>
      <c r="R62" s="56">
        <f t="shared" si="43"/>
        <v>26.868171876077149</v>
      </c>
      <c r="S62" s="56">
        <f t="shared" si="6"/>
        <v>53.736343752154298</v>
      </c>
      <c r="T62" s="56">
        <f t="shared" si="7"/>
        <v>2.5783582350695844</v>
      </c>
      <c r="U62" s="56">
        <f t="shared" si="8"/>
        <v>29.446530111146732</v>
      </c>
      <c r="V62" s="56">
        <f t="shared" si="9"/>
        <v>56.314701987223884</v>
      </c>
      <c r="W62" s="154">
        <f t="shared" si="10"/>
        <v>123.62835896159682</v>
      </c>
      <c r="X62" s="149">
        <f t="shared" si="11"/>
        <v>1.1236981550373273</v>
      </c>
      <c r="Y62" s="162">
        <f t="shared" si="12"/>
        <v>29.670612081015172</v>
      </c>
      <c r="Z62" s="4">
        <f t="shared" si="39"/>
        <v>47.151028587673913</v>
      </c>
      <c r="AA62" s="4">
        <f t="shared" si="13"/>
        <v>31.463377332103029</v>
      </c>
      <c r="AB62" s="4">
        <f t="shared" si="14"/>
        <v>654.23699638638527</v>
      </c>
      <c r="AC62" s="14">
        <f t="shared" si="15"/>
        <v>123.6283589615968</v>
      </c>
      <c r="AE62" s="252">
        <f t="shared" si="49"/>
        <v>59</v>
      </c>
      <c r="AF62" s="202">
        <f t="shared" si="40"/>
        <v>185</v>
      </c>
      <c r="AH62">
        <f t="shared" si="16"/>
        <v>45.343434568060275</v>
      </c>
      <c r="AI62">
        <f t="shared" si="17"/>
        <v>21.632484058406941</v>
      </c>
      <c r="AJ62" s="40">
        <f t="shared" si="18"/>
        <v>66.975918626467219</v>
      </c>
      <c r="AK62" s="88">
        <f t="shared" si="45"/>
        <v>106.09897044627634</v>
      </c>
      <c r="AL62" s="199">
        <f t="shared" si="19"/>
        <v>0.1493414081644078</v>
      </c>
      <c r="AM62" s="213">
        <f t="shared" si="20"/>
        <v>2232.5229461852018</v>
      </c>
      <c r="AN62">
        <f t="shared" si="21"/>
        <v>471.51028587674</v>
      </c>
      <c r="AO62" s="215">
        <f t="shared" si="46"/>
        <v>223.25229461851978</v>
      </c>
      <c r="AP62" s="63">
        <f t="shared" si="22"/>
        <v>47.15102858767392</v>
      </c>
      <c r="AQ62" s="63">
        <f t="shared" si="23"/>
        <v>236.74170140678729</v>
      </c>
      <c r="AR62" s="63">
        <f t="shared" si="24"/>
        <v>50</v>
      </c>
      <c r="AS62" s="63">
        <f t="shared" si="25"/>
        <v>47.485495289184712</v>
      </c>
      <c r="AT62" s="63">
        <f t="shared" si="26"/>
        <v>19.490423337282508</v>
      </c>
      <c r="AV62" s="257">
        <f t="shared" si="41"/>
        <v>59</v>
      </c>
      <c r="AW62" s="202">
        <f t="shared" si="42"/>
        <v>1616</v>
      </c>
      <c r="AY62" s="257">
        <f t="shared" si="27"/>
        <v>64.168827128771341</v>
      </c>
      <c r="AZ62" s="257">
        <f t="shared" si="28"/>
        <v>188.96267155884121</v>
      </c>
      <c r="BA62" s="257">
        <f t="shared" si="29"/>
        <v>253.13149868761255</v>
      </c>
      <c r="BB62" s="53" t="e">
        <f t="shared" si="47"/>
        <v>#NUM!</v>
      </c>
      <c r="BC62" s="198" t="e">
        <f t="shared" si="30"/>
        <v>#NUM!</v>
      </c>
      <c r="BD62" s="211">
        <f t="shared" si="31"/>
        <v>4534975387584.5479</v>
      </c>
      <c r="BE62" s="257" t="e">
        <f t="shared" si="32"/>
        <v>#NUM!</v>
      </c>
      <c r="BF62" s="4" t="e">
        <f t="shared" si="48"/>
        <v>#NUM!</v>
      </c>
      <c r="BG62" s="4" t="e">
        <f t="shared" si="33"/>
        <v>#NUM!</v>
      </c>
      <c r="BH62" s="4" t="e">
        <f t="shared" si="34"/>
        <v>#NUM!</v>
      </c>
      <c r="BI62" s="4" t="e">
        <f t="shared" si="35"/>
        <v>#NUM!</v>
      </c>
      <c r="BJ62" t="e">
        <f t="shared" si="36"/>
        <v>#NUM!</v>
      </c>
      <c r="BK62" t="e">
        <f t="shared" si="37"/>
        <v>#NUM!</v>
      </c>
      <c r="BM62" s="40"/>
    </row>
    <row r="63" spans="15:65">
      <c r="O63" s="252">
        <f t="shared" si="38"/>
        <v>60</v>
      </c>
      <c r="P63" s="138">
        <f t="shared" si="4"/>
        <v>22.425000000000001</v>
      </c>
      <c r="Q63" s="146"/>
      <c r="R63" s="56">
        <f t="shared" si="43"/>
        <v>27.014649034322595</v>
      </c>
      <c r="S63" s="56">
        <f t="shared" si="6"/>
        <v>54.02929806864519</v>
      </c>
      <c r="T63" s="56">
        <f t="shared" si="7"/>
        <v>2.6222078649177063</v>
      </c>
      <c r="U63" s="56">
        <f t="shared" si="8"/>
        <v>29.6368568992403</v>
      </c>
      <c r="V63" s="56">
        <f t="shared" si="9"/>
        <v>56.651505933562895</v>
      </c>
      <c r="W63" s="154">
        <f t="shared" si="10"/>
        <v>123.43803217350326</v>
      </c>
      <c r="X63" s="149">
        <f t="shared" si="11"/>
        <v>1.0993432860211199</v>
      </c>
      <c r="Y63" s="162">
        <f t="shared" si="12"/>
        <v>30.327935303026461</v>
      </c>
      <c r="Z63" s="4">
        <f t="shared" si="39"/>
        <v>47.151028587673991</v>
      </c>
      <c r="AA63" s="4">
        <f t="shared" si="13"/>
        <v>32.160417504608539</v>
      </c>
      <c r="AB63" s="4">
        <f t="shared" si="14"/>
        <v>680.10394917036865</v>
      </c>
      <c r="AC63" s="14">
        <f t="shared" si="15"/>
        <v>123.43803217350325</v>
      </c>
      <c r="AE63" s="252">
        <f t="shared" si="49"/>
        <v>60</v>
      </c>
      <c r="AF63" s="202">
        <f t="shared" si="40"/>
        <v>188</v>
      </c>
      <c r="AH63">
        <f t="shared" si="16"/>
        <v>45.483156985273602</v>
      </c>
      <c r="AI63">
        <f t="shared" si="17"/>
        <v>21.98328109719192</v>
      </c>
      <c r="AJ63" s="40">
        <f t="shared" si="18"/>
        <v>67.466438082465515</v>
      </c>
      <c r="AK63" s="88">
        <f t="shared" si="45"/>
        <v>105.60845099027803</v>
      </c>
      <c r="AL63" s="199">
        <f t="shared" si="19"/>
        <v>0.14114135069954906</v>
      </c>
      <c r="AM63" s="213">
        <f t="shared" si="20"/>
        <v>2362.2284956899975</v>
      </c>
      <c r="AN63">
        <f t="shared" si="21"/>
        <v>471.5102858767396</v>
      </c>
      <c r="AO63" s="215">
        <f t="shared" si="46"/>
        <v>236.22284956899935</v>
      </c>
      <c r="AP63" s="63">
        <f t="shared" si="22"/>
        <v>47.151028587673878</v>
      </c>
      <c r="AQ63" s="63">
        <f t="shared" si="23"/>
        <v>250.49596651933084</v>
      </c>
      <c r="AR63" s="63">
        <f t="shared" si="24"/>
        <v>50</v>
      </c>
      <c r="AS63" s="63">
        <f t="shared" si="25"/>
        <v>47.976014745183015</v>
      </c>
      <c r="AT63" s="63">
        <f t="shared" si="26"/>
        <v>19.4904233372825</v>
      </c>
      <c r="AV63" s="257">
        <f t="shared" si="41"/>
        <v>60</v>
      </c>
      <c r="AW63" s="202">
        <f t="shared" si="42"/>
        <v>1643</v>
      </c>
      <c r="AY63" s="257">
        <f t="shared" si="27"/>
        <v>64.312751268701234</v>
      </c>
      <c r="AZ63" s="257">
        <f t="shared" si="28"/>
        <v>192.11984490790599</v>
      </c>
      <c r="BA63" s="257">
        <f t="shared" si="29"/>
        <v>256.43259617660721</v>
      </c>
      <c r="BB63" s="53" t="e">
        <f t="shared" si="47"/>
        <v>#NUM!</v>
      </c>
      <c r="BC63" s="198" t="e">
        <f t="shared" si="30"/>
        <v>#NUM!</v>
      </c>
      <c r="BD63" s="211">
        <f t="shared" si="31"/>
        <v>6631775390825.3027</v>
      </c>
      <c r="BE63" s="257" t="e">
        <f t="shared" si="32"/>
        <v>#NUM!</v>
      </c>
      <c r="BF63" s="4" t="e">
        <f t="shared" si="48"/>
        <v>#NUM!</v>
      </c>
      <c r="BG63" s="4" t="e">
        <f t="shared" si="33"/>
        <v>#NUM!</v>
      </c>
      <c r="BH63" s="4" t="e">
        <f t="shared" si="34"/>
        <v>#NUM!</v>
      </c>
      <c r="BI63" s="4" t="e">
        <f t="shared" si="35"/>
        <v>#NUM!</v>
      </c>
      <c r="BJ63" t="e">
        <f t="shared" si="36"/>
        <v>#NUM!</v>
      </c>
      <c r="BK63" t="e">
        <f t="shared" si="37"/>
        <v>#NUM!</v>
      </c>
      <c r="BM63" s="40"/>
    </row>
    <row r="64" spans="15:65">
      <c r="O64" s="252">
        <f t="shared" si="38"/>
        <v>61</v>
      </c>
      <c r="P64" s="138">
        <f t="shared" si="4"/>
        <v>22.8</v>
      </c>
      <c r="Q64" s="146"/>
      <c r="R64" s="56">
        <f t="shared" si="43"/>
        <v>27.158696940009076</v>
      </c>
      <c r="S64" s="56">
        <f t="shared" si="6"/>
        <v>54.317393880018152</v>
      </c>
      <c r="T64" s="56">
        <f t="shared" si="7"/>
        <v>2.6660574947658287</v>
      </c>
      <c r="U64" s="56">
        <f t="shared" si="8"/>
        <v>29.824754434774903</v>
      </c>
      <c r="V64" s="56">
        <f t="shared" si="9"/>
        <v>56.983451374783982</v>
      </c>
      <c r="W64" s="154">
        <f t="shared" si="10"/>
        <v>123.25013463796866</v>
      </c>
      <c r="X64" s="149">
        <f t="shared" si="11"/>
        <v>1.0758171212130838</v>
      </c>
      <c r="Y64" s="162">
        <f t="shared" si="12"/>
        <v>30.991152117629593</v>
      </c>
      <c r="Z64" s="4">
        <f t="shared" si="39"/>
        <v>47.151028587673991</v>
      </c>
      <c r="AA64" s="4">
        <f t="shared" si="13"/>
        <v>32.863707373852783</v>
      </c>
      <c r="AB64" s="4">
        <f t="shared" si="14"/>
        <v>706.59826828195537</v>
      </c>
      <c r="AC64" s="14">
        <f t="shared" si="15"/>
        <v>123.25013463796864</v>
      </c>
      <c r="AE64" s="252">
        <f t="shared" si="49"/>
        <v>61</v>
      </c>
      <c r="AF64" s="202">
        <f t="shared" si="40"/>
        <v>191</v>
      </c>
      <c r="AH64">
        <f t="shared" si="16"/>
        <v>45.620667344954555</v>
      </c>
      <c r="AI64">
        <f t="shared" si="17"/>
        <v>22.334078135976899</v>
      </c>
      <c r="AJ64" s="40">
        <f t="shared" si="18"/>
        <v>67.95474548093145</v>
      </c>
      <c r="AK64" s="88">
        <f t="shared" si="45"/>
        <v>105.12014359181209</v>
      </c>
      <c r="AL64" s="199">
        <f t="shared" si="19"/>
        <v>0.13342551854511983</v>
      </c>
      <c r="AM64" s="213">
        <f t="shared" si="20"/>
        <v>2498.8332380353681</v>
      </c>
      <c r="AN64">
        <f t="shared" si="21"/>
        <v>471.51028587673915</v>
      </c>
      <c r="AO64" s="215">
        <f t="shared" si="46"/>
        <v>249.88332380353637</v>
      </c>
      <c r="AP64" s="63">
        <f t="shared" si="22"/>
        <v>47.151028587673835</v>
      </c>
      <c r="AQ64" s="63">
        <f t="shared" si="23"/>
        <v>264.98183739395728</v>
      </c>
      <c r="AR64" s="63">
        <f t="shared" si="24"/>
        <v>50</v>
      </c>
      <c r="AS64" s="63">
        <f t="shared" si="25"/>
        <v>48.464322143648964</v>
      </c>
      <c r="AT64" s="63">
        <f t="shared" si="26"/>
        <v>19.490423337282486</v>
      </c>
      <c r="AV64" s="257">
        <f t="shared" si="41"/>
        <v>61</v>
      </c>
      <c r="AW64" s="202">
        <f t="shared" si="42"/>
        <v>1670</v>
      </c>
      <c r="AY64" s="257">
        <f t="shared" si="27"/>
        <v>64.454329422951673</v>
      </c>
      <c r="AZ64" s="257">
        <f t="shared" si="28"/>
        <v>195.27701825697076</v>
      </c>
      <c r="BA64" s="257">
        <f t="shared" si="29"/>
        <v>259.73134767992246</v>
      </c>
      <c r="BB64" s="53" t="e">
        <f t="shared" si="47"/>
        <v>#NUM!</v>
      </c>
      <c r="BC64" s="198" t="e">
        <f t="shared" si="30"/>
        <v>#NUM!</v>
      </c>
      <c r="BD64" s="211">
        <f t="shared" si="31"/>
        <v>9695436894940.416</v>
      </c>
      <c r="BE64" s="257" t="e">
        <f t="shared" si="32"/>
        <v>#NUM!</v>
      </c>
      <c r="BF64" s="4" t="e">
        <f t="shared" si="48"/>
        <v>#NUM!</v>
      </c>
      <c r="BG64" s="4" t="e">
        <f t="shared" si="33"/>
        <v>#NUM!</v>
      </c>
      <c r="BH64" s="4" t="e">
        <f t="shared" si="34"/>
        <v>#NUM!</v>
      </c>
      <c r="BI64" s="4" t="e">
        <f t="shared" si="35"/>
        <v>#NUM!</v>
      </c>
      <c r="BJ64" t="e">
        <f t="shared" si="36"/>
        <v>#NUM!</v>
      </c>
      <c r="BK64" t="e">
        <f t="shared" si="37"/>
        <v>#NUM!</v>
      </c>
      <c r="BM64" s="40"/>
    </row>
    <row r="65" spans="15:65">
      <c r="O65" s="252">
        <f t="shared" si="38"/>
        <v>62</v>
      </c>
      <c r="P65" s="138">
        <f t="shared" si="4"/>
        <v>23.175000000000001</v>
      </c>
      <c r="Q65" s="146"/>
      <c r="R65" s="56">
        <f t="shared" si="43"/>
        <v>27.300394856330694</v>
      </c>
      <c r="S65" s="56">
        <f t="shared" si="6"/>
        <v>54.600789712661388</v>
      </c>
      <c r="T65" s="56">
        <f t="shared" si="7"/>
        <v>2.709907124613951</v>
      </c>
      <c r="U65" s="56">
        <f t="shared" si="8"/>
        <v>30.010301980944647</v>
      </c>
      <c r="V65" s="56">
        <f t="shared" si="9"/>
        <v>57.310696837275337</v>
      </c>
      <c r="W65" s="154">
        <f t="shared" si="10"/>
        <v>123.06458709179891</v>
      </c>
      <c r="X65" s="149">
        <f t="shared" si="11"/>
        <v>1.0530792957305262</v>
      </c>
      <c r="Y65" s="162">
        <f t="shared" si="12"/>
        <v>31.660305343992484</v>
      </c>
      <c r="Z65" s="4">
        <f t="shared" si="39"/>
        <v>47.151028587673963</v>
      </c>
      <c r="AA65" s="4">
        <f t="shared" si="13"/>
        <v>33.573292346234297</v>
      </c>
      <c r="AB65" s="4">
        <f t="shared" si="14"/>
        <v>733.72757634702577</v>
      </c>
      <c r="AC65" s="14">
        <f t="shared" si="15"/>
        <v>123.0645870917989</v>
      </c>
      <c r="AE65" s="252">
        <f t="shared" si="49"/>
        <v>62</v>
      </c>
      <c r="AF65" s="202">
        <f t="shared" si="40"/>
        <v>194</v>
      </c>
      <c r="AH65">
        <f t="shared" si="16"/>
        <v>45.756034598604522</v>
      </c>
      <c r="AI65">
        <f t="shared" si="17"/>
        <v>22.684875174761874</v>
      </c>
      <c r="AJ65" s="40">
        <f t="shared" si="18"/>
        <v>68.4409097733664</v>
      </c>
      <c r="AK65" s="88">
        <f t="shared" si="45"/>
        <v>104.63397929937715</v>
      </c>
      <c r="AL65" s="199">
        <f t="shared" si="19"/>
        <v>0.12616261574640447</v>
      </c>
      <c r="AM65" s="213">
        <f t="shared" si="20"/>
        <v>2642.6855417521097</v>
      </c>
      <c r="AN65">
        <f t="shared" si="21"/>
        <v>471.5102858767396</v>
      </c>
      <c r="AO65" s="215">
        <f t="shared" si="46"/>
        <v>264.26855417521051</v>
      </c>
      <c r="AP65" s="63">
        <f t="shared" si="22"/>
        <v>47.151028587673878</v>
      </c>
      <c r="AQ65" s="63">
        <f t="shared" si="23"/>
        <v>280.23625580492109</v>
      </c>
      <c r="AR65" s="63">
        <f t="shared" si="24"/>
        <v>49.999999999999993</v>
      </c>
      <c r="AS65" s="63">
        <f t="shared" si="25"/>
        <v>48.950486436083899</v>
      </c>
      <c r="AT65" s="63">
        <f t="shared" si="26"/>
        <v>19.4904233372825</v>
      </c>
      <c r="AV65" s="257">
        <f t="shared" si="41"/>
        <v>62</v>
      </c>
      <c r="AW65" s="202">
        <f t="shared" si="42"/>
        <v>1697</v>
      </c>
      <c r="AY65" s="257">
        <f t="shared" si="27"/>
        <v>64.593636846353519</v>
      </c>
      <c r="AZ65" s="257">
        <f t="shared" si="28"/>
        <v>198.43419160603557</v>
      </c>
      <c r="BA65" s="257">
        <f t="shared" si="29"/>
        <v>263.02782845238909</v>
      </c>
      <c r="BB65" s="53" t="e">
        <f t="shared" si="47"/>
        <v>#NUM!</v>
      </c>
      <c r="BC65" s="198" t="e">
        <f t="shared" si="30"/>
        <v>#NUM!</v>
      </c>
      <c r="BD65" s="211">
        <f t="shared" si="31"/>
        <v>14170703872869.566</v>
      </c>
      <c r="BE65" s="257" t="e">
        <f t="shared" si="32"/>
        <v>#NUM!</v>
      </c>
      <c r="BF65" s="4" t="e">
        <f t="shared" si="48"/>
        <v>#NUM!</v>
      </c>
      <c r="BG65" s="4" t="e">
        <f t="shared" si="33"/>
        <v>#NUM!</v>
      </c>
      <c r="BH65" s="4" t="e">
        <f t="shared" si="34"/>
        <v>#NUM!</v>
      </c>
      <c r="BI65" s="4" t="e">
        <f t="shared" si="35"/>
        <v>#NUM!</v>
      </c>
      <c r="BJ65" t="e">
        <f t="shared" si="36"/>
        <v>#NUM!</v>
      </c>
      <c r="BK65" t="e">
        <f t="shared" si="37"/>
        <v>#NUM!</v>
      </c>
      <c r="BM65" s="40"/>
    </row>
    <row r="66" spans="15:65">
      <c r="O66" s="252">
        <f t="shared" si="38"/>
        <v>63</v>
      </c>
      <c r="P66" s="138">
        <f t="shared" si="4"/>
        <v>23.55</v>
      </c>
      <c r="Q66" s="146"/>
      <c r="R66" s="56">
        <f t="shared" si="43"/>
        <v>27.439818229298297</v>
      </c>
      <c r="S66" s="56">
        <f t="shared" si="6"/>
        <v>54.879636458596593</v>
      </c>
      <c r="T66" s="56">
        <f t="shared" si="7"/>
        <v>2.7537567544620729</v>
      </c>
      <c r="U66" s="56">
        <f t="shared" si="8"/>
        <v>30.193574983760371</v>
      </c>
      <c r="V66" s="56">
        <f t="shared" si="9"/>
        <v>57.633393213058667</v>
      </c>
      <c r="W66" s="154">
        <f t="shared" si="10"/>
        <v>122.88131408898319</v>
      </c>
      <c r="X66" s="149">
        <f t="shared" si="11"/>
        <v>1.0310920163789299</v>
      </c>
      <c r="Y66" s="162">
        <f t="shared" si="12"/>
        <v>32.335438083745352</v>
      </c>
      <c r="Z66" s="4">
        <f t="shared" si="39"/>
        <v>47.151028587673984</v>
      </c>
      <c r="AA66" s="4">
        <f t="shared" si="13"/>
        <v>34.28921812768094</v>
      </c>
      <c r="AB66" s="4">
        <f t="shared" si="14"/>
        <v>761.49956687220345</v>
      </c>
      <c r="AC66" s="14">
        <f t="shared" si="15"/>
        <v>122.88131408898317</v>
      </c>
      <c r="AE66" s="252">
        <f t="shared" si="49"/>
        <v>63</v>
      </c>
      <c r="AF66" s="202">
        <f t="shared" si="40"/>
        <v>197</v>
      </c>
      <c r="AH66">
        <f t="shared" si="16"/>
        <v>45.889324523231856</v>
      </c>
      <c r="AI66">
        <f t="shared" si="17"/>
        <v>23.035672213546853</v>
      </c>
      <c r="AJ66" s="40">
        <f t="shared" si="18"/>
        <v>68.924996736778709</v>
      </c>
      <c r="AK66" s="88">
        <f t="shared" si="45"/>
        <v>104.14989233596482</v>
      </c>
      <c r="AL66" s="199">
        <f t="shared" si="19"/>
        <v>0.11932359696441651</v>
      </c>
      <c r="AM66" s="213">
        <f t="shared" si="20"/>
        <v>2794.1507717209961</v>
      </c>
      <c r="AN66">
        <f t="shared" si="21"/>
        <v>471.51028587673869</v>
      </c>
      <c r="AO66" s="215">
        <f t="shared" si="46"/>
        <v>279.41507717209913</v>
      </c>
      <c r="AP66" s="63">
        <f t="shared" si="22"/>
        <v>47.151028587673785</v>
      </c>
      <c r="AQ66" s="63">
        <f t="shared" si="23"/>
        <v>296.29796585725359</v>
      </c>
      <c r="AR66" s="63">
        <f t="shared" si="24"/>
        <v>50</v>
      </c>
      <c r="AS66" s="63">
        <f t="shared" si="25"/>
        <v>49.43457339949623</v>
      </c>
      <c r="AT66" s="63">
        <f t="shared" si="26"/>
        <v>19.490423337282479</v>
      </c>
      <c r="AV66" s="257">
        <f t="shared" si="41"/>
        <v>63</v>
      </c>
      <c r="AW66" s="202">
        <f t="shared" si="42"/>
        <v>1724</v>
      </c>
      <c r="AY66" s="257">
        <f t="shared" si="27"/>
        <v>64.730745229773873</v>
      </c>
      <c r="AZ66" s="257">
        <f t="shared" si="28"/>
        <v>201.59136495510037</v>
      </c>
      <c r="BA66" s="257">
        <f t="shared" si="29"/>
        <v>266.32211018487425</v>
      </c>
      <c r="BB66" s="53" t="e">
        <f t="shared" si="47"/>
        <v>#NUM!</v>
      </c>
      <c r="BC66" s="198" t="e">
        <f t="shared" si="30"/>
        <v>#NUM!</v>
      </c>
      <c r="BD66" s="211">
        <f t="shared" si="31"/>
        <v>20706443383318.746</v>
      </c>
      <c r="BE66" s="257" t="e">
        <f t="shared" si="32"/>
        <v>#NUM!</v>
      </c>
      <c r="BF66" s="4" t="e">
        <f t="shared" si="48"/>
        <v>#NUM!</v>
      </c>
      <c r="BG66" s="4" t="e">
        <f t="shared" si="33"/>
        <v>#NUM!</v>
      </c>
      <c r="BH66" s="4" t="e">
        <f t="shared" si="34"/>
        <v>#NUM!</v>
      </c>
      <c r="BI66" s="4" t="e">
        <f t="shared" si="35"/>
        <v>#NUM!</v>
      </c>
      <c r="BJ66" t="e">
        <f t="shared" si="36"/>
        <v>#NUM!</v>
      </c>
      <c r="BK66" t="e">
        <f t="shared" si="37"/>
        <v>#NUM!</v>
      </c>
      <c r="BM66" s="40"/>
    </row>
    <row r="67" spans="15:65">
      <c r="O67" s="252">
        <f t="shared" si="38"/>
        <v>64</v>
      </c>
      <c r="P67" s="138">
        <f t="shared" si="4"/>
        <v>23.925000000000001</v>
      </c>
      <c r="Q67" s="146"/>
      <c r="R67" s="56">
        <f t="shared" si="43"/>
        <v>27.577038928977622</v>
      </c>
      <c r="S67" s="56">
        <f t="shared" si="6"/>
        <v>55.154077857955244</v>
      </c>
      <c r="T67" s="56">
        <f t="shared" si="7"/>
        <v>2.7976063843101953</v>
      </c>
      <c r="U67" s="56">
        <f t="shared" si="8"/>
        <v>30.374645313287818</v>
      </c>
      <c r="V67" s="56">
        <f t="shared" si="9"/>
        <v>57.951684242265436</v>
      </c>
      <c r="W67" s="154">
        <f t="shared" si="10"/>
        <v>122.70024375945572</v>
      </c>
      <c r="X67" s="149">
        <f t="shared" si="11"/>
        <v>1.0098198601056267</v>
      </c>
      <c r="Y67" s="162">
        <f t="shared" si="12"/>
        <v>33.016593722743259</v>
      </c>
      <c r="Z67" s="4">
        <f t="shared" si="39"/>
        <v>47.151028587673814</v>
      </c>
      <c r="AA67" s="4">
        <f t="shared" si="13"/>
        <v>35.011530725518917</v>
      </c>
      <c r="AB67" s="4">
        <f t="shared" si="14"/>
        <v>789.92200481663235</v>
      </c>
      <c r="AC67" s="14">
        <f t="shared" si="15"/>
        <v>122.70024375945573</v>
      </c>
      <c r="AE67" s="252">
        <f t="shared" si="49"/>
        <v>64</v>
      </c>
      <c r="AF67" s="202">
        <f t="shared" si="40"/>
        <v>200</v>
      </c>
      <c r="AH67">
        <f t="shared" si="16"/>
        <v>46.020599913279625</v>
      </c>
      <c r="AI67">
        <f t="shared" si="17"/>
        <v>23.386469252331832</v>
      </c>
      <c r="AJ67" s="40">
        <f t="shared" si="18"/>
        <v>69.40706916561146</v>
      </c>
      <c r="AK67" s="88">
        <f t="shared" si="45"/>
        <v>103.66781990713208</v>
      </c>
      <c r="AL67" s="199">
        <f t="shared" si="19"/>
        <v>0.112881485257389</v>
      </c>
      <c r="AM67" s="213">
        <f t="shared" si="20"/>
        <v>2953.6120984094296</v>
      </c>
      <c r="AN67">
        <f t="shared" si="21"/>
        <v>471.51028587673915</v>
      </c>
      <c r="AO67" s="215">
        <f t="shared" si="46"/>
        <v>295.36120984094242</v>
      </c>
      <c r="AP67" s="63">
        <f t="shared" si="22"/>
        <v>47.151028587673828</v>
      </c>
      <c r="AQ67" s="63">
        <f t="shared" si="23"/>
        <v>313.2075998000131</v>
      </c>
      <c r="AR67" s="63">
        <f t="shared" si="24"/>
        <v>50.000000000000007</v>
      </c>
      <c r="AS67" s="63">
        <f t="shared" si="25"/>
        <v>49.916645828328967</v>
      </c>
      <c r="AT67" s="63">
        <f t="shared" si="26"/>
        <v>19.490423337282493</v>
      </c>
      <c r="AV67" s="257">
        <f t="shared" si="41"/>
        <v>64</v>
      </c>
      <c r="AW67" s="202">
        <f t="shared" si="42"/>
        <v>1751</v>
      </c>
      <c r="AY67" s="257">
        <f t="shared" si="27"/>
        <v>64.865722921668919</v>
      </c>
      <c r="AZ67" s="257">
        <f t="shared" si="28"/>
        <v>204.74853830416515</v>
      </c>
      <c r="BA67" s="257">
        <f t="shared" si="29"/>
        <v>269.61426122583407</v>
      </c>
      <c r="BB67" s="53" t="e">
        <f t="shared" si="47"/>
        <v>#NUM!</v>
      </c>
      <c r="BC67" s="198" t="e">
        <f t="shared" si="30"/>
        <v>#NUM!</v>
      </c>
      <c r="BD67" s="211">
        <f t="shared" si="31"/>
        <v>30249142045180.922</v>
      </c>
      <c r="BE67" s="257" t="e">
        <f t="shared" si="32"/>
        <v>#NUM!</v>
      </c>
      <c r="BF67" s="4" t="e">
        <f t="shared" si="48"/>
        <v>#NUM!</v>
      </c>
      <c r="BG67" s="4" t="e">
        <f t="shared" si="33"/>
        <v>#NUM!</v>
      </c>
      <c r="BH67" s="4" t="e">
        <f t="shared" si="34"/>
        <v>#NUM!</v>
      </c>
      <c r="BI67" s="4" t="e">
        <f t="shared" si="35"/>
        <v>#NUM!</v>
      </c>
      <c r="BJ67" t="e">
        <f t="shared" si="36"/>
        <v>#NUM!</v>
      </c>
      <c r="BK67" t="e">
        <f t="shared" si="37"/>
        <v>#NUM!</v>
      </c>
      <c r="BM67" s="40"/>
    </row>
    <row r="68" spans="15:65">
      <c r="O68" s="252">
        <f t="shared" si="38"/>
        <v>65</v>
      </c>
      <c r="P68" s="138">
        <f t="shared" si="4"/>
        <v>24.3</v>
      </c>
      <c r="Q68" s="146"/>
      <c r="R68" s="56">
        <f t="shared" si="43"/>
        <v>27.712125471966242</v>
      </c>
      <c r="S68" s="56">
        <f t="shared" si="6"/>
        <v>55.424250943932485</v>
      </c>
      <c r="T68" s="56">
        <f t="shared" si="7"/>
        <v>2.8414560141583176</v>
      </c>
      <c r="U68" s="56">
        <f t="shared" si="8"/>
        <v>30.55358148612456</v>
      </c>
      <c r="V68" s="56">
        <f t="shared" si="9"/>
        <v>58.265706958090803</v>
      </c>
      <c r="W68" s="154">
        <f t="shared" ref="W68:W88" si="50">$Q$4-(R68+T68)+$Q$8+$Q$10</f>
        <v>122.52130758661899</v>
      </c>
      <c r="X68" s="149">
        <f t="shared" si="11"/>
        <v>0.98922959111522224</v>
      </c>
      <c r="Y68" s="162">
        <f t="shared" si="12"/>
        <v>33.703815932838957</v>
      </c>
      <c r="Z68" s="4">
        <f t="shared" si="39"/>
        <v>47.151028587673935</v>
      </c>
      <c r="AA68" s="4">
        <f t="shared" si="13"/>
        <v>35.740276450352745</v>
      </c>
      <c r="AB68" s="4">
        <f t="shared" si="14"/>
        <v>819.00272716798736</v>
      </c>
      <c r="AC68" s="14">
        <f t="shared" si="15"/>
        <v>122.521307586619</v>
      </c>
      <c r="AE68" s="252">
        <f t="shared" si="49"/>
        <v>65</v>
      </c>
      <c r="AF68" s="202">
        <f t="shared" si="40"/>
        <v>203</v>
      </c>
      <c r="AH68">
        <f t="shared" si="16"/>
        <v>46.149920758264258</v>
      </c>
      <c r="AI68">
        <f t="shared" si="17"/>
        <v>23.737266291116807</v>
      </c>
      <c r="AJ68" s="40">
        <f t="shared" si="18"/>
        <v>69.887187049381069</v>
      </c>
      <c r="AK68" s="88">
        <f t="shared" ref="AK68:AK89" si="51">$AG$4-(AH68+AI68)+$Q$8+$Q$10</f>
        <v>103.18770202336249</v>
      </c>
      <c r="AL68" s="199">
        <f t="shared" si="19"/>
        <v>0.10681120654300315</v>
      </c>
      <c r="AM68" s="213">
        <f t="shared" si="20"/>
        <v>3121.4713449418591</v>
      </c>
      <c r="AN68">
        <f t="shared" si="21"/>
        <v>471.51028587674045</v>
      </c>
      <c r="AO68" s="215">
        <f t="shared" ref="AO68:AO89" si="52">AM68*($Z$4/$AN$4)</f>
        <v>312.14713449418537</v>
      </c>
      <c r="AP68" s="63">
        <f t="shared" si="22"/>
        <v>47.151028587673963</v>
      </c>
      <c r="AQ68" s="63">
        <f t="shared" si="23"/>
        <v>331.00776785152215</v>
      </c>
      <c r="AR68" s="63">
        <f t="shared" si="24"/>
        <v>49.999999999999993</v>
      </c>
      <c r="AS68" s="63">
        <f t="shared" si="25"/>
        <v>50.396763712098561</v>
      </c>
      <c r="AT68" s="63">
        <f t="shared" si="26"/>
        <v>19.490423337282508</v>
      </c>
      <c r="AV68" s="257">
        <f t="shared" si="41"/>
        <v>65</v>
      </c>
      <c r="AW68" s="202">
        <f t="shared" si="42"/>
        <v>1778</v>
      </c>
      <c r="AY68" s="257">
        <f t="shared" si="27"/>
        <v>64.998635132683901</v>
      </c>
      <c r="AZ68" s="257">
        <f t="shared" si="28"/>
        <v>207.90571165322996</v>
      </c>
      <c r="BA68" s="257">
        <f t="shared" si="29"/>
        <v>272.90434678591384</v>
      </c>
      <c r="BB68" s="53" t="e">
        <f t="shared" ref="BB68:BB89" si="53">$AX$4-(AY68+AZ68)+$Q$8+$Q$10</f>
        <v>#NUM!</v>
      </c>
      <c r="BC68" s="198" t="e">
        <f t="shared" si="30"/>
        <v>#NUM!</v>
      </c>
      <c r="BD68" s="211">
        <f t="shared" si="31"/>
        <v>44179148315253.648</v>
      </c>
      <c r="BE68" s="257" t="e">
        <f t="shared" si="32"/>
        <v>#NUM!</v>
      </c>
      <c r="BF68" s="4" t="e">
        <f t="shared" ref="BF68:BF89" si="54">BD68*($Z$4/$BE$4)</f>
        <v>#NUM!</v>
      </c>
      <c r="BG68" s="4" t="e">
        <f t="shared" si="33"/>
        <v>#NUM!</v>
      </c>
      <c r="BH68" s="4" t="e">
        <f t="shared" si="34"/>
        <v>#NUM!</v>
      </c>
      <c r="BI68" s="4" t="e">
        <f t="shared" si="35"/>
        <v>#NUM!</v>
      </c>
      <c r="BJ68" t="e">
        <f t="shared" si="36"/>
        <v>#NUM!</v>
      </c>
      <c r="BK68" t="e">
        <f t="shared" si="37"/>
        <v>#NUM!</v>
      </c>
      <c r="BM68" s="40"/>
    </row>
    <row r="69" spans="15:65">
      <c r="O69" s="252">
        <f t="shared" si="38"/>
        <v>66</v>
      </c>
      <c r="P69" s="138">
        <f t="shared" ref="P69:P88" si="55">P68+$J$45</f>
        <v>24.675000000000001</v>
      </c>
      <c r="Q69" s="146"/>
      <c r="R69" s="56">
        <f t="shared" ref="R69:R88" si="56">20*LOG(P69)</f>
        <v>27.845143226833486</v>
      </c>
      <c r="S69" s="56">
        <f t="shared" ref="S69:S132" si="57">40*LOG10(P69)</f>
        <v>55.690286453666971</v>
      </c>
      <c r="T69" s="56">
        <f t="shared" ref="T69:T88" si="58">2*$J$6*(P69/1000)</f>
        <v>2.8853056440064395</v>
      </c>
      <c r="U69" s="56">
        <f t="shared" ref="U69:U88" si="59">R69+T69</f>
        <v>30.730448870839925</v>
      </c>
      <c r="V69" s="56">
        <f t="shared" ref="V69:V132" si="60">S69+T69</f>
        <v>58.575592097673407</v>
      </c>
      <c r="W69" s="154">
        <f t="shared" si="50"/>
        <v>122.34444020190362</v>
      </c>
      <c r="X69" s="149">
        <f t="shared" ref="X69:X88" si="61">POWER(10,(W69+$D$16)*0.05)*1000</f>
        <v>0.96928999466138344</v>
      </c>
      <c r="Y69" s="162">
        <f t="shared" ref="Y69:Y88" si="62">POWER(10,0.05*U69)</f>
        <v>34.397148673666479</v>
      </c>
      <c r="Z69" s="4">
        <f t="shared" si="39"/>
        <v>47.151028587673927</v>
      </c>
      <c r="AA69" s="4">
        <f t="shared" ref="AA69:AA88" si="63">Y69*(50/$Z$4)</f>
        <v>36.475501917956613</v>
      </c>
      <c r="AB69" s="4">
        <f t="shared" ref="AB69:AB132" si="64">POWER(10,0.05*V69)</f>
        <v>848.74964352272059</v>
      </c>
      <c r="AC69" s="14">
        <f t="shared" ref="AC69:AC88" si="65">$Q$4-(S69+T69)+$Q$8+$Q$10+20*LOG10(P69)</f>
        <v>122.34444020190364</v>
      </c>
      <c r="AE69" s="252">
        <f t="shared" si="49"/>
        <v>66</v>
      </c>
      <c r="AF69" s="202">
        <f t="shared" si="40"/>
        <v>206</v>
      </c>
      <c r="AH69">
        <f t="shared" ref="AH69:AH89" si="66">20*LOG(AF69)</f>
        <v>46.277344407383069</v>
      </c>
      <c r="AI69">
        <f t="shared" ref="AI69:AI89" si="67">2*$J$6*(AF69/1000)</f>
        <v>24.088063329901782</v>
      </c>
      <c r="AJ69" s="40">
        <f t="shared" ref="AJ69:AJ89" si="68">AH69+AI69</f>
        <v>70.365407737284855</v>
      </c>
      <c r="AK69" s="88">
        <f t="shared" si="51"/>
        <v>102.7094813354587</v>
      </c>
      <c r="AL69" s="199">
        <f t="shared" ref="AL69:AL89" si="69">POWER(10,(AK69+$D$16)*0.05)*1000</f>
        <v>0.10108943902047864</v>
      </c>
      <c r="AM69" s="213">
        <f t="shared" ref="AM69:AM89" si="70">POWER(10,0.05*AJ69)</f>
        <v>3298.1498737480292</v>
      </c>
      <c r="AN69">
        <f t="shared" ref="AN69:AN89" si="71">AL69*POWER(2,0.5)*AM69</f>
        <v>471.5102858767404</v>
      </c>
      <c r="AO69" s="215">
        <f t="shared" si="52"/>
        <v>329.81498737480234</v>
      </c>
      <c r="AP69" s="63">
        <f t="shared" ref="AP69:AP89" si="72">AL69*POWER(2,0.5)*AO69</f>
        <v>47.151028587673956</v>
      </c>
      <c r="AQ69" s="63">
        <f t="shared" ref="AQ69:AQ89" si="73">AM69*(50/AN69)</f>
        <v>349.74315222152046</v>
      </c>
      <c r="AR69" s="63">
        <f t="shared" ref="AR69:AR89" si="74">AL69*POWER(2,0.5)*AQ69</f>
        <v>50</v>
      </c>
      <c r="AS69" s="63">
        <f t="shared" ref="AS69:AS89" si="75">20*LOG10(AQ69)</f>
        <v>50.874984400002333</v>
      </c>
      <c r="AT69" s="63">
        <f t="shared" ref="AT69:AT89" si="76">AJ69-AS69</f>
        <v>19.490423337282522</v>
      </c>
      <c r="AV69" s="257">
        <f t="shared" si="41"/>
        <v>66</v>
      </c>
      <c r="AW69" s="202">
        <f t="shared" si="42"/>
        <v>1805</v>
      </c>
      <c r="AY69" s="257">
        <f t="shared" ref="AY69:AY89" si="77">20*LOG(AW69)</f>
        <v>65.129544124833544</v>
      </c>
      <c r="AZ69" s="257">
        <f t="shared" ref="AZ69:AZ89" si="78">2*$J$6*(AW69/1000)</f>
        <v>211.06288500229476</v>
      </c>
      <c r="BA69" s="257">
        <f t="shared" ref="BA69:BA89" si="79">AY69+AZ69</f>
        <v>276.19242912712832</v>
      </c>
      <c r="BB69" s="53" t="e">
        <f t="shared" si="53"/>
        <v>#NUM!</v>
      </c>
      <c r="BC69" s="198" t="e">
        <f t="shared" ref="BC69:BC89" si="80">POWER(10,(BB69+$D$16)*0.05)*1000</f>
        <v>#NUM!</v>
      </c>
      <c r="BD69" s="211">
        <f t="shared" ref="BD69:BD89" si="81">POWER(10,0.05*BA69)</f>
        <v>64509170330891.75</v>
      </c>
      <c r="BE69" s="257" t="e">
        <f t="shared" ref="BE69:BE89" si="82">BC69*POWER(2,0.5)*BD69</f>
        <v>#NUM!</v>
      </c>
      <c r="BF69" s="4" t="e">
        <f t="shared" si="54"/>
        <v>#NUM!</v>
      </c>
      <c r="BG69" s="4" t="e">
        <f t="shared" ref="BG69:BG89" si="83">BC69*POWER(2,0.5)*BF69</f>
        <v>#NUM!</v>
      </c>
      <c r="BH69" s="4" t="e">
        <f t="shared" ref="BH69:BH89" si="84">BD69*(50/BE69)</f>
        <v>#NUM!</v>
      </c>
      <c r="BI69" s="4" t="e">
        <f t="shared" ref="BI69:BI89" si="85">BC69*POWER(2,0.5)*BH69</f>
        <v>#NUM!</v>
      </c>
      <c r="BJ69" t="e">
        <f t="shared" ref="BJ69:BJ89" si="86">20*LOG10(BH69)</f>
        <v>#NUM!</v>
      </c>
      <c r="BK69" t="e">
        <f t="shared" ref="BK69:BK89" si="87">BA69-BJ69</f>
        <v>#NUM!</v>
      </c>
      <c r="BM69" s="40"/>
    </row>
    <row r="70" spans="15:65">
      <c r="O70" s="252">
        <f t="shared" ref="O70:O137" si="88">1+O69</f>
        <v>67</v>
      </c>
      <c r="P70" s="138">
        <f t="shared" si="55"/>
        <v>25.05</v>
      </c>
      <c r="Q70" s="146"/>
      <c r="R70" s="56">
        <f t="shared" si="56"/>
        <v>27.97615460406529</v>
      </c>
      <c r="S70" s="56">
        <f t="shared" si="57"/>
        <v>55.952309208130579</v>
      </c>
      <c r="T70" s="56">
        <f t="shared" si="58"/>
        <v>2.9291552738545614</v>
      </c>
      <c r="U70" s="56">
        <f t="shared" si="59"/>
        <v>30.905309877919851</v>
      </c>
      <c r="V70" s="56">
        <f t="shared" si="60"/>
        <v>58.881464481985141</v>
      </c>
      <c r="W70" s="154">
        <f t="shared" si="50"/>
        <v>122.1695791948237</v>
      </c>
      <c r="X70" s="149">
        <f t="shared" si="61"/>
        <v>0.94997172576758415</v>
      </c>
      <c r="Y70" s="162">
        <f t="shared" si="62"/>
        <v>35.096636194435533</v>
      </c>
      <c r="Z70" s="4">
        <f t="shared" ref="Z70:Z88" si="89">X70*POWER(2,0.5)*Y70</f>
        <v>47.151028587673913</v>
      </c>
      <c r="AA70" s="4">
        <f t="shared" si="63"/>
        <v>37.217254051177221</v>
      </c>
      <c r="AB70" s="4">
        <f t="shared" si="64"/>
        <v>879.17073667061027</v>
      </c>
      <c r="AC70" s="14">
        <f t="shared" si="65"/>
        <v>122.16957919482368</v>
      </c>
      <c r="AE70" s="252">
        <f t="shared" si="49"/>
        <v>67</v>
      </c>
      <c r="AF70" s="202">
        <f t="shared" ref="AF70:AF89" si="90">AF69+$J$46</f>
        <v>209</v>
      </c>
      <c r="AH70">
        <f t="shared" si="66"/>
        <v>46.402925722221084</v>
      </c>
      <c r="AI70">
        <f t="shared" si="67"/>
        <v>24.438860368686761</v>
      </c>
      <c r="AJ70" s="40">
        <f t="shared" si="68"/>
        <v>70.841786090907846</v>
      </c>
      <c r="AK70" s="88">
        <f t="shared" si="51"/>
        <v>102.2331029818357</v>
      </c>
      <c r="AL70" s="199">
        <f t="shared" si="69"/>
        <v>9.569447603005575E-2</v>
      </c>
      <c r="AM70" s="213">
        <f t="shared" si="70"/>
        <v>3484.0895146124544</v>
      </c>
      <c r="AN70">
        <f t="shared" si="71"/>
        <v>471.51028587673954</v>
      </c>
      <c r="AO70" s="215">
        <f t="shared" si="52"/>
        <v>348.40895146124484</v>
      </c>
      <c r="AP70" s="63">
        <f t="shared" si="72"/>
        <v>47.151028587673871</v>
      </c>
      <c r="AQ70" s="63">
        <f t="shared" si="73"/>
        <v>369.46060552359319</v>
      </c>
      <c r="AR70" s="63">
        <f t="shared" si="74"/>
        <v>50</v>
      </c>
      <c r="AS70" s="63">
        <f t="shared" si="75"/>
        <v>51.351362753625345</v>
      </c>
      <c r="AT70" s="63">
        <f t="shared" si="76"/>
        <v>19.4904233372825</v>
      </c>
      <c r="AV70" s="257">
        <f t="shared" ref="AV70:AV89" si="91">AV69+1</f>
        <v>67</v>
      </c>
      <c r="AW70" s="202">
        <f t="shared" ref="AW70:AW89" si="92">AW69+27</f>
        <v>1832</v>
      </c>
      <c r="AY70" s="257">
        <f t="shared" si="77"/>
        <v>65.258509386636632</v>
      </c>
      <c r="AZ70" s="257">
        <f t="shared" si="78"/>
        <v>214.22005835135957</v>
      </c>
      <c r="BA70" s="257">
        <f t="shared" si="79"/>
        <v>279.47856773799617</v>
      </c>
      <c r="BB70" s="53" t="e">
        <f t="shared" si="53"/>
        <v>#NUM!</v>
      </c>
      <c r="BC70" s="198" t="e">
        <f t="shared" si="80"/>
        <v>#NUM!</v>
      </c>
      <c r="BD70" s="211">
        <f t="shared" si="81"/>
        <v>94173429620028.906</v>
      </c>
      <c r="BE70" s="257" t="e">
        <f t="shared" si="82"/>
        <v>#NUM!</v>
      </c>
      <c r="BF70" s="4" t="e">
        <f t="shared" si="54"/>
        <v>#NUM!</v>
      </c>
      <c r="BG70" s="4" t="e">
        <f t="shared" si="83"/>
        <v>#NUM!</v>
      </c>
      <c r="BH70" s="4" t="e">
        <f t="shared" si="84"/>
        <v>#NUM!</v>
      </c>
      <c r="BI70" s="4" t="e">
        <f t="shared" si="85"/>
        <v>#NUM!</v>
      </c>
      <c r="BJ70" t="e">
        <f t="shared" si="86"/>
        <v>#NUM!</v>
      </c>
      <c r="BK70" t="e">
        <f t="shared" si="87"/>
        <v>#NUM!</v>
      </c>
      <c r="BM70" s="40"/>
    </row>
    <row r="71" spans="15:65">
      <c r="O71" s="252">
        <f t="shared" si="88"/>
        <v>68</v>
      </c>
      <c r="P71" s="138">
        <f t="shared" si="55"/>
        <v>25.425000000000001</v>
      </c>
      <c r="Q71" s="146"/>
      <c r="R71" s="56">
        <f t="shared" si="56"/>
        <v>28.105219231895646</v>
      </c>
      <c r="S71" s="56">
        <f t="shared" si="57"/>
        <v>56.210438463791291</v>
      </c>
      <c r="T71" s="56">
        <f t="shared" si="58"/>
        <v>2.9730049037026838</v>
      </c>
      <c r="U71" s="56">
        <f t="shared" si="59"/>
        <v>31.07822413559833</v>
      </c>
      <c r="V71" s="56">
        <f t="shared" si="60"/>
        <v>59.183443367493979</v>
      </c>
      <c r="W71" s="154">
        <f t="shared" si="50"/>
        <v>121.99666493714521</v>
      </c>
      <c r="X71" s="149">
        <f t="shared" si="61"/>
        <v>0.93124717133537116</v>
      </c>
      <c r="Y71" s="162">
        <f t="shared" si="62"/>
        <v>35.802323035736656</v>
      </c>
      <c r="Z71" s="4">
        <f t="shared" si="89"/>
        <v>47.151028587673885</v>
      </c>
      <c r="AA71" s="4">
        <f t="shared" si="63"/>
        <v>37.965580081847953</v>
      </c>
      <c r="AB71" s="4">
        <f t="shared" si="64"/>
        <v>910.27406318360534</v>
      </c>
      <c r="AC71" s="14">
        <f t="shared" si="65"/>
        <v>121.99666493714523</v>
      </c>
      <c r="AE71" s="252">
        <f t="shared" si="49"/>
        <v>68</v>
      </c>
      <c r="AF71" s="202">
        <f t="shared" si="90"/>
        <v>212</v>
      </c>
      <c r="AH71">
        <f t="shared" si="66"/>
        <v>46.526717218575023</v>
      </c>
      <c r="AI71">
        <f t="shared" si="67"/>
        <v>24.78965740747174</v>
      </c>
      <c r="AJ71" s="40">
        <f t="shared" si="68"/>
        <v>71.316374626046766</v>
      </c>
      <c r="AK71" s="88">
        <f t="shared" si="51"/>
        <v>101.75851444669679</v>
      </c>
      <c r="AL71" s="199">
        <f t="shared" si="69"/>
        <v>9.0606101000503203E-2</v>
      </c>
      <c r="AM71" s="213">
        <f t="shared" si="70"/>
        <v>3679.7535360317406</v>
      </c>
      <c r="AN71">
        <f t="shared" si="71"/>
        <v>471.51028587674034</v>
      </c>
      <c r="AO71" s="215">
        <f t="shared" si="52"/>
        <v>367.9753536031734</v>
      </c>
      <c r="AP71" s="63">
        <f t="shared" si="72"/>
        <v>47.151028587673949</v>
      </c>
      <c r="AQ71" s="63">
        <f t="shared" si="73"/>
        <v>390.20925378006302</v>
      </c>
      <c r="AR71" s="63">
        <f t="shared" si="74"/>
        <v>50</v>
      </c>
      <c r="AS71" s="63">
        <f t="shared" si="75"/>
        <v>51.825951288764252</v>
      </c>
      <c r="AT71" s="63">
        <f t="shared" si="76"/>
        <v>19.490423337282515</v>
      </c>
      <c r="AV71" s="257">
        <f t="shared" si="91"/>
        <v>68</v>
      </c>
      <c r="AW71" s="202">
        <f t="shared" si="92"/>
        <v>1859</v>
      </c>
      <c r="AY71" s="257">
        <f t="shared" si="77"/>
        <v>65.385587795437971</v>
      </c>
      <c r="AZ71" s="257">
        <f t="shared" si="78"/>
        <v>217.37723170042435</v>
      </c>
      <c r="BA71" s="257">
        <f t="shared" si="79"/>
        <v>282.76281949586235</v>
      </c>
      <c r="BB71" s="53" t="e">
        <f t="shared" si="53"/>
        <v>#NUM!</v>
      </c>
      <c r="BC71" s="198" t="e">
        <f t="shared" si="80"/>
        <v>#NUM!</v>
      </c>
      <c r="BD71" s="211">
        <f t="shared" si="81"/>
        <v>137448807030875.58</v>
      </c>
      <c r="BE71" s="257" t="e">
        <f t="shared" si="82"/>
        <v>#NUM!</v>
      </c>
      <c r="BF71" s="4" t="e">
        <f t="shared" si="54"/>
        <v>#NUM!</v>
      </c>
      <c r="BG71" s="4" t="e">
        <f t="shared" si="83"/>
        <v>#NUM!</v>
      </c>
      <c r="BH71" s="4" t="e">
        <f t="shared" si="84"/>
        <v>#NUM!</v>
      </c>
      <c r="BI71" s="4" t="e">
        <f t="shared" si="85"/>
        <v>#NUM!</v>
      </c>
      <c r="BJ71" t="e">
        <f t="shared" si="86"/>
        <v>#NUM!</v>
      </c>
      <c r="BK71" t="e">
        <f t="shared" si="87"/>
        <v>#NUM!</v>
      </c>
      <c r="BM71" s="40"/>
    </row>
    <row r="72" spans="15:65">
      <c r="O72" s="252">
        <f t="shared" si="88"/>
        <v>69</v>
      </c>
      <c r="P72" s="138">
        <f t="shared" si="55"/>
        <v>25.8</v>
      </c>
      <c r="Q72" s="146"/>
      <c r="R72" s="56">
        <f t="shared" si="56"/>
        <v>28.232394119264605</v>
      </c>
      <c r="S72" s="56">
        <f t="shared" si="57"/>
        <v>56.464788238529209</v>
      </c>
      <c r="T72" s="56">
        <f t="shared" si="58"/>
        <v>3.0168545335508061</v>
      </c>
      <c r="U72" s="56">
        <f t="shared" si="59"/>
        <v>31.24924865281541</v>
      </c>
      <c r="V72" s="56">
        <f t="shared" si="60"/>
        <v>59.481642772080015</v>
      </c>
      <c r="W72" s="154">
        <f t="shared" si="50"/>
        <v>121.82564041992812</v>
      </c>
      <c r="X72" s="149">
        <f t="shared" si="61"/>
        <v>0.91309032427810388</v>
      </c>
      <c r="Y72" s="162">
        <f t="shared" si="62"/>
        <v>36.514254031357119</v>
      </c>
      <c r="Z72" s="4">
        <f t="shared" si="89"/>
        <v>47.151028587673842</v>
      </c>
      <c r="AA72" s="4">
        <f t="shared" si="63"/>
        <v>38.72052755271455</v>
      </c>
      <c r="AB72" s="4">
        <f t="shared" si="64"/>
        <v>942.0677540090137</v>
      </c>
      <c r="AC72" s="14">
        <f t="shared" si="65"/>
        <v>121.82564041992813</v>
      </c>
      <c r="AE72" s="252">
        <f t="shared" si="49"/>
        <v>69</v>
      </c>
      <c r="AF72" s="202">
        <f t="shared" si="90"/>
        <v>215</v>
      </c>
      <c r="AH72">
        <f t="shared" si="66"/>
        <v>46.64876919831211</v>
      </c>
      <c r="AI72">
        <f t="shared" si="67"/>
        <v>25.140454446256715</v>
      </c>
      <c r="AJ72" s="40">
        <f t="shared" si="68"/>
        <v>71.789223644568821</v>
      </c>
      <c r="AK72" s="88">
        <f t="shared" si="51"/>
        <v>101.28566542817471</v>
      </c>
      <c r="AL72" s="199">
        <f t="shared" si="69"/>
        <v>8.580547328663049E-2</v>
      </c>
      <c r="AM72" s="213">
        <f t="shared" si="70"/>
        <v>3885.6276618731549</v>
      </c>
      <c r="AN72">
        <f t="shared" si="71"/>
        <v>471.51028587673864</v>
      </c>
      <c r="AO72" s="215">
        <f t="shared" si="52"/>
        <v>388.56276618731482</v>
      </c>
      <c r="AP72" s="63">
        <f t="shared" si="72"/>
        <v>47.151028587673785</v>
      </c>
      <c r="AQ72" s="63">
        <f t="shared" si="73"/>
        <v>412.04060423073452</v>
      </c>
      <c r="AR72" s="63">
        <f t="shared" si="74"/>
        <v>50</v>
      </c>
      <c r="AS72" s="63">
        <f t="shared" si="75"/>
        <v>52.298800307286342</v>
      </c>
      <c r="AT72" s="63">
        <f t="shared" si="76"/>
        <v>19.490423337282479</v>
      </c>
      <c r="AV72" s="257">
        <f t="shared" si="91"/>
        <v>69</v>
      </c>
      <c r="AW72" s="202">
        <f t="shared" si="92"/>
        <v>1886</v>
      </c>
      <c r="AY72" s="257">
        <f t="shared" si="77"/>
        <v>65.510833768026203</v>
      </c>
      <c r="AZ72" s="257">
        <f t="shared" si="78"/>
        <v>220.53440504948915</v>
      </c>
      <c r="BA72" s="257">
        <f t="shared" si="79"/>
        <v>286.04523881751538</v>
      </c>
      <c r="BB72" s="53" t="e">
        <f t="shared" si="53"/>
        <v>#NUM!</v>
      </c>
      <c r="BC72" s="198" t="e">
        <f t="shared" si="80"/>
        <v>#NUM!</v>
      </c>
      <c r="BD72" s="211">
        <f t="shared" si="81"/>
        <v>200568137160649.47</v>
      </c>
      <c r="BE72" s="257" t="e">
        <f t="shared" si="82"/>
        <v>#NUM!</v>
      </c>
      <c r="BF72" s="4" t="e">
        <f t="shared" si="54"/>
        <v>#NUM!</v>
      </c>
      <c r="BG72" s="4" t="e">
        <f t="shared" si="83"/>
        <v>#NUM!</v>
      </c>
      <c r="BH72" s="4" t="e">
        <f t="shared" si="84"/>
        <v>#NUM!</v>
      </c>
      <c r="BI72" s="4" t="e">
        <f t="shared" si="85"/>
        <v>#NUM!</v>
      </c>
      <c r="BJ72" t="e">
        <f t="shared" si="86"/>
        <v>#NUM!</v>
      </c>
      <c r="BK72" t="e">
        <f t="shared" si="87"/>
        <v>#NUM!</v>
      </c>
      <c r="BM72" s="40"/>
    </row>
    <row r="73" spans="15:65">
      <c r="O73" s="252">
        <f t="shared" si="88"/>
        <v>70</v>
      </c>
      <c r="P73" s="138">
        <f t="shared" si="55"/>
        <v>26.175000000000001</v>
      </c>
      <c r="Q73" s="146"/>
      <c r="R73" s="56">
        <f t="shared" si="56"/>
        <v>28.357733807017599</v>
      </c>
      <c r="S73" s="56">
        <f t="shared" si="57"/>
        <v>56.715467614035198</v>
      </c>
      <c r="T73" s="56">
        <f t="shared" si="58"/>
        <v>3.060704163398928</v>
      </c>
      <c r="U73" s="56">
        <f t="shared" si="59"/>
        <v>31.418437970416527</v>
      </c>
      <c r="V73" s="56">
        <f t="shared" si="60"/>
        <v>59.776171777434129</v>
      </c>
      <c r="W73" s="154">
        <f t="shared" si="50"/>
        <v>121.65645110232701</v>
      </c>
      <c r="X73" s="149">
        <f t="shared" si="61"/>
        <v>0.89547666847415441</v>
      </c>
      <c r="Y73" s="162">
        <f t="shared" si="62"/>
        <v>37.232474310107904</v>
      </c>
      <c r="Z73" s="4">
        <f t="shared" si="89"/>
        <v>47.151028587673885</v>
      </c>
      <c r="AA73" s="4">
        <f t="shared" si="63"/>
        <v>39.482144319372473</v>
      </c>
      <c r="AB73" s="4">
        <f t="shared" si="64"/>
        <v>974.56001506707537</v>
      </c>
      <c r="AC73" s="14">
        <f t="shared" si="65"/>
        <v>121.65645110232703</v>
      </c>
      <c r="AE73" s="252">
        <f t="shared" si="49"/>
        <v>70</v>
      </c>
      <c r="AF73" s="202">
        <f t="shared" si="90"/>
        <v>218</v>
      </c>
      <c r="AH73">
        <f t="shared" si="66"/>
        <v>46.769129872092094</v>
      </c>
      <c r="AI73">
        <f t="shared" si="67"/>
        <v>25.491251485041694</v>
      </c>
      <c r="AJ73" s="40">
        <f t="shared" si="68"/>
        <v>72.260381357133781</v>
      </c>
      <c r="AK73" s="88">
        <f t="shared" si="51"/>
        <v>100.81450771560976</v>
      </c>
      <c r="AL73" s="199">
        <f t="shared" si="69"/>
        <v>8.1275023831360052E-2</v>
      </c>
      <c r="AM73" s="213">
        <f t="shared" si="70"/>
        <v>4102.2211354185256</v>
      </c>
      <c r="AN73">
        <f t="shared" si="71"/>
        <v>471.51028587673875</v>
      </c>
      <c r="AO73" s="215">
        <f t="shared" si="52"/>
        <v>410.22211354185185</v>
      </c>
      <c r="AP73" s="63">
        <f t="shared" si="72"/>
        <v>47.151028587673792</v>
      </c>
      <c r="AQ73" s="63">
        <f t="shared" si="73"/>
        <v>435.00865816646467</v>
      </c>
      <c r="AR73" s="63">
        <f t="shared" si="74"/>
        <v>50</v>
      </c>
      <c r="AS73" s="63">
        <f t="shared" si="75"/>
        <v>52.769958019851295</v>
      </c>
      <c r="AT73" s="63">
        <f t="shared" si="76"/>
        <v>19.490423337282486</v>
      </c>
      <c r="AV73" s="257">
        <f t="shared" si="91"/>
        <v>70</v>
      </c>
      <c r="AW73" s="202">
        <f t="shared" si="92"/>
        <v>1913</v>
      </c>
      <c r="AY73" s="257">
        <f t="shared" si="77"/>
        <v>65.634299400545913</v>
      </c>
      <c r="AZ73" s="257">
        <f t="shared" si="78"/>
        <v>223.69157839855396</v>
      </c>
      <c r="BA73" s="257">
        <f t="shared" si="79"/>
        <v>289.32587779909989</v>
      </c>
      <c r="BB73" s="53" t="e">
        <f t="shared" si="53"/>
        <v>#NUM!</v>
      </c>
      <c r="BC73" s="198" t="e">
        <f t="shared" si="80"/>
        <v>#NUM!</v>
      </c>
      <c r="BD73" s="211">
        <f t="shared" si="81"/>
        <v>292613184082499.62</v>
      </c>
      <c r="BE73" s="257" t="e">
        <f t="shared" si="82"/>
        <v>#NUM!</v>
      </c>
      <c r="BF73" s="4" t="e">
        <f t="shared" si="54"/>
        <v>#NUM!</v>
      </c>
      <c r="BG73" s="4" t="e">
        <f t="shared" si="83"/>
        <v>#NUM!</v>
      </c>
      <c r="BH73" s="4" t="e">
        <f t="shared" si="84"/>
        <v>#NUM!</v>
      </c>
      <c r="BI73" s="4" t="e">
        <f t="shared" si="85"/>
        <v>#NUM!</v>
      </c>
      <c r="BJ73" t="e">
        <f t="shared" si="86"/>
        <v>#NUM!</v>
      </c>
      <c r="BK73" t="e">
        <f t="shared" si="87"/>
        <v>#NUM!</v>
      </c>
      <c r="BM73" s="40"/>
    </row>
    <row r="74" spans="15:65">
      <c r="O74" s="252">
        <f t="shared" si="88"/>
        <v>71</v>
      </c>
      <c r="P74" s="138">
        <f t="shared" si="55"/>
        <v>26.55</v>
      </c>
      <c r="Q74" s="146"/>
      <c r="R74" s="56">
        <f t="shared" si="56"/>
        <v>28.481290508349758</v>
      </c>
      <c r="S74" s="56">
        <f t="shared" si="57"/>
        <v>56.962581016699517</v>
      </c>
      <c r="T74" s="56">
        <f t="shared" si="58"/>
        <v>3.1045537932470504</v>
      </c>
      <c r="U74" s="56">
        <f t="shared" si="59"/>
        <v>31.585844301596808</v>
      </c>
      <c r="V74" s="56">
        <f t="shared" si="60"/>
        <v>60.067134809946566</v>
      </c>
      <c r="W74" s="154">
        <f t="shared" si="50"/>
        <v>121.48904477114674</v>
      </c>
      <c r="X74" s="149">
        <f t="shared" si="61"/>
        <v>0.8783830734698459</v>
      </c>
      <c r="Y74" s="162">
        <f t="shared" si="62"/>
        <v>37.957029297661585</v>
      </c>
      <c r="Z74" s="4">
        <f t="shared" si="89"/>
        <v>47.151028587673892</v>
      </c>
      <c r="AA74" s="4">
        <f t="shared" si="63"/>
        <v>40.250478552215796</v>
      </c>
      <c r="AB74" s="4">
        <f t="shared" si="64"/>
        <v>1007.7591278529158</v>
      </c>
      <c r="AC74" s="14">
        <f t="shared" si="65"/>
        <v>121.48904477114674</v>
      </c>
      <c r="AE74" s="252">
        <f t="shared" si="49"/>
        <v>71</v>
      </c>
      <c r="AF74" s="202">
        <f t="shared" si="90"/>
        <v>221</v>
      </c>
      <c r="AH74">
        <f t="shared" si="66"/>
        <v>46.887845473702214</v>
      </c>
      <c r="AI74">
        <f t="shared" si="67"/>
        <v>25.842048523826673</v>
      </c>
      <c r="AJ74" s="40">
        <f t="shared" si="68"/>
        <v>72.72989399752889</v>
      </c>
      <c r="AK74" s="88">
        <f t="shared" si="51"/>
        <v>100.34499507521464</v>
      </c>
      <c r="AL74" s="199">
        <f t="shared" si="69"/>
        <v>7.699835970323933E-2</v>
      </c>
      <c r="AM74" s="213">
        <f t="shared" si="70"/>
        <v>4330.0678329725906</v>
      </c>
      <c r="AN74">
        <f t="shared" si="71"/>
        <v>471.51028587673881</v>
      </c>
      <c r="AO74" s="215">
        <f t="shared" si="52"/>
        <v>433.00678329725832</v>
      </c>
      <c r="AP74" s="63">
        <f t="shared" si="72"/>
        <v>47.1510285876738</v>
      </c>
      <c r="AQ74" s="63">
        <f t="shared" si="73"/>
        <v>459.17002901868273</v>
      </c>
      <c r="AR74" s="63">
        <f t="shared" si="74"/>
        <v>50</v>
      </c>
      <c r="AS74" s="63">
        <f t="shared" si="75"/>
        <v>53.239470660246411</v>
      </c>
      <c r="AT74" s="63">
        <f t="shared" si="76"/>
        <v>19.490423337282479</v>
      </c>
      <c r="AV74" s="257">
        <f t="shared" si="91"/>
        <v>71</v>
      </c>
      <c r="AW74" s="202">
        <f t="shared" si="92"/>
        <v>1940</v>
      </c>
      <c r="AY74" s="257">
        <f t="shared" si="77"/>
        <v>65.756034598604515</v>
      </c>
      <c r="AZ74" s="257">
        <f t="shared" si="78"/>
        <v>226.84875174761873</v>
      </c>
      <c r="BA74" s="257">
        <f t="shared" si="79"/>
        <v>292.60478634622325</v>
      </c>
      <c r="BB74" s="53" t="e">
        <f t="shared" si="53"/>
        <v>#NUM!</v>
      </c>
      <c r="BC74" s="198" t="e">
        <f t="shared" si="80"/>
        <v>#NUM!</v>
      </c>
      <c r="BD74" s="211">
        <f t="shared" si="81"/>
        <v>426814649572397.25</v>
      </c>
      <c r="BE74" s="257" t="e">
        <f t="shared" si="82"/>
        <v>#NUM!</v>
      </c>
      <c r="BF74" s="4" t="e">
        <f t="shared" si="54"/>
        <v>#NUM!</v>
      </c>
      <c r="BG74" s="4" t="e">
        <f t="shared" si="83"/>
        <v>#NUM!</v>
      </c>
      <c r="BH74" s="4" t="e">
        <f t="shared" si="84"/>
        <v>#NUM!</v>
      </c>
      <c r="BI74" s="4" t="e">
        <f t="shared" si="85"/>
        <v>#NUM!</v>
      </c>
      <c r="BJ74" t="e">
        <f t="shared" si="86"/>
        <v>#NUM!</v>
      </c>
      <c r="BK74" t="e">
        <f t="shared" si="87"/>
        <v>#NUM!</v>
      </c>
      <c r="BM74" s="40"/>
    </row>
    <row r="75" spans="15:65">
      <c r="O75" s="252">
        <f t="shared" si="88"/>
        <v>72</v>
      </c>
      <c r="P75" s="138">
        <f t="shared" si="55"/>
        <v>26.925000000000001</v>
      </c>
      <c r="Q75" s="146"/>
      <c r="R75" s="56">
        <f t="shared" si="56"/>
        <v>28.603114239400384</v>
      </c>
      <c r="S75" s="56">
        <f t="shared" si="57"/>
        <v>57.206228478800767</v>
      </c>
      <c r="T75" s="56">
        <f t="shared" si="58"/>
        <v>3.1484034230951727</v>
      </c>
      <c r="U75" s="56">
        <f t="shared" si="59"/>
        <v>31.751517662495555</v>
      </c>
      <c r="V75" s="56">
        <f t="shared" si="60"/>
        <v>60.354631901895942</v>
      </c>
      <c r="W75" s="154">
        <f t="shared" si="50"/>
        <v>121.32337141024799</v>
      </c>
      <c r="X75" s="149">
        <f t="shared" si="61"/>
        <v>0.86178769798161625</v>
      </c>
      <c r="Y75" s="162">
        <f t="shared" si="62"/>
        <v>38.687964718401219</v>
      </c>
      <c r="Z75" s="4">
        <f t="shared" si="89"/>
        <v>47.151028587673906</v>
      </c>
      <c r="AA75" s="4">
        <f t="shared" si="63"/>
        <v>41.025578738397854</v>
      </c>
      <c r="AB75" s="4">
        <f t="shared" si="64"/>
        <v>1041.6734500429534</v>
      </c>
      <c r="AC75" s="14">
        <f t="shared" si="65"/>
        <v>121.32337141024799</v>
      </c>
      <c r="AE75" s="252">
        <f t="shared" si="49"/>
        <v>72</v>
      </c>
      <c r="AF75" s="202">
        <f t="shared" si="90"/>
        <v>224</v>
      </c>
      <c r="AH75">
        <f t="shared" si="66"/>
        <v>47.004960366683257</v>
      </c>
      <c r="AI75">
        <f t="shared" si="67"/>
        <v>26.192845562611648</v>
      </c>
      <c r="AJ75" s="40">
        <f t="shared" si="68"/>
        <v>73.197805929294901</v>
      </c>
      <c r="AK75" s="88">
        <f t="shared" si="51"/>
        <v>99.877083143448644</v>
      </c>
      <c r="AL75" s="199">
        <f t="shared" si="69"/>
        <v>7.2960176662599407E-2</v>
      </c>
      <c r="AM75" s="213">
        <f t="shared" si="70"/>
        <v>4569.7274293136425</v>
      </c>
      <c r="AN75">
        <f t="shared" si="71"/>
        <v>471.51028587673881</v>
      </c>
      <c r="AO75" s="215">
        <f t="shared" si="52"/>
        <v>456.97274293136343</v>
      </c>
      <c r="AP75" s="63">
        <f t="shared" si="72"/>
        <v>47.1510285876738</v>
      </c>
      <c r="AQ75" s="63">
        <f t="shared" si="73"/>
        <v>484.58406594636313</v>
      </c>
      <c r="AR75" s="63">
        <f t="shared" si="74"/>
        <v>50</v>
      </c>
      <c r="AS75" s="63">
        <f t="shared" si="75"/>
        <v>53.707382592012401</v>
      </c>
      <c r="AT75" s="63">
        <f t="shared" si="76"/>
        <v>19.4904233372825</v>
      </c>
      <c r="AV75" s="257">
        <f t="shared" si="91"/>
        <v>72</v>
      </c>
      <c r="AW75" s="202">
        <f t="shared" si="92"/>
        <v>1967</v>
      </c>
      <c r="AY75" s="257">
        <f t="shared" si="77"/>
        <v>65.876087198386728</v>
      </c>
      <c r="AZ75" s="257">
        <f t="shared" si="78"/>
        <v>230.00592509668354</v>
      </c>
      <c r="BA75" s="257">
        <f t="shared" si="79"/>
        <v>295.88201229507024</v>
      </c>
      <c r="BB75" s="53" t="e">
        <f t="shared" si="53"/>
        <v>#NUM!</v>
      </c>
      <c r="BC75" s="198" t="e">
        <f t="shared" si="80"/>
        <v>#NUM!</v>
      </c>
      <c r="BD75" s="211">
        <f t="shared" si="81"/>
        <v>622444472686683.87</v>
      </c>
      <c r="BE75" s="257" t="e">
        <f t="shared" si="82"/>
        <v>#NUM!</v>
      </c>
      <c r="BF75" s="4" t="e">
        <f t="shared" si="54"/>
        <v>#NUM!</v>
      </c>
      <c r="BG75" s="4" t="e">
        <f t="shared" si="83"/>
        <v>#NUM!</v>
      </c>
      <c r="BH75" s="4" t="e">
        <f t="shared" si="84"/>
        <v>#NUM!</v>
      </c>
      <c r="BI75" s="4" t="e">
        <f t="shared" si="85"/>
        <v>#NUM!</v>
      </c>
      <c r="BJ75" t="e">
        <f t="shared" si="86"/>
        <v>#NUM!</v>
      </c>
      <c r="BK75" t="e">
        <f t="shared" si="87"/>
        <v>#NUM!</v>
      </c>
      <c r="BM75" s="40"/>
    </row>
    <row r="76" spans="15:65">
      <c r="O76" s="252">
        <f t="shared" si="88"/>
        <v>73</v>
      </c>
      <c r="P76" s="138">
        <f t="shared" si="55"/>
        <v>27.3</v>
      </c>
      <c r="Q76" s="146"/>
      <c r="R76" s="56">
        <f t="shared" si="56"/>
        <v>28.723252940815122</v>
      </c>
      <c r="S76" s="56">
        <f t="shared" si="57"/>
        <v>57.446505881630245</v>
      </c>
      <c r="T76" s="56">
        <f t="shared" si="58"/>
        <v>3.1922530529432951</v>
      </c>
      <c r="U76" s="56">
        <f t="shared" si="59"/>
        <v>31.915505993758416</v>
      </c>
      <c r="V76" s="56">
        <f t="shared" si="60"/>
        <v>60.638758934573538</v>
      </c>
      <c r="W76" s="154">
        <f t="shared" si="50"/>
        <v>121.15938307898513</v>
      </c>
      <c r="X76" s="149">
        <f t="shared" si="61"/>
        <v>0.84566990135130071</v>
      </c>
      <c r="Y76" s="162">
        <f t="shared" si="62"/>
        <v>39.425326597280453</v>
      </c>
      <c r="Z76" s="4">
        <f t="shared" si="89"/>
        <v>47.151028587673899</v>
      </c>
      <c r="AA76" s="4">
        <f t="shared" si="63"/>
        <v>41.807493683803727</v>
      </c>
      <c r="AB76" s="4">
        <f t="shared" si="64"/>
        <v>1076.3114161057563</v>
      </c>
      <c r="AC76" s="14">
        <f t="shared" si="65"/>
        <v>121.15938307898514</v>
      </c>
      <c r="AE76" s="252">
        <f t="shared" si="49"/>
        <v>73</v>
      </c>
      <c r="AF76" s="202">
        <f t="shared" si="90"/>
        <v>227</v>
      </c>
      <c r="AH76">
        <f t="shared" si="66"/>
        <v>47.12051714386245</v>
      </c>
      <c r="AI76">
        <f t="shared" si="67"/>
        <v>26.543642601396627</v>
      </c>
      <c r="AJ76" s="40">
        <f t="shared" si="68"/>
        <v>73.66415974525907</v>
      </c>
      <c r="AK76" s="88">
        <f t="shared" si="51"/>
        <v>99.410729327484475</v>
      </c>
      <c r="AL76" s="199" t="s">
        <v>9</v>
      </c>
      <c r="AM76" s="213">
        <f t="shared" si="70"/>
        <v>4821.7866173686134</v>
      </c>
      <c r="AN76" t="e">
        <f t="shared" si="71"/>
        <v>#VALUE!</v>
      </c>
      <c r="AO76" s="215">
        <f t="shared" si="52"/>
        <v>482.17866173686048</v>
      </c>
      <c r="AP76" s="63" t="e">
        <f t="shared" si="72"/>
        <v>#VALUE!</v>
      </c>
      <c r="AQ76" s="63" t="e">
        <f t="shared" si="73"/>
        <v>#VALUE!</v>
      </c>
      <c r="AR76" s="63" t="e">
        <f t="shared" si="74"/>
        <v>#VALUE!</v>
      </c>
      <c r="AS76" s="63" t="e">
        <f t="shared" si="75"/>
        <v>#VALUE!</v>
      </c>
      <c r="AT76" s="63" t="e">
        <f t="shared" si="76"/>
        <v>#VALUE!</v>
      </c>
      <c r="AV76" s="257">
        <f t="shared" si="91"/>
        <v>73</v>
      </c>
      <c r="AW76" s="202">
        <f t="shared" si="92"/>
        <v>1994</v>
      </c>
      <c r="AY76" s="257">
        <f t="shared" si="77"/>
        <v>65.994503079512739</v>
      </c>
      <c r="AZ76" s="257">
        <f t="shared" si="78"/>
        <v>233.16309844574835</v>
      </c>
      <c r="BA76" s="257">
        <f t="shared" si="79"/>
        <v>299.1576015252611</v>
      </c>
      <c r="BB76" s="53" t="e">
        <f t="shared" si="53"/>
        <v>#NUM!</v>
      </c>
      <c r="BC76" s="198" t="e">
        <f t="shared" si="80"/>
        <v>#NUM!</v>
      </c>
      <c r="BD76" s="211">
        <f t="shared" si="81"/>
        <v>907569884118676.37</v>
      </c>
      <c r="BE76" s="257" t="e">
        <f t="shared" si="82"/>
        <v>#NUM!</v>
      </c>
      <c r="BF76" s="4" t="e">
        <f t="shared" si="54"/>
        <v>#NUM!</v>
      </c>
      <c r="BG76" s="4" t="e">
        <f t="shared" si="83"/>
        <v>#NUM!</v>
      </c>
      <c r="BH76" s="4" t="e">
        <f t="shared" si="84"/>
        <v>#NUM!</v>
      </c>
      <c r="BI76" s="4" t="e">
        <f t="shared" si="85"/>
        <v>#NUM!</v>
      </c>
      <c r="BJ76" t="e">
        <f t="shared" si="86"/>
        <v>#NUM!</v>
      </c>
      <c r="BK76" t="e">
        <f t="shared" si="87"/>
        <v>#NUM!</v>
      </c>
      <c r="BM76" s="40"/>
    </row>
    <row r="77" spans="15:65">
      <c r="O77" s="252">
        <f t="shared" si="88"/>
        <v>74</v>
      </c>
      <c r="P77" s="138">
        <f t="shared" si="55"/>
        <v>27.675000000000001</v>
      </c>
      <c r="Q77" s="146"/>
      <c r="R77" s="56">
        <f t="shared" si="56"/>
        <v>28.841752591015211</v>
      </c>
      <c r="S77" s="56">
        <f t="shared" si="57"/>
        <v>57.683505182030423</v>
      </c>
      <c r="T77" s="56">
        <f t="shared" si="58"/>
        <v>3.236102682791417</v>
      </c>
      <c r="U77" s="56">
        <f t="shared" si="59"/>
        <v>32.077855273806627</v>
      </c>
      <c r="V77" s="56">
        <f t="shared" si="60"/>
        <v>60.919607864821842</v>
      </c>
      <c r="W77" s="154">
        <f t="shared" si="50"/>
        <v>120.99703379893693</v>
      </c>
      <c r="X77" s="149">
        <f t="shared" si="61"/>
        <v>0.83001016220019519</v>
      </c>
      <c r="Y77" s="162">
        <f t="shared" si="62"/>
        <v>40.169161261694711</v>
      </c>
      <c r="Z77" s="4">
        <f t="shared" si="89"/>
        <v>47.15102858767397</v>
      </c>
      <c r="AA77" s="4">
        <f t="shared" si="63"/>
        <v>42.596272515034478</v>
      </c>
      <c r="AB77" s="4">
        <f t="shared" si="64"/>
        <v>1111.6815379174025</v>
      </c>
      <c r="AC77" s="14">
        <f t="shared" si="65"/>
        <v>120.99703379893691</v>
      </c>
      <c r="AE77" s="252">
        <f t="shared" si="49"/>
        <v>74</v>
      </c>
      <c r="AF77" s="202">
        <f t="shared" si="90"/>
        <v>230</v>
      </c>
      <c r="AH77">
        <f t="shared" si="66"/>
        <v>47.234556720351861</v>
      </c>
      <c r="AI77">
        <f t="shared" si="67"/>
        <v>26.894439640181606</v>
      </c>
      <c r="AJ77" s="40">
        <f t="shared" si="68"/>
        <v>74.128996360533463</v>
      </c>
      <c r="AK77" s="88">
        <f t="shared" si="51"/>
        <v>98.945892712210096</v>
      </c>
      <c r="AL77" s="199">
        <f t="shared" si="69"/>
        <v>6.5543005967272139E-2</v>
      </c>
      <c r="AM77" s="213">
        <f t="shared" si="70"/>
        <v>5086.8603846020251</v>
      </c>
      <c r="AN77">
        <f t="shared" si="71"/>
        <v>471.51028587674045</v>
      </c>
      <c r="AO77" s="215">
        <f t="shared" si="52"/>
        <v>508.68603846020164</v>
      </c>
      <c r="AP77" s="63">
        <f t="shared" si="72"/>
        <v>47.151028587673963</v>
      </c>
      <c r="AQ77" s="63">
        <f t="shared" si="73"/>
        <v>539.42199533816779</v>
      </c>
      <c r="AR77" s="63">
        <f t="shared" si="74"/>
        <v>50</v>
      </c>
      <c r="AS77" s="63">
        <f t="shared" si="75"/>
        <v>54.638573023250949</v>
      </c>
      <c r="AT77" s="63">
        <f t="shared" si="76"/>
        <v>19.490423337282515</v>
      </c>
      <c r="AV77" s="257">
        <f t="shared" si="91"/>
        <v>74</v>
      </c>
      <c r="AW77" s="202">
        <f t="shared" si="92"/>
        <v>2021</v>
      </c>
      <c r="AY77" s="257">
        <f t="shared" si="77"/>
        <v>66.11132627030608</v>
      </c>
      <c r="AZ77" s="257">
        <f t="shared" si="78"/>
        <v>236.32027179481312</v>
      </c>
      <c r="BA77" s="257">
        <f t="shared" si="79"/>
        <v>302.4315980651192</v>
      </c>
      <c r="BB77" s="53" t="e">
        <f t="shared" si="53"/>
        <v>#NUM!</v>
      </c>
      <c r="BC77" s="198" t="e">
        <f t="shared" si="80"/>
        <v>#NUM!</v>
      </c>
      <c r="BD77" s="211">
        <f t="shared" si="81"/>
        <v>1323061107754203.7</v>
      </c>
      <c r="BE77" s="257" t="e">
        <f t="shared" si="82"/>
        <v>#NUM!</v>
      </c>
      <c r="BF77" s="4" t="e">
        <f t="shared" si="54"/>
        <v>#NUM!</v>
      </c>
      <c r="BG77" s="4" t="e">
        <f t="shared" si="83"/>
        <v>#NUM!</v>
      </c>
      <c r="BH77" s="4" t="e">
        <f t="shared" si="84"/>
        <v>#NUM!</v>
      </c>
      <c r="BI77" s="4" t="e">
        <f t="shared" si="85"/>
        <v>#NUM!</v>
      </c>
      <c r="BJ77" t="e">
        <f t="shared" si="86"/>
        <v>#NUM!</v>
      </c>
      <c r="BK77" t="e">
        <f t="shared" si="87"/>
        <v>#NUM!</v>
      </c>
      <c r="BM77" s="40"/>
    </row>
    <row r="78" spans="15:65">
      <c r="O78" s="252">
        <f t="shared" si="88"/>
        <v>75</v>
      </c>
      <c r="P78" s="138">
        <f t="shared" si="55"/>
        <v>28.05</v>
      </c>
      <c r="Q78" s="146"/>
      <c r="R78" s="56">
        <f t="shared" si="56"/>
        <v>28.958657311843602</v>
      </c>
      <c r="S78" s="56">
        <f t="shared" si="57"/>
        <v>57.917314623687204</v>
      </c>
      <c r="T78" s="56">
        <f t="shared" si="58"/>
        <v>3.2799523126395393</v>
      </c>
      <c r="U78" s="56">
        <f t="shared" si="59"/>
        <v>32.238609624483139</v>
      </c>
      <c r="V78" s="56">
        <f t="shared" si="60"/>
        <v>61.197266936326741</v>
      </c>
      <c r="W78" s="154">
        <f t="shared" si="50"/>
        <v>120.83627944826041</v>
      </c>
      <c r="X78" s="149">
        <f t="shared" si="61"/>
        <v>0.81479000360819986</v>
      </c>
      <c r="Y78" s="162">
        <f t="shared" si="62"/>
        <v>40.919515343363607</v>
      </c>
      <c r="Z78" s="4">
        <f t="shared" si="89"/>
        <v>47.15102858767397</v>
      </c>
      <c r="AA78" s="4">
        <f t="shared" si="63"/>
        <v>43.391964681403309</v>
      </c>
      <c r="AB78" s="4">
        <f t="shared" si="64"/>
        <v>1147.7924053813499</v>
      </c>
      <c r="AC78" s="14">
        <f t="shared" si="65"/>
        <v>120.8362794482604</v>
      </c>
      <c r="AE78" s="252">
        <f t="shared" si="49"/>
        <v>75</v>
      </c>
      <c r="AF78" s="202">
        <f t="shared" si="90"/>
        <v>233</v>
      </c>
      <c r="AH78">
        <f t="shared" si="66"/>
        <v>47.347118420520374</v>
      </c>
      <c r="AI78">
        <f t="shared" si="67"/>
        <v>27.245236678966585</v>
      </c>
      <c r="AJ78" s="40">
        <f t="shared" si="68"/>
        <v>74.592355099486952</v>
      </c>
      <c r="AK78" s="88">
        <f t="shared" si="51"/>
        <v>98.482533973256594</v>
      </c>
      <c r="AL78" s="199">
        <f t="shared" si="69"/>
        <v>6.2138164201736658E-2</v>
      </c>
      <c r="AM78" s="213">
        <f t="shared" si="70"/>
        <v>5365.5933487222646</v>
      </c>
      <c r="AN78">
        <f t="shared" si="71"/>
        <v>471.5102858767396</v>
      </c>
      <c r="AO78" s="215">
        <f t="shared" si="52"/>
        <v>536.55933487222558</v>
      </c>
      <c r="AP78" s="63">
        <f t="shared" si="72"/>
        <v>47.151028587673885</v>
      </c>
      <c r="AQ78" s="63">
        <f t="shared" si="73"/>
        <v>568.97945913791978</v>
      </c>
      <c r="AR78" s="63">
        <f t="shared" si="74"/>
        <v>50</v>
      </c>
      <c r="AS78" s="63">
        <f t="shared" si="75"/>
        <v>55.101931762204458</v>
      </c>
      <c r="AT78" s="63">
        <f t="shared" si="76"/>
        <v>19.490423337282493</v>
      </c>
      <c r="AV78" s="257">
        <f t="shared" si="91"/>
        <v>75</v>
      </c>
      <c r="AW78" s="202">
        <f t="shared" si="92"/>
        <v>2048</v>
      </c>
      <c r="AY78" s="257">
        <f t="shared" si="77"/>
        <v>66.226599046075862</v>
      </c>
      <c r="AZ78" s="257">
        <f t="shared" si="78"/>
        <v>239.47744514387793</v>
      </c>
      <c r="BA78" s="257">
        <f t="shared" si="79"/>
        <v>305.70404418995378</v>
      </c>
      <c r="BB78" s="53" t="e">
        <f t="shared" si="53"/>
        <v>#NUM!</v>
      </c>
      <c r="BC78" s="198" t="e">
        <f t="shared" si="80"/>
        <v>#NUM!</v>
      </c>
      <c r="BD78" s="211">
        <f t="shared" si="81"/>
        <v>1928422586573229</v>
      </c>
      <c r="BE78" s="257" t="e">
        <f t="shared" si="82"/>
        <v>#NUM!</v>
      </c>
      <c r="BF78" s="4" t="e">
        <f t="shared" si="54"/>
        <v>#NUM!</v>
      </c>
      <c r="BG78" s="4" t="e">
        <f t="shared" si="83"/>
        <v>#NUM!</v>
      </c>
      <c r="BH78" s="4" t="e">
        <f t="shared" si="84"/>
        <v>#NUM!</v>
      </c>
      <c r="BI78" s="4" t="e">
        <f t="shared" si="85"/>
        <v>#NUM!</v>
      </c>
      <c r="BJ78" t="e">
        <f t="shared" si="86"/>
        <v>#NUM!</v>
      </c>
      <c r="BK78" t="e">
        <f t="shared" si="87"/>
        <v>#NUM!</v>
      </c>
      <c r="BM78" s="40"/>
    </row>
    <row r="79" spans="15:65">
      <c r="O79" s="252">
        <f t="shared" si="88"/>
        <v>76</v>
      </c>
      <c r="P79" s="138">
        <f t="shared" si="55"/>
        <v>28.425000000000001</v>
      </c>
      <c r="Q79" s="146"/>
      <c r="R79" s="56">
        <f t="shared" si="56"/>
        <v>29.074009467195449</v>
      </c>
      <c r="S79" s="56">
        <f t="shared" si="57"/>
        <v>58.148018934390898</v>
      </c>
      <c r="T79" s="56">
        <f t="shared" si="58"/>
        <v>3.3238019424876617</v>
      </c>
      <c r="U79" s="56">
        <f t="shared" si="59"/>
        <v>32.397811409683108</v>
      </c>
      <c r="V79" s="56">
        <f t="shared" si="60"/>
        <v>61.47182087687856</v>
      </c>
      <c r="W79" s="154">
        <f t="shared" si="50"/>
        <v>120.67707766306044</v>
      </c>
      <c r="X79" s="149">
        <f t="shared" si="61"/>
        <v>0.79999192421548049</v>
      </c>
      <c r="Y79" s="162">
        <f t="shared" si="62"/>
        <v>41.676435780224899</v>
      </c>
      <c r="Z79" s="4">
        <f t="shared" si="89"/>
        <v>47.151028587673956</v>
      </c>
      <c r="AA79" s="4">
        <f t="shared" si="63"/>
        <v>44.19461995694396</v>
      </c>
      <c r="AB79" s="4">
        <f t="shared" si="64"/>
        <v>1184.652687052893</v>
      </c>
      <c r="AC79" s="14">
        <f t="shared" si="65"/>
        <v>120.67707766306044</v>
      </c>
      <c r="AE79" s="252">
        <f t="shared" si="49"/>
        <v>76</v>
      </c>
      <c r="AF79" s="202">
        <f t="shared" si="90"/>
        <v>236</v>
      </c>
      <c r="AH79">
        <f t="shared" si="66"/>
        <v>47.458240059402137</v>
      </c>
      <c r="AI79">
        <f t="shared" si="67"/>
        <v>27.596033717751556</v>
      </c>
      <c r="AJ79" s="40">
        <f t="shared" si="68"/>
        <v>75.054273777153696</v>
      </c>
      <c r="AK79" s="88">
        <f t="shared" si="51"/>
        <v>98.020615295589849</v>
      </c>
      <c r="AL79" s="199">
        <f t="shared" si="69"/>
        <v>5.8919965586368639E-2</v>
      </c>
      <c r="AM79" s="213">
        <f t="shared" si="70"/>
        <v>5658.6611554264955</v>
      </c>
      <c r="AN79">
        <f t="shared" si="71"/>
        <v>471.51028587673954</v>
      </c>
      <c r="AO79" s="215">
        <f t="shared" si="52"/>
        <v>565.86611554264857</v>
      </c>
      <c r="AP79" s="63">
        <f t="shared" si="72"/>
        <v>47.151028587673878</v>
      </c>
      <c r="AQ79" s="63">
        <f t="shared" si="73"/>
        <v>600.05702154562982</v>
      </c>
      <c r="AR79" s="63">
        <f t="shared" si="74"/>
        <v>50</v>
      </c>
      <c r="AS79" s="63">
        <f t="shared" si="75"/>
        <v>55.563850439871196</v>
      </c>
      <c r="AT79" s="63">
        <f t="shared" si="76"/>
        <v>19.4904233372825</v>
      </c>
      <c r="AV79" s="257">
        <f t="shared" si="91"/>
        <v>76</v>
      </c>
      <c r="AW79" s="202">
        <f t="shared" si="92"/>
        <v>2075</v>
      </c>
      <c r="AY79" s="257">
        <f t="shared" si="77"/>
        <v>66.340362020962232</v>
      </c>
      <c r="AZ79" s="257">
        <f t="shared" si="78"/>
        <v>242.63461849294276</v>
      </c>
      <c r="BA79" s="257">
        <f t="shared" si="79"/>
        <v>308.974980513905</v>
      </c>
      <c r="BB79" s="53" t="e">
        <f t="shared" si="53"/>
        <v>#NUM!</v>
      </c>
      <c r="BC79" s="198" t="e">
        <f t="shared" si="80"/>
        <v>#NUM!</v>
      </c>
      <c r="BD79" s="211">
        <f t="shared" si="81"/>
        <v>2810276331327616</v>
      </c>
      <c r="BE79" s="257" t="e">
        <f t="shared" si="82"/>
        <v>#NUM!</v>
      </c>
      <c r="BF79" s="4" t="e">
        <f t="shared" si="54"/>
        <v>#NUM!</v>
      </c>
      <c r="BG79" s="4" t="e">
        <f t="shared" si="83"/>
        <v>#NUM!</v>
      </c>
      <c r="BH79" s="4" t="e">
        <f t="shared" si="84"/>
        <v>#NUM!</v>
      </c>
      <c r="BI79" s="4" t="e">
        <f t="shared" si="85"/>
        <v>#NUM!</v>
      </c>
      <c r="BJ79" t="e">
        <f t="shared" si="86"/>
        <v>#NUM!</v>
      </c>
      <c r="BK79" t="e">
        <f t="shared" si="87"/>
        <v>#NUM!</v>
      </c>
      <c r="BM79" s="40"/>
    </row>
    <row r="80" spans="15:65">
      <c r="O80" s="252">
        <f t="shared" si="88"/>
        <v>77</v>
      </c>
      <c r="P80" s="138">
        <f t="shared" si="55"/>
        <v>28.8</v>
      </c>
      <c r="Q80" s="146"/>
      <c r="R80" s="56">
        <f t="shared" si="56"/>
        <v>29.187849755184615</v>
      </c>
      <c r="S80" s="56">
        <f t="shared" si="57"/>
        <v>58.37569951036923</v>
      </c>
      <c r="T80" s="56">
        <f t="shared" si="58"/>
        <v>3.3676515723357836</v>
      </c>
      <c r="U80" s="56">
        <f t="shared" si="59"/>
        <v>32.555501327520396</v>
      </c>
      <c r="V80" s="56">
        <f t="shared" si="60"/>
        <v>61.743351082705011</v>
      </c>
      <c r="W80" s="154">
        <f t="shared" si="50"/>
        <v>120.51938774522314</v>
      </c>
      <c r="X80" s="149">
        <f t="shared" si="61"/>
        <v>0.78559933470682042</v>
      </c>
      <c r="Y80" s="162">
        <f t="shared" si="62"/>
        <v>42.439969818339364</v>
      </c>
      <c r="Z80" s="4">
        <f t="shared" si="89"/>
        <v>47.151028587673856</v>
      </c>
      <c r="AA80" s="4">
        <f t="shared" si="63"/>
        <v>45.004288442430685</v>
      </c>
      <c r="AB80" s="4">
        <f t="shared" si="64"/>
        <v>1222.2711307681736</v>
      </c>
      <c r="AC80" s="14">
        <f t="shared" si="65"/>
        <v>120.51938774522316</v>
      </c>
      <c r="AE80" s="252">
        <f t="shared" si="49"/>
        <v>77</v>
      </c>
      <c r="AF80" s="202">
        <f t="shared" si="90"/>
        <v>239</v>
      </c>
      <c r="AH80">
        <f t="shared" si="66"/>
        <v>47.567958018962749</v>
      </c>
      <c r="AI80">
        <f t="shared" si="67"/>
        <v>27.946830756536535</v>
      </c>
      <c r="AJ80" s="40">
        <f t="shared" si="68"/>
        <v>75.514788775499284</v>
      </c>
      <c r="AK80" s="88">
        <f t="shared" si="51"/>
        <v>97.560100297244261</v>
      </c>
      <c r="AL80" s="199">
        <f t="shared" si="69"/>
        <v>5.5877470068876257E-2</v>
      </c>
      <c r="AM80" s="213">
        <f t="shared" si="70"/>
        <v>5966.7719410288473</v>
      </c>
      <c r="AN80">
        <f t="shared" si="71"/>
        <v>471.51028587673949</v>
      </c>
      <c r="AO80" s="215">
        <f t="shared" si="52"/>
        <v>596.67719410288373</v>
      </c>
      <c r="AP80" s="63">
        <f t="shared" si="72"/>
        <v>47.151028587673871</v>
      </c>
      <c r="AQ80" s="63">
        <f t="shared" si="73"/>
        <v>632.72977491191568</v>
      </c>
      <c r="AR80" s="63">
        <f t="shared" si="74"/>
        <v>50.000000000000007</v>
      </c>
      <c r="AS80" s="63">
        <f t="shared" si="75"/>
        <v>56.02436543821679</v>
      </c>
      <c r="AT80" s="63">
        <f t="shared" si="76"/>
        <v>19.490423337282493</v>
      </c>
      <c r="AV80" s="257">
        <f t="shared" si="91"/>
        <v>77</v>
      </c>
      <c r="AW80" s="202">
        <f t="shared" si="92"/>
        <v>2102</v>
      </c>
      <c r="AY80" s="257">
        <f t="shared" si="77"/>
        <v>66.45265423384447</v>
      </c>
      <c r="AZ80" s="257">
        <f t="shared" si="78"/>
        <v>245.79179184200751</v>
      </c>
      <c r="BA80" s="257">
        <f t="shared" si="79"/>
        <v>312.24444607585201</v>
      </c>
      <c r="BB80" s="53" t="e">
        <f t="shared" si="53"/>
        <v>#NUM!</v>
      </c>
      <c r="BC80" s="198" t="e">
        <f t="shared" si="80"/>
        <v>#NUM!</v>
      </c>
      <c r="BD80" s="211">
        <f t="shared" si="81"/>
        <v>4094702030002071.5</v>
      </c>
      <c r="BE80" s="257" t="e">
        <f t="shared" si="82"/>
        <v>#NUM!</v>
      </c>
      <c r="BF80" s="4" t="e">
        <f t="shared" si="54"/>
        <v>#NUM!</v>
      </c>
      <c r="BG80" s="4" t="e">
        <f t="shared" si="83"/>
        <v>#NUM!</v>
      </c>
      <c r="BH80" s="4" t="e">
        <f t="shared" si="84"/>
        <v>#NUM!</v>
      </c>
      <c r="BI80" s="4" t="e">
        <f t="shared" si="85"/>
        <v>#NUM!</v>
      </c>
      <c r="BJ80" t="e">
        <f t="shared" si="86"/>
        <v>#NUM!</v>
      </c>
      <c r="BK80" t="e">
        <f t="shared" si="87"/>
        <v>#NUM!</v>
      </c>
      <c r="BM80" s="40"/>
    </row>
    <row r="81" spans="15:65">
      <c r="O81" s="252">
        <f t="shared" si="88"/>
        <v>78</v>
      </c>
      <c r="P81" s="138">
        <f t="shared" si="55"/>
        <v>29.175000000000001</v>
      </c>
      <c r="Q81" s="146"/>
      <c r="R81" s="56">
        <f t="shared" si="56"/>
        <v>29.300217294348158</v>
      </c>
      <c r="S81" s="56">
        <f t="shared" si="57"/>
        <v>58.600434588696316</v>
      </c>
      <c r="T81" s="56">
        <f t="shared" si="58"/>
        <v>3.4115012021839055</v>
      </c>
      <c r="U81" s="56">
        <f t="shared" si="59"/>
        <v>32.711718496532065</v>
      </c>
      <c r="V81" s="56">
        <f t="shared" si="60"/>
        <v>62.011935790880223</v>
      </c>
      <c r="W81" s="154">
        <f t="shared" si="50"/>
        <v>120.36317057621149</v>
      </c>
      <c r="X81" s="149">
        <f t="shared" si="61"/>
        <v>0.77159649919436823</v>
      </c>
      <c r="Y81" s="162">
        <f t="shared" si="62"/>
        <v>43.210165013807696</v>
      </c>
      <c r="Z81" s="4">
        <f t="shared" si="89"/>
        <v>47.15102858767392</v>
      </c>
      <c r="AA81" s="4">
        <f t="shared" si="63"/>
        <v>45.821020567410962</v>
      </c>
      <c r="AB81" s="4">
        <f t="shared" si="64"/>
        <v>1260.6565642778405</v>
      </c>
      <c r="AC81" s="14">
        <f t="shared" si="65"/>
        <v>120.36317057621149</v>
      </c>
      <c r="AE81" s="252">
        <f t="shared" si="49"/>
        <v>78</v>
      </c>
      <c r="AF81" s="202">
        <f t="shared" si="90"/>
        <v>242</v>
      </c>
      <c r="AH81">
        <f t="shared" si="66"/>
        <v>47.676307319608625</v>
      </c>
      <c r="AI81">
        <f t="shared" si="67"/>
        <v>28.297627795321514</v>
      </c>
      <c r="AJ81" s="40">
        <f t="shared" si="68"/>
        <v>75.973935114930143</v>
      </c>
      <c r="AK81" s="88">
        <f t="shared" si="51"/>
        <v>97.100953957813388</v>
      </c>
      <c r="AL81" s="199">
        <f t="shared" si="69"/>
        <v>5.3000432991625129E-2</v>
      </c>
      <c r="AM81" s="213">
        <f t="shared" si="70"/>
        <v>6290.6678629461976</v>
      </c>
      <c r="AN81">
        <f t="shared" si="71"/>
        <v>471.51028587673881</v>
      </c>
      <c r="AO81" s="215">
        <f t="shared" si="52"/>
        <v>629.06678629461862</v>
      </c>
      <c r="AP81" s="63">
        <f t="shared" si="72"/>
        <v>47.151028587673792</v>
      </c>
      <c r="AQ81" s="63">
        <f t="shared" si="73"/>
        <v>667.07641926083988</v>
      </c>
      <c r="AR81" s="63">
        <f t="shared" si="74"/>
        <v>50</v>
      </c>
      <c r="AS81" s="63">
        <f t="shared" si="75"/>
        <v>56.483511777647664</v>
      </c>
      <c r="AT81" s="63">
        <f t="shared" si="76"/>
        <v>19.490423337282479</v>
      </c>
      <c r="AV81" s="257">
        <f t="shared" si="91"/>
        <v>78</v>
      </c>
      <c r="AW81" s="202">
        <f t="shared" si="92"/>
        <v>2129</v>
      </c>
      <c r="AY81" s="257">
        <f t="shared" si="77"/>
        <v>66.563513228766453</v>
      </c>
      <c r="AZ81" s="257">
        <f t="shared" si="78"/>
        <v>248.94896519107232</v>
      </c>
      <c r="BA81" s="257">
        <f t="shared" si="79"/>
        <v>315.51247841983877</v>
      </c>
      <c r="BB81" s="53" t="e">
        <f t="shared" si="53"/>
        <v>#NUM!</v>
      </c>
      <c r="BC81" s="198" t="e">
        <f t="shared" si="80"/>
        <v>#NUM!</v>
      </c>
      <c r="BD81" s="211">
        <f t="shared" si="81"/>
        <v>5965185053250601</v>
      </c>
      <c r="BE81" s="257" t="e">
        <f t="shared" si="82"/>
        <v>#NUM!</v>
      </c>
      <c r="BF81" s="4" t="e">
        <f t="shared" si="54"/>
        <v>#NUM!</v>
      </c>
      <c r="BG81" s="4" t="e">
        <f t="shared" si="83"/>
        <v>#NUM!</v>
      </c>
      <c r="BH81" s="4" t="e">
        <f t="shared" si="84"/>
        <v>#NUM!</v>
      </c>
      <c r="BI81" s="4" t="e">
        <f t="shared" si="85"/>
        <v>#NUM!</v>
      </c>
      <c r="BJ81" t="e">
        <f t="shared" si="86"/>
        <v>#NUM!</v>
      </c>
      <c r="BK81" t="e">
        <f t="shared" si="87"/>
        <v>#NUM!</v>
      </c>
      <c r="BM81" s="40"/>
    </row>
    <row r="82" spans="15:65">
      <c r="O82" s="252">
        <f t="shared" si="88"/>
        <v>79</v>
      </c>
      <c r="P82" s="138">
        <f t="shared" si="55"/>
        <v>29.55</v>
      </c>
      <c r="Q82" s="146"/>
      <c r="R82" s="56">
        <f t="shared" si="56"/>
        <v>29.411149704345483</v>
      </c>
      <c r="S82" s="56">
        <f t="shared" si="57"/>
        <v>58.822299408690967</v>
      </c>
      <c r="T82" s="56">
        <f t="shared" si="58"/>
        <v>3.4553508320320279</v>
      </c>
      <c r="U82" s="56">
        <f t="shared" si="59"/>
        <v>32.866500536377508</v>
      </c>
      <c r="V82" s="56">
        <f t="shared" si="60"/>
        <v>62.277650240722991</v>
      </c>
      <c r="W82" s="154">
        <f t="shared" si="50"/>
        <v>120.20838853636603</v>
      </c>
      <c r="X82" s="149">
        <f t="shared" si="61"/>
        <v>0.75796848106363024</v>
      </c>
      <c r="Y82" s="162">
        <f t="shared" si="62"/>
        <v>43.987069234698232</v>
      </c>
      <c r="Z82" s="4">
        <f t="shared" si="89"/>
        <v>47.151028587673885</v>
      </c>
      <c r="AA82" s="4">
        <f t="shared" si="63"/>
        <v>46.644867092249697</v>
      </c>
      <c r="AB82" s="4">
        <f t="shared" si="64"/>
        <v>1299.8178958853334</v>
      </c>
      <c r="AC82" s="14">
        <f t="shared" si="65"/>
        <v>120.20838853636602</v>
      </c>
      <c r="AE82" s="252">
        <f t="shared" si="49"/>
        <v>79</v>
      </c>
      <c r="AF82" s="202">
        <f t="shared" si="90"/>
        <v>245</v>
      </c>
      <c r="AH82">
        <f t="shared" si="66"/>
        <v>47.783321687290652</v>
      </c>
      <c r="AI82">
        <f t="shared" si="67"/>
        <v>28.648424834106489</v>
      </c>
      <c r="AJ82" s="40">
        <f t="shared" si="68"/>
        <v>76.431746521397145</v>
      </c>
      <c r="AK82" s="88">
        <f t="shared" si="51"/>
        <v>96.643142551346401</v>
      </c>
      <c r="AL82" s="199">
        <f t="shared" si="69"/>
        <v>5.0279256537930181E-2</v>
      </c>
      <c r="AM82" s="213">
        <f t="shared" si="70"/>
        <v>6631.1267011502114</v>
      </c>
      <c r="AN82">
        <f t="shared" si="71"/>
        <v>471.5102858767396</v>
      </c>
      <c r="AO82" s="215">
        <f t="shared" si="52"/>
        <v>663.11267011502002</v>
      </c>
      <c r="AP82" s="63">
        <f t="shared" si="72"/>
        <v>47.151028587673878</v>
      </c>
      <c r="AQ82" s="63">
        <f t="shared" si="73"/>
        <v>703.17943211144438</v>
      </c>
      <c r="AR82" s="63">
        <f t="shared" si="74"/>
        <v>50</v>
      </c>
      <c r="AS82" s="63">
        <f t="shared" si="75"/>
        <v>56.941323184114637</v>
      </c>
      <c r="AT82" s="63">
        <f t="shared" si="76"/>
        <v>19.490423337282508</v>
      </c>
      <c r="AV82" s="257">
        <f t="shared" si="91"/>
        <v>79</v>
      </c>
      <c r="AW82" s="202">
        <f t="shared" si="92"/>
        <v>2156</v>
      </c>
      <c r="AY82" s="257">
        <f t="shared" si="77"/>
        <v>66.67297513029402</v>
      </c>
      <c r="AZ82" s="257">
        <f t="shared" si="78"/>
        <v>252.10613854013715</v>
      </c>
      <c r="BA82" s="257">
        <f t="shared" si="79"/>
        <v>318.77911367043117</v>
      </c>
      <c r="BB82" s="53" t="e">
        <f t="shared" si="53"/>
        <v>#NUM!</v>
      </c>
      <c r="BC82" s="198" t="e">
        <f t="shared" si="80"/>
        <v>#NUM!</v>
      </c>
      <c r="BD82" s="211">
        <f t="shared" si="81"/>
        <v>8688717629481128</v>
      </c>
      <c r="BE82" s="257" t="e">
        <f t="shared" si="82"/>
        <v>#NUM!</v>
      </c>
      <c r="BF82" s="4" t="e">
        <f t="shared" si="54"/>
        <v>#NUM!</v>
      </c>
      <c r="BG82" s="4" t="e">
        <f t="shared" si="83"/>
        <v>#NUM!</v>
      </c>
      <c r="BH82" s="4" t="e">
        <f t="shared" si="84"/>
        <v>#NUM!</v>
      </c>
      <c r="BI82" s="4" t="e">
        <f t="shared" si="85"/>
        <v>#NUM!</v>
      </c>
      <c r="BJ82" t="e">
        <f t="shared" si="86"/>
        <v>#NUM!</v>
      </c>
      <c r="BK82" t="e">
        <f t="shared" si="87"/>
        <v>#NUM!</v>
      </c>
      <c r="BM82" s="40"/>
    </row>
    <row r="83" spans="15:65">
      <c r="O83" s="252">
        <f t="shared" si="88"/>
        <v>80</v>
      </c>
      <c r="P83" s="138">
        <f t="shared" si="55"/>
        <v>29.925000000000001</v>
      </c>
      <c r="Q83" s="146"/>
      <c r="R83" s="56">
        <f t="shared" si="56"/>
        <v>29.520683181568966</v>
      </c>
      <c r="S83" s="56">
        <f t="shared" si="57"/>
        <v>59.041366363137932</v>
      </c>
      <c r="T83" s="56">
        <f t="shared" si="58"/>
        <v>3.4992004618801502</v>
      </c>
      <c r="U83" s="56">
        <f t="shared" si="59"/>
        <v>33.01988364344912</v>
      </c>
      <c r="V83" s="56">
        <f t="shared" si="60"/>
        <v>62.540566825018082</v>
      </c>
      <c r="W83" s="154">
        <f t="shared" si="50"/>
        <v>120.05500542929441</v>
      </c>
      <c r="X83" s="149">
        <f t="shared" si="61"/>
        <v>0.74470109289122011</v>
      </c>
      <c r="Y83" s="162">
        <f t="shared" si="62"/>
        <v>44.770730662987077</v>
      </c>
      <c r="Z83" s="4">
        <f t="shared" si="89"/>
        <v>47.151028587673842</v>
      </c>
      <c r="AA83" s="4">
        <f t="shared" si="63"/>
        <v>47.475879110186575</v>
      </c>
      <c r="AB83" s="4">
        <f t="shared" si="64"/>
        <v>1339.7641150898878</v>
      </c>
      <c r="AC83" s="14">
        <f t="shared" si="65"/>
        <v>120.05500542929443</v>
      </c>
      <c r="AE83" s="252">
        <f t="shared" si="49"/>
        <v>80</v>
      </c>
      <c r="AF83" s="202">
        <f t="shared" si="90"/>
        <v>248</v>
      </c>
      <c r="AH83">
        <f t="shared" si="66"/>
        <v>47.88903361652433</v>
      </c>
      <c r="AI83">
        <f t="shared" si="67"/>
        <v>28.999221872891468</v>
      </c>
      <c r="AJ83" s="40">
        <f t="shared" si="68"/>
        <v>76.888255489415798</v>
      </c>
      <c r="AK83" s="88">
        <f t="shared" si="51"/>
        <v>96.186633583327747</v>
      </c>
      <c r="AL83" s="199">
        <f t="shared" si="69"/>
        <v>4.7704944936186183E-2</v>
      </c>
      <c r="AM83" s="213">
        <f t="shared" si="70"/>
        <v>6988.9635338358012</v>
      </c>
      <c r="AN83">
        <f t="shared" si="71"/>
        <v>471.51028587673949</v>
      </c>
      <c r="AO83" s="215">
        <f t="shared" si="52"/>
        <v>698.89635338357891</v>
      </c>
      <c r="AP83" s="63">
        <f t="shared" si="72"/>
        <v>47.151028587673871</v>
      </c>
      <c r="AQ83" s="63">
        <f t="shared" si="73"/>
        <v>741.1252461693731</v>
      </c>
      <c r="AR83" s="63">
        <f t="shared" si="74"/>
        <v>50</v>
      </c>
      <c r="AS83" s="63">
        <f t="shared" si="75"/>
        <v>57.397832152133297</v>
      </c>
      <c r="AT83" s="63">
        <f t="shared" si="76"/>
        <v>19.4904233372825</v>
      </c>
      <c r="AV83" s="257">
        <f t="shared" si="91"/>
        <v>80</v>
      </c>
      <c r="AW83" s="202">
        <f t="shared" si="92"/>
        <v>2183</v>
      </c>
      <c r="AY83" s="257">
        <f t="shared" si="77"/>
        <v>66.781074714182779</v>
      </c>
      <c r="AZ83" s="257">
        <f t="shared" si="78"/>
        <v>255.2633118892019</v>
      </c>
      <c r="BA83" s="257">
        <f t="shared" si="79"/>
        <v>322.04438660338468</v>
      </c>
      <c r="BB83" s="53" t="e">
        <f t="shared" si="53"/>
        <v>#NUM!</v>
      </c>
      <c r="BC83" s="198" t="e">
        <f t="shared" si="80"/>
        <v>#NUM!</v>
      </c>
      <c r="BD83" s="211">
        <f t="shared" si="81"/>
        <v>1.2653752340016944E+16</v>
      </c>
      <c r="BE83" s="257" t="e">
        <f t="shared" si="82"/>
        <v>#NUM!</v>
      </c>
      <c r="BF83" s="4" t="e">
        <f t="shared" si="54"/>
        <v>#NUM!</v>
      </c>
      <c r="BG83" s="4" t="e">
        <f t="shared" si="83"/>
        <v>#NUM!</v>
      </c>
      <c r="BH83" s="4" t="e">
        <f t="shared" si="84"/>
        <v>#NUM!</v>
      </c>
      <c r="BI83" s="4" t="e">
        <f t="shared" si="85"/>
        <v>#NUM!</v>
      </c>
      <c r="BJ83" t="e">
        <f t="shared" si="86"/>
        <v>#NUM!</v>
      </c>
      <c r="BK83" t="e">
        <f t="shared" si="87"/>
        <v>#NUM!</v>
      </c>
      <c r="BM83" s="40"/>
    </row>
    <row r="84" spans="15:65">
      <c r="O84" s="252">
        <f t="shared" si="88"/>
        <v>81</v>
      </c>
      <c r="P84" s="138">
        <f t="shared" si="55"/>
        <v>30.3</v>
      </c>
      <c r="Q84" s="146"/>
      <c r="R84" s="56">
        <f t="shared" si="56"/>
        <v>29.628852570046099</v>
      </c>
      <c r="S84" s="56">
        <f t="shared" si="57"/>
        <v>59.257705140092199</v>
      </c>
      <c r="T84" s="56">
        <f t="shared" si="58"/>
        <v>3.5430500917282721</v>
      </c>
      <c r="U84" s="56">
        <f t="shared" si="59"/>
        <v>33.171902661774368</v>
      </c>
      <c r="V84" s="56">
        <f t="shared" si="60"/>
        <v>62.800755231820474</v>
      </c>
      <c r="W84" s="154">
        <f t="shared" si="50"/>
        <v>119.90298641096918</v>
      </c>
      <c r="X84" s="149">
        <f t="shared" si="61"/>
        <v>0.7317808500815951</v>
      </c>
      <c r="Y84" s="162">
        <f t="shared" si="62"/>
        <v>45.561197796508871</v>
      </c>
      <c r="Z84" s="4">
        <f t="shared" si="89"/>
        <v>47.151028587673878</v>
      </c>
      <c r="AA84" s="4">
        <f t="shared" si="63"/>
        <v>48.314108049404709</v>
      </c>
      <c r="AB84" s="4">
        <f t="shared" si="64"/>
        <v>1380.5042932342212</v>
      </c>
      <c r="AC84" s="14">
        <f t="shared" si="65"/>
        <v>119.90298641096919</v>
      </c>
      <c r="AE84" s="252">
        <f t="shared" si="49"/>
        <v>81</v>
      </c>
      <c r="AF84" s="202">
        <f t="shared" si="90"/>
        <v>251</v>
      </c>
      <c r="AH84">
        <f t="shared" si="66"/>
        <v>47.993474429620761</v>
      </c>
      <c r="AI84">
        <f t="shared" si="67"/>
        <v>29.350018911676447</v>
      </c>
      <c r="AJ84" s="40">
        <f t="shared" si="68"/>
        <v>77.343493341297204</v>
      </c>
      <c r="AK84" s="88">
        <f t="shared" si="51"/>
        <v>95.731395731446341</v>
      </c>
      <c r="AL84" s="199">
        <f t="shared" si="69"/>
        <v>4.5269063098297549E-2</v>
      </c>
      <c r="AM84" s="213">
        <f t="shared" si="70"/>
        <v>7365.032490703099</v>
      </c>
      <c r="AN84">
        <f t="shared" si="71"/>
        <v>471.5102858767396</v>
      </c>
      <c r="AO84" s="215">
        <f t="shared" si="52"/>
        <v>736.50324907030858</v>
      </c>
      <c r="AP84" s="63">
        <f t="shared" si="72"/>
        <v>47.151028587673871</v>
      </c>
      <c r="AQ84" s="63">
        <f t="shared" si="73"/>
        <v>781.00443524878244</v>
      </c>
      <c r="AR84" s="63">
        <f t="shared" si="74"/>
        <v>50</v>
      </c>
      <c r="AS84" s="63">
        <f t="shared" si="75"/>
        <v>57.853070004014704</v>
      </c>
      <c r="AT84" s="63">
        <f t="shared" si="76"/>
        <v>19.4904233372825</v>
      </c>
      <c r="AV84" s="257">
        <f t="shared" si="91"/>
        <v>81</v>
      </c>
      <c r="AW84" s="202">
        <f t="shared" si="92"/>
        <v>2210</v>
      </c>
      <c r="AY84" s="257">
        <f t="shared" si="77"/>
        <v>66.887845473702214</v>
      </c>
      <c r="AZ84" s="257">
        <f t="shared" si="78"/>
        <v>258.42048523826674</v>
      </c>
      <c r="BA84" s="257">
        <f t="shared" si="79"/>
        <v>325.30833071196895</v>
      </c>
      <c r="BB84" s="53" t="e">
        <f t="shared" si="53"/>
        <v>#NUM!</v>
      </c>
      <c r="BC84" s="198" t="e">
        <f t="shared" si="80"/>
        <v>#NUM!</v>
      </c>
      <c r="BD84" s="211">
        <f t="shared" si="81"/>
        <v>1.8425383487601612E+16</v>
      </c>
      <c r="BE84" s="257" t="e">
        <f t="shared" si="82"/>
        <v>#NUM!</v>
      </c>
      <c r="BF84" s="4" t="e">
        <f t="shared" si="54"/>
        <v>#NUM!</v>
      </c>
      <c r="BG84" s="4" t="e">
        <f t="shared" si="83"/>
        <v>#NUM!</v>
      </c>
      <c r="BH84" s="4" t="e">
        <f t="shared" si="84"/>
        <v>#NUM!</v>
      </c>
      <c r="BI84" s="4" t="e">
        <f t="shared" si="85"/>
        <v>#NUM!</v>
      </c>
      <c r="BJ84" t="e">
        <f t="shared" si="86"/>
        <v>#NUM!</v>
      </c>
      <c r="BK84" t="e">
        <f t="shared" si="87"/>
        <v>#NUM!</v>
      </c>
      <c r="BM84" s="40"/>
    </row>
    <row r="85" spans="15:65">
      <c r="O85" s="252">
        <f t="shared" si="88"/>
        <v>82</v>
      </c>
      <c r="P85" s="138">
        <f t="shared" si="55"/>
        <v>30.675000000000001</v>
      </c>
      <c r="Q85" s="146"/>
      <c r="R85" s="56">
        <f t="shared" si="56"/>
        <v>29.735691427980839</v>
      </c>
      <c r="S85" s="56">
        <f t="shared" si="57"/>
        <v>59.471382855961679</v>
      </c>
      <c r="T85" s="56">
        <f t="shared" si="58"/>
        <v>3.5868997215763945</v>
      </c>
      <c r="U85" s="56">
        <f t="shared" si="59"/>
        <v>33.322591149557233</v>
      </c>
      <c r="V85" s="56">
        <f t="shared" si="60"/>
        <v>63.058282577538073</v>
      </c>
      <c r="W85" s="154">
        <f t="shared" si="50"/>
        <v>119.7522979231863</v>
      </c>
      <c r="X85" s="149">
        <f t="shared" si="61"/>
        <v>0.71919492790451889</v>
      </c>
      <c r="Y85" s="162">
        <f t="shared" si="62"/>
        <v>46.35851945092044</v>
      </c>
      <c r="Z85" s="4">
        <f t="shared" si="89"/>
        <v>47.151028587673885</v>
      </c>
      <c r="AA85" s="4">
        <f t="shared" si="63"/>
        <v>49.159605675112921</v>
      </c>
      <c r="AB85" s="4">
        <f t="shared" si="64"/>
        <v>1422.0475841569855</v>
      </c>
      <c r="AC85" s="14">
        <f t="shared" si="65"/>
        <v>119.7522979231863</v>
      </c>
      <c r="AE85" s="252">
        <f t="shared" si="49"/>
        <v>82</v>
      </c>
      <c r="AF85" s="202">
        <f t="shared" si="90"/>
        <v>254</v>
      </c>
      <c r="AH85">
        <f t="shared" si="66"/>
        <v>48.096674332398763</v>
      </c>
      <c r="AI85">
        <f t="shared" si="67"/>
        <v>29.700815950461426</v>
      </c>
      <c r="AJ85" s="40">
        <f t="shared" si="68"/>
        <v>77.797490282860196</v>
      </c>
      <c r="AK85" s="88">
        <f t="shared" si="51"/>
        <v>95.27739878988335</v>
      </c>
      <c r="AL85" s="199">
        <f t="shared" si="69"/>
        <v>4.296369839978742E-2</v>
      </c>
      <c r="AM85" s="213">
        <f t="shared" si="70"/>
        <v>7760.2285874043791</v>
      </c>
      <c r="AN85">
        <f t="shared" si="71"/>
        <v>471.51028587673954</v>
      </c>
      <c r="AO85" s="215">
        <f t="shared" si="52"/>
        <v>776.0228587404365</v>
      </c>
      <c r="AP85" s="63">
        <f t="shared" si="72"/>
        <v>47.151028587673871</v>
      </c>
      <c r="AQ85" s="63">
        <f t="shared" si="73"/>
        <v>822.91190880118245</v>
      </c>
      <c r="AR85" s="63">
        <f t="shared" si="74"/>
        <v>50</v>
      </c>
      <c r="AS85" s="63">
        <f t="shared" si="75"/>
        <v>58.307066945577688</v>
      </c>
      <c r="AT85" s="63">
        <f t="shared" si="76"/>
        <v>19.490423337282508</v>
      </c>
      <c r="AV85" s="257">
        <f t="shared" si="91"/>
        <v>82</v>
      </c>
      <c r="AW85" s="202">
        <f t="shared" si="92"/>
        <v>2237</v>
      </c>
      <c r="AY85" s="257">
        <f t="shared" si="77"/>
        <v>66.993319681932604</v>
      </c>
      <c r="AZ85" s="257">
        <f t="shared" si="78"/>
        <v>261.57765858733154</v>
      </c>
      <c r="BA85" s="257">
        <f t="shared" si="79"/>
        <v>328.57097826926417</v>
      </c>
      <c r="BB85" s="53" t="e">
        <f t="shared" si="53"/>
        <v>#NUM!</v>
      </c>
      <c r="BC85" s="198" t="e">
        <f t="shared" si="80"/>
        <v>#NUM!</v>
      </c>
      <c r="BD85" s="211">
        <f t="shared" si="81"/>
        <v>2.682556720013978E+16</v>
      </c>
      <c r="BE85" s="257" t="e">
        <f t="shared" si="82"/>
        <v>#NUM!</v>
      </c>
      <c r="BF85" s="4" t="e">
        <f t="shared" si="54"/>
        <v>#NUM!</v>
      </c>
      <c r="BG85" s="4" t="e">
        <f t="shared" si="83"/>
        <v>#NUM!</v>
      </c>
      <c r="BH85" s="4" t="e">
        <f t="shared" si="84"/>
        <v>#NUM!</v>
      </c>
      <c r="BI85" s="4" t="e">
        <f t="shared" si="85"/>
        <v>#NUM!</v>
      </c>
      <c r="BJ85" t="e">
        <f t="shared" si="86"/>
        <v>#NUM!</v>
      </c>
      <c r="BK85" t="e">
        <f t="shared" si="87"/>
        <v>#NUM!</v>
      </c>
      <c r="BM85" s="40"/>
    </row>
    <row r="86" spans="15:65">
      <c r="O86" s="252">
        <f t="shared" si="88"/>
        <v>83</v>
      </c>
      <c r="P86" s="138">
        <f t="shared" si="55"/>
        <v>31.05</v>
      </c>
      <c r="Q86" s="146"/>
      <c r="R86" s="56">
        <f t="shared" si="56"/>
        <v>29.841232090251978</v>
      </c>
      <c r="S86" s="56">
        <f t="shared" si="57"/>
        <v>59.682464180503956</v>
      </c>
      <c r="T86" s="56">
        <f t="shared" si="58"/>
        <v>3.6307493514245168</v>
      </c>
      <c r="U86" s="56">
        <f t="shared" si="59"/>
        <v>33.471981441676498</v>
      </c>
      <c r="V86" s="56">
        <f t="shared" si="60"/>
        <v>63.313213531928476</v>
      </c>
      <c r="W86" s="154">
        <f t="shared" si="50"/>
        <v>119.60290763106705</v>
      </c>
      <c r="X86" s="149">
        <f t="shared" si="61"/>
        <v>0.70693112164579086</v>
      </c>
      <c r="Y86" s="162">
        <f t="shared" si="62"/>
        <v>47.162744761674972</v>
      </c>
      <c r="Z86" s="4">
        <f t="shared" si="89"/>
        <v>47.151028587673991</v>
      </c>
      <c r="AA86" s="4">
        <f t="shared" si="63"/>
        <v>50.012424091639232</v>
      </c>
      <c r="AB86" s="4">
        <f t="shared" si="64"/>
        <v>1464.4032248500087</v>
      </c>
      <c r="AC86" s="14">
        <f t="shared" si="65"/>
        <v>119.60290763106704</v>
      </c>
      <c r="AE86" s="252">
        <f t="shared" si="49"/>
        <v>83</v>
      </c>
      <c r="AF86" s="202">
        <f t="shared" si="90"/>
        <v>257</v>
      </c>
      <c r="AH86">
        <f t="shared" si="66"/>
        <v>48.19866246662589</v>
      </c>
      <c r="AI86">
        <f t="shared" si="67"/>
        <v>30.051612989246401</v>
      </c>
      <c r="AJ86" s="40">
        <f t="shared" si="68"/>
        <v>78.250275455872298</v>
      </c>
      <c r="AK86" s="88">
        <f t="shared" si="51"/>
        <v>94.824613616871247</v>
      </c>
      <c r="AL86" s="199">
        <f t="shared" si="69"/>
        <v>4.0781425336639907E-2</v>
      </c>
      <c r="AM86" s="213">
        <f t="shared" si="70"/>
        <v>8175.4896448678155</v>
      </c>
      <c r="AN86">
        <f t="shared" si="71"/>
        <v>471.51028587673875</v>
      </c>
      <c r="AO86" s="215">
        <f t="shared" si="52"/>
        <v>817.54896448678016</v>
      </c>
      <c r="AP86" s="63">
        <f t="shared" si="72"/>
        <v>47.151028587673792</v>
      </c>
      <c r="AQ86" s="63">
        <f t="shared" si="73"/>
        <v>866.9471154447981</v>
      </c>
      <c r="AR86" s="63">
        <f t="shared" si="74"/>
        <v>50</v>
      </c>
      <c r="AS86" s="63">
        <f t="shared" si="75"/>
        <v>58.759852118589812</v>
      </c>
      <c r="AT86" s="63">
        <f t="shared" si="76"/>
        <v>19.490423337282486</v>
      </c>
      <c r="AV86" s="257">
        <f t="shared" si="91"/>
        <v>83</v>
      </c>
      <c r="AW86" s="202">
        <f t="shared" si="92"/>
        <v>2264</v>
      </c>
      <c r="AY86" s="257">
        <f t="shared" si="77"/>
        <v>67.097528450324674</v>
      </c>
      <c r="AZ86" s="257">
        <f t="shared" si="78"/>
        <v>264.73483193639629</v>
      </c>
      <c r="BA86" s="257">
        <f t="shared" si="79"/>
        <v>331.83236038672095</v>
      </c>
      <c r="BB86" s="53" t="e">
        <f t="shared" si="53"/>
        <v>#NUM!</v>
      </c>
      <c r="BC86" s="198" t="e">
        <f t="shared" si="80"/>
        <v>#NUM!</v>
      </c>
      <c r="BD86" s="211">
        <f t="shared" si="81"/>
        <v>3.904972855573248E+16</v>
      </c>
      <c r="BE86" s="257" t="e">
        <f t="shared" si="82"/>
        <v>#NUM!</v>
      </c>
      <c r="BF86" s="4" t="e">
        <f t="shared" si="54"/>
        <v>#NUM!</v>
      </c>
      <c r="BG86" s="4" t="e">
        <f t="shared" si="83"/>
        <v>#NUM!</v>
      </c>
      <c r="BH86" s="4" t="e">
        <f t="shared" si="84"/>
        <v>#NUM!</v>
      </c>
      <c r="BI86" s="4" t="e">
        <f t="shared" si="85"/>
        <v>#NUM!</v>
      </c>
      <c r="BJ86" t="e">
        <f t="shared" si="86"/>
        <v>#NUM!</v>
      </c>
      <c r="BK86" t="e">
        <f t="shared" si="87"/>
        <v>#NUM!</v>
      </c>
      <c r="BM86" s="40"/>
    </row>
    <row r="87" spans="15:65">
      <c r="O87" s="252">
        <f t="shared" si="88"/>
        <v>84</v>
      </c>
      <c r="P87" s="138">
        <f t="shared" si="55"/>
        <v>31.425000000000001</v>
      </c>
      <c r="Q87" s="146"/>
      <c r="R87" s="56">
        <f t="shared" si="56"/>
        <v>29.945505727159908</v>
      </c>
      <c r="S87" s="56">
        <f t="shared" si="57"/>
        <v>59.891011454319816</v>
      </c>
      <c r="T87" s="56">
        <f t="shared" si="58"/>
        <v>3.6745989812726387</v>
      </c>
      <c r="U87" s="56">
        <f t="shared" si="59"/>
        <v>33.62010470843255</v>
      </c>
      <c r="V87" s="56">
        <f t="shared" si="60"/>
        <v>63.565610435592454</v>
      </c>
      <c r="W87" s="154">
        <f t="shared" si="50"/>
        <v>119.45478436431098</v>
      </c>
      <c r="X87" s="149">
        <f t="shared" si="61"/>
        <v>0.69497780961112343</v>
      </c>
      <c r="Y87" s="162">
        <f t="shared" si="62"/>
        <v>47.973923186009173</v>
      </c>
      <c r="Z87" s="4">
        <f t="shared" si="89"/>
        <v>47.151028587673856</v>
      </c>
      <c r="AA87" s="4">
        <f t="shared" si="63"/>
        <v>50.872615744538038</v>
      </c>
      <c r="AB87" s="4">
        <f t="shared" si="64"/>
        <v>1507.580536120339</v>
      </c>
      <c r="AC87" s="14">
        <f t="shared" si="65"/>
        <v>119.45478436431101</v>
      </c>
      <c r="AE87" s="252">
        <f t="shared" si="49"/>
        <v>84</v>
      </c>
      <c r="AF87" s="202">
        <f t="shared" si="90"/>
        <v>260</v>
      </c>
      <c r="AH87">
        <f t="shared" si="66"/>
        <v>48.299466959416357</v>
      </c>
      <c r="AI87">
        <f t="shared" si="67"/>
        <v>30.40241002803138</v>
      </c>
      <c r="AJ87" s="40">
        <f t="shared" si="68"/>
        <v>78.701876987447733</v>
      </c>
      <c r="AK87" s="88">
        <f t="shared" si="51"/>
        <v>94.373012085295798</v>
      </c>
      <c r="AL87" s="199">
        <f t="shared" si="69"/>
        <v>3.8715272818702226E-2</v>
      </c>
      <c r="AM87" s="213">
        <f t="shared" si="70"/>
        <v>8611.7982973786275</v>
      </c>
      <c r="AN87">
        <f t="shared" si="71"/>
        <v>471.51028587673778</v>
      </c>
      <c r="AO87" s="215">
        <f t="shared" si="52"/>
        <v>861.17982973786127</v>
      </c>
      <c r="AP87" s="63">
        <f t="shared" si="72"/>
        <v>47.1510285876737</v>
      </c>
      <c r="AQ87" s="63">
        <f t="shared" si="73"/>
        <v>913.21425590595959</v>
      </c>
      <c r="AR87" s="63">
        <f t="shared" si="74"/>
        <v>50</v>
      </c>
      <c r="AS87" s="63">
        <f t="shared" si="75"/>
        <v>59.211453650165254</v>
      </c>
      <c r="AT87" s="63">
        <f t="shared" si="76"/>
        <v>19.490423337282479</v>
      </c>
      <c r="AV87" s="257">
        <f t="shared" si="91"/>
        <v>84</v>
      </c>
      <c r="AW87" s="202">
        <f t="shared" si="92"/>
        <v>2291</v>
      </c>
      <c r="AY87" s="257">
        <f t="shared" si="77"/>
        <v>67.200501783787956</v>
      </c>
      <c r="AZ87" s="257">
        <f t="shared" si="78"/>
        <v>267.8920052854611</v>
      </c>
      <c r="BA87" s="257">
        <f t="shared" si="79"/>
        <v>335.09250706924905</v>
      </c>
      <c r="BB87" s="53" t="e">
        <f t="shared" si="53"/>
        <v>#NUM!</v>
      </c>
      <c r="BC87" s="198" t="e">
        <f t="shared" si="80"/>
        <v>#NUM!</v>
      </c>
      <c r="BD87" s="211">
        <f t="shared" si="81"/>
        <v>5.6836241831796664E+16</v>
      </c>
      <c r="BE87" s="257" t="e">
        <f t="shared" si="82"/>
        <v>#NUM!</v>
      </c>
      <c r="BF87" s="4" t="e">
        <f t="shared" si="54"/>
        <v>#NUM!</v>
      </c>
      <c r="BG87" s="4" t="e">
        <f t="shared" si="83"/>
        <v>#NUM!</v>
      </c>
      <c r="BH87" s="4" t="e">
        <f t="shared" si="84"/>
        <v>#NUM!</v>
      </c>
      <c r="BI87" s="4" t="e">
        <f t="shared" si="85"/>
        <v>#NUM!</v>
      </c>
      <c r="BJ87" t="e">
        <f t="shared" si="86"/>
        <v>#NUM!</v>
      </c>
      <c r="BK87" t="e">
        <f t="shared" si="87"/>
        <v>#NUM!</v>
      </c>
      <c r="BM87" s="40"/>
    </row>
    <row r="88" spans="15:65">
      <c r="O88" s="139">
        <f t="shared" si="88"/>
        <v>85</v>
      </c>
      <c r="P88" s="346">
        <f t="shared" si="55"/>
        <v>31.8</v>
      </c>
      <c r="Q88" s="347"/>
      <c r="R88" s="348">
        <f t="shared" si="56"/>
        <v>30.048542399688657</v>
      </c>
      <c r="S88" s="348">
        <f t="shared" si="57"/>
        <v>60.097084799377313</v>
      </c>
      <c r="T88" s="348">
        <f t="shared" si="58"/>
        <v>3.7184486111207611</v>
      </c>
      <c r="U88" s="348">
        <f t="shared" si="59"/>
        <v>33.76699101080942</v>
      </c>
      <c r="V88" s="348">
        <f t="shared" si="60"/>
        <v>63.815533410498077</v>
      </c>
      <c r="W88" s="349">
        <f t="shared" si="50"/>
        <v>119.30789806193413</v>
      </c>
      <c r="X88" s="350">
        <f t="shared" si="61"/>
        <v>0.68332391874772214</v>
      </c>
      <c r="Y88" s="351">
        <f t="shared" si="62"/>
        <v>48.792104504941491</v>
      </c>
      <c r="Z88" s="352">
        <f t="shared" si="89"/>
        <v>47.151028587673949</v>
      </c>
      <c r="AA88" s="352">
        <f t="shared" si="63"/>
        <v>51.740233422709117</v>
      </c>
      <c r="AB88" s="352">
        <f t="shared" si="64"/>
        <v>1551.5889232571406</v>
      </c>
      <c r="AC88" s="14">
        <f t="shared" si="65"/>
        <v>119.30789806193413</v>
      </c>
      <c r="AE88" s="252">
        <f t="shared" si="49"/>
        <v>85</v>
      </c>
      <c r="AF88" s="202">
        <f t="shared" si="90"/>
        <v>263</v>
      </c>
      <c r="AH88">
        <f t="shared" si="66"/>
        <v>48.399114969795164</v>
      </c>
      <c r="AI88">
        <f t="shared" si="67"/>
        <v>30.753207066816358</v>
      </c>
      <c r="AJ88" s="40">
        <f t="shared" si="68"/>
        <v>79.152322036611523</v>
      </c>
      <c r="AK88" s="88">
        <f t="shared" si="51"/>
        <v>93.922567036132037</v>
      </c>
      <c r="AL88" s="199">
        <f t="shared" si="69"/>
        <v>3.6758693881699805E-2</v>
      </c>
      <c r="AM88" s="213">
        <f t="shared" si="70"/>
        <v>9070.1840934733609</v>
      </c>
      <c r="AN88">
        <f t="shared" si="71"/>
        <v>471.51028587673954</v>
      </c>
      <c r="AO88" s="215">
        <f t="shared" si="52"/>
        <v>907.01840934733445</v>
      </c>
      <c r="AP88" s="63">
        <f t="shared" si="72"/>
        <v>47.151028587673871</v>
      </c>
      <c r="AQ88" s="63">
        <f t="shared" si="73"/>
        <v>961.8225058026045</v>
      </c>
      <c r="AR88" s="63">
        <f t="shared" si="74"/>
        <v>50</v>
      </c>
      <c r="AS88" s="63">
        <f t="shared" si="75"/>
        <v>59.661898699329029</v>
      </c>
      <c r="AT88" s="63">
        <f t="shared" si="76"/>
        <v>19.490423337282493</v>
      </c>
      <c r="AV88" s="257">
        <f t="shared" si="91"/>
        <v>85</v>
      </c>
      <c r="AW88" s="202">
        <f t="shared" si="92"/>
        <v>2318</v>
      </c>
      <c r="AY88" s="257">
        <f t="shared" si="77"/>
        <v>67.302268632551545</v>
      </c>
      <c r="AZ88" s="257">
        <f t="shared" si="78"/>
        <v>271.0491786345259</v>
      </c>
      <c r="BA88" s="257">
        <f t="shared" si="79"/>
        <v>338.35144726707745</v>
      </c>
      <c r="BB88" s="53" t="e">
        <f t="shared" si="53"/>
        <v>#NUM!</v>
      </c>
      <c r="BC88" s="198" t="e">
        <f t="shared" si="80"/>
        <v>#NUM!</v>
      </c>
      <c r="BD88" s="211">
        <f t="shared" si="81"/>
        <v>8.2712731533936032E+16</v>
      </c>
      <c r="BE88" s="257" t="e">
        <f t="shared" si="82"/>
        <v>#NUM!</v>
      </c>
      <c r="BF88" s="4" t="e">
        <f t="shared" si="54"/>
        <v>#NUM!</v>
      </c>
      <c r="BG88" s="4" t="e">
        <f t="shared" si="83"/>
        <v>#NUM!</v>
      </c>
      <c r="BH88" s="4" t="e">
        <f t="shared" si="84"/>
        <v>#NUM!</v>
      </c>
      <c r="BI88" s="4" t="e">
        <f t="shared" si="85"/>
        <v>#NUM!</v>
      </c>
      <c r="BJ88" t="e">
        <f t="shared" si="86"/>
        <v>#NUM!</v>
      </c>
      <c r="BK88" t="e">
        <f t="shared" si="87"/>
        <v>#NUM!</v>
      </c>
      <c r="BM88" s="40"/>
    </row>
    <row r="89" spans="15:65">
      <c r="O89" s="252">
        <f t="shared" si="88"/>
        <v>86</v>
      </c>
      <c r="P89" s="138">
        <f t="shared" ref="P89" si="93">P88+$J$45</f>
        <v>32.174999999999997</v>
      </c>
      <c r="Q89" s="146"/>
      <c r="R89" s="56">
        <f t="shared" ref="R89:R94" si="94">20*LOG(P89)</f>
        <v>30.150371111528486</v>
      </c>
      <c r="S89" s="56">
        <f t="shared" si="57"/>
        <v>60.300742223056972</v>
      </c>
      <c r="T89" s="56">
        <f t="shared" ref="T89:T94" si="95">2*$J$6*(P89/1000)</f>
        <v>3.7622982409688825</v>
      </c>
      <c r="U89" s="56">
        <f t="shared" ref="U89:U94" si="96">R89+T89</f>
        <v>33.912669352497367</v>
      </c>
      <c r="V89" s="56">
        <f t="shared" si="60"/>
        <v>64.06304046402586</v>
      </c>
      <c r="W89" s="154">
        <f t="shared" ref="W89:W94" si="97">$Q$4-(R89+T89)+$Q$8+$Q$10</f>
        <v>119.16221972024617</v>
      </c>
      <c r="X89" s="149">
        <f t="shared" ref="X89:X94" si="98">POWER(10,(W89+$D$16)*0.05)*1000</f>
        <v>0.67195889266991327</v>
      </c>
      <c r="Y89" s="162">
        <f t="shared" ref="Y89:Y94" si="99">POWER(10,0.05*U89)</f>
        <v>49.617338825282843</v>
      </c>
      <c r="Z89" s="4">
        <f t="shared" ref="Z89:Z94" si="100">X89*POWER(2,0.5)*Y89</f>
        <v>47.151028587673871</v>
      </c>
      <c r="AA89" s="4">
        <f t="shared" ref="AA89:AA94" si="101">Y89*(50/$Z$4)</f>
        <v>52.615330260529838</v>
      </c>
      <c r="AB89" s="4">
        <f t="shared" si="64"/>
        <v>1596.4378767034761</v>
      </c>
      <c r="AE89" s="252">
        <f t="shared" si="49"/>
        <v>86</v>
      </c>
      <c r="AF89" s="202">
        <f t="shared" si="90"/>
        <v>266</v>
      </c>
      <c r="AH89">
        <f t="shared" si="66"/>
        <v>48.497632732621341</v>
      </c>
      <c r="AI89">
        <f t="shared" si="67"/>
        <v>31.104004105601334</v>
      </c>
      <c r="AJ89" s="40">
        <f t="shared" si="68"/>
        <v>79.601636838222674</v>
      </c>
      <c r="AK89" s="88">
        <f t="shared" si="51"/>
        <v>93.473252234520871</v>
      </c>
      <c r="AL89" s="199">
        <f t="shared" si="69"/>
        <v>3.4905537619871349E-2</v>
      </c>
      <c r="AM89" s="213">
        <f t="shared" si="70"/>
        <v>9551.7256938865885</v>
      </c>
      <c r="AN89">
        <f t="shared" si="71"/>
        <v>471.51028587673949</v>
      </c>
      <c r="AO89" s="215">
        <f t="shared" si="52"/>
        <v>955.17256938865717</v>
      </c>
      <c r="AP89" s="63">
        <f t="shared" si="72"/>
        <v>47.151028587673864</v>
      </c>
      <c r="AQ89" s="63">
        <f t="shared" si="73"/>
        <v>1012.8862487194571</v>
      </c>
      <c r="AR89" s="63">
        <f t="shared" si="74"/>
        <v>50.000000000000007</v>
      </c>
      <c r="AS89" s="63">
        <f t="shared" si="75"/>
        <v>60.111213500940181</v>
      </c>
      <c r="AT89" s="63">
        <f t="shared" si="76"/>
        <v>19.490423337282493</v>
      </c>
      <c r="AV89" s="257">
        <f t="shared" si="91"/>
        <v>86</v>
      </c>
      <c r="AW89" s="202">
        <f t="shared" si="92"/>
        <v>2345</v>
      </c>
      <c r="AY89" s="257">
        <f t="shared" si="77"/>
        <v>67.402856941022037</v>
      </c>
      <c r="AZ89" s="257">
        <f t="shared" si="78"/>
        <v>274.20635198359071</v>
      </c>
      <c r="BA89" s="257">
        <f t="shared" si="79"/>
        <v>341.60920892461274</v>
      </c>
      <c r="BB89" s="53" t="e">
        <f t="shared" si="53"/>
        <v>#NUM!</v>
      </c>
      <c r="BC89" s="198" t="e">
        <f t="shared" si="80"/>
        <v>#NUM!</v>
      </c>
      <c r="BD89" s="211">
        <f t="shared" si="81"/>
        <v>1.2035397713079208E+17</v>
      </c>
      <c r="BE89" s="257" t="e">
        <f t="shared" si="82"/>
        <v>#NUM!</v>
      </c>
      <c r="BF89" s="4" t="e">
        <f t="shared" si="54"/>
        <v>#NUM!</v>
      </c>
      <c r="BG89" s="4" t="e">
        <f t="shared" si="83"/>
        <v>#NUM!</v>
      </c>
      <c r="BH89" s="4" t="e">
        <f t="shared" si="84"/>
        <v>#NUM!</v>
      </c>
      <c r="BI89" s="4" t="e">
        <f t="shared" si="85"/>
        <v>#NUM!</v>
      </c>
      <c r="BJ89" t="e">
        <f t="shared" si="86"/>
        <v>#NUM!</v>
      </c>
      <c r="BK89" t="e">
        <f t="shared" si="87"/>
        <v>#NUM!</v>
      </c>
    </row>
    <row r="90" spans="15:65">
      <c r="O90" s="252">
        <f t="shared" si="88"/>
        <v>87</v>
      </c>
      <c r="P90" s="138">
        <f t="shared" ref="P90" si="102">P89+$J$45</f>
        <v>32.549999999999997</v>
      </c>
      <c r="Q90" s="146"/>
      <c r="R90" s="56">
        <f t="shared" si="94"/>
        <v>30.251019858084213</v>
      </c>
      <c r="S90" s="56">
        <f t="shared" si="57"/>
        <v>60.502039716168426</v>
      </c>
      <c r="T90" s="56">
        <f t="shared" si="95"/>
        <v>3.8061478708170049</v>
      </c>
      <c r="U90" s="56">
        <f t="shared" si="96"/>
        <v>34.05716772890122</v>
      </c>
      <c r="V90" s="56">
        <f t="shared" si="60"/>
        <v>64.308187586985426</v>
      </c>
      <c r="W90" s="154">
        <f t="shared" si="97"/>
        <v>119.01772134384233</v>
      </c>
      <c r="X90" s="149">
        <f t="shared" si="98"/>
        <v>0.66087266189503902</v>
      </c>
      <c r="Y90" s="162">
        <f t="shared" si="99"/>
        <v>50.449676581659268</v>
      </c>
      <c r="Z90" s="4">
        <f t="shared" si="100"/>
        <v>47.151028587673899</v>
      </c>
      <c r="AA90" s="4">
        <f t="shared" si="101"/>
        <v>53.497959739999999</v>
      </c>
      <c r="AB90" s="4">
        <f t="shared" si="64"/>
        <v>1642.136972733008</v>
      </c>
      <c r="AE90" s="252">
        <f t="shared" si="49"/>
        <v>87</v>
      </c>
      <c r="AF90" s="202">
        <f t="shared" ref="AF90:AF95" si="103">AF89+$J$46</f>
        <v>269</v>
      </c>
      <c r="AH90">
        <f t="shared" ref="AH90:AH95" si="104">20*LOG(AF90)</f>
        <v>48.595045600048159</v>
      </c>
      <c r="AI90">
        <f t="shared" ref="AI90:AI95" si="105">2*$J$6*(AF90/1000)</f>
        <v>31.454801144386312</v>
      </c>
      <c r="AJ90" s="40">
        <f t="shared" ref="AJ90:AJ95" si="106">AH90+AI90</f>
        <v>80.049846744434475</v>
      </c>
      <c r="AK90" s="88">
        <f t="shared" ref="AK90:AK94" si="107">$AG$4-(AH90+AI90)+$Q$8+$Q$10</f>
        <v>93.025042328309056</v>
      </c>
      <c r="AL90" s="199">
        <f t="shared" ref="AL90:AL95" si="108">POWER(10,(AK90+$D$16)*0.05)*1000</f>
        <v>3.3150023159171475E-2</v>
      </c>
      <c r="AM90" s="213">
        <f t="shared" ref="AM90:AM95" si="109">POWER(10,0.05*AJ90)</f>
        <v>10057.553170981932</v>
      </c>
      <c r="AN90">
        <f t="shared" ref="AN90:AN95" si="110">AL90*POWER(2,0.5)*AM90</f>
        <v>471.51028587673869</v>
      </c>
      <c r="AO90" s="215">
        <f t="shared" ref="AO90:AO94" si="111">AM90*($Z$4/$AN$4)</f>
        <v>1005.7553170981914</v>
      </c>
      <c r="AP90" s="63">
        <f t="shared" ref="AP90:AP95" si="112">AL90*POWER(2,0.5)*AO90</f>
        <v>47.151028587673792</v>
      </c>
      <c r="AQ90" s="63">
        <f t="shared" ref="AQ90:AQ95" si="113">AM90*(50/AN90)</f>
        <v>1066.5253200447846</v>
      </c>
      <c r="AR90" s="63">
        <f t="shared" ref="AR90:AR95" si="114">AL90*POWER(2,0.5)*AQ90</f>
        <v>50.000000000000007</v>
      </c>
      <c r="AS90" s="63">
        <f t="shared" ref="AS90:AS95" si="115">20*LOG10(AQ90)</f>
        <v>60.559423407151989</v>
      </c>
      <c r="AT90" s="63">
        <f t="shared" ref="AT90:AT95" si="116">AJ90-AS90</f>
        <v>19.490423337282486</v>
      </c>
    </row>
    <row r="91" spans="15:65">
      <c r="O91" s="252">
        <f t="shared" si="88"/>
        <v>88</v>
      </c>
      <c r="P91" s="138">
        <f t="shared" ref="P91" si="117">P90+$J$45</f>
        <v>32.924999999999997</v>
      </c>
      <c r="Q91" s="146"/>
      <c r="R91" s="56">
        <f t="shared" si="94"/>
        <v>30.35051567267643</v>
      </c>
      <c r="S91" s="56">
        <f t="shared" si="57"/>
        <v>60.70103134535286</v>
      </c>
      <c r="T91" s="56">
        <f t="shared" si="95"/>
        <v>3.8499975006651268</v>
      </c>
      <c r="U91" s="56">
        <f t="shared" si="96"/>
        <v>34.200513173341555</v>
      </c>
      <c r="V91" s="56">
        <f t="shared" si="60"/>
        <v>64.551028846017985</v>
      </c>
      <c r="W91" s="154">
        <f t="shared" si="97"/>
        <v>118.87437589940198</v>
      </c>
      <c r="X91" s="149">
        <f t="shared" si="98"/>
        <v>0.65005561611332341</v>
      </c>
      <c r="Y91" s="162">
        <f t="shared" si="99"/>
        <v>51.289168538546555</v>
      </c>
      <c r="Z91" s="4">
        <f t="shared" si="100"/>
        <v>47.151028587673892</v>
      </c>
      <c r="AA91" s="4">
        <f t="shared" si="101"/>
        <v>54.388175692899431</v>
      </c>
      <c r="AB91" s="4">
        <f t="shared" si="64"/>
        <v>1688.6958741316462</v>
      </c>
      <c r="AE91" s="252">
        <f t="shared" si="49"/>
        <v>88</v>
      </c>
      <c r="AF91" s="202">
        <f t="shared" si="103"/>
        <v>272</v>
      </c>
      <c r="AH91">
        <f t="shared" si="104"/>
        <v>48.691378080683975</v>
      </c>
      <c r="AI91">
        <f t="shared" si="105"/>
        <v>31.805598183171291</v>
      </c>
      <c r="AJ91" s="40">
        <f t="shared" si="106"/>
        <v>80.49697626385526</v>
      </c>
      <c r="AK91" s="88">
        <f t="shared" si="107"/>
        <v>92.577912808888286</v>
      </c>
      <c r="AL91" s="199">
        <f t="shared" si="108"/>
        <v>3.1486715507137726E-2</v>
      </c>
      <c r="AM91" s="213">
        <f t="shared" si="109"/>
        <v>10588.850414298347</v>
      </c>
      <c r="AN91">
        <f t="shared" si="110"/>
        <v>471.51028587673869</v>
      </c>
      <c r="AO91" s="215">
        <f t="shared" si="111"/>
        <v>1058.8850414298329</v>
      </c>
      <c r="AP91" s="63">
        <f t="shared" si="112"/>
        <v>47.151028587673785</v>
      </c>
      <c r="AQ91" s="63">
        <f t="shared" si="113"/>
        <v>1122.8652620598891</v>
      </c>
      <c r="AR91" s="63">
        <f t="shared" si="114"/>
        <v>50</v>
      </c>
      <c r="AS91" s="63">
        <f t="shared" si="115"/>
        <v>61.00655292657278</v>
      </c>
      <c r="AT91" s="63">
        <f t="shared" si="116"/>
        <v>19.490423337282479</v>
      </c>
    </row>
    <row r="92" spans="15:65">
      <c r="O92" s="252">
        <f t="shared" si="88"/>
        <v>89</v>
      </c>
      <c r="P92" s="138">
        <f t="shared" ref="P92" si="118">P91+$J$45</f>
        <v>33.299999999999997</v>
      </c>
      <c r="Q92" s="146"/>
      <c r="R92" s="56">
        <f t="shared" si="94"/>
        <v>30.448884670126397</v>
      </c>
      <c r="S92" s="56">
        <f t="shared" si="57"/>
        <v>60.897769340252793</v>
      </c>
      <c r="T92" s="56">
        <f t="shared" si="95"/>
        <v>3.8938471305132492</v>
      </c>
      <c r="U92" s="56">
        <f t="shared" si="96"/>
        <v>34.342731800639648</v>
      </c>
      <c r="V92" s="56">
        <f t="shared" si="60"/>
        <v>64.791616470766044</v>
      </c>
      <c r="W92" s="154">
        <f t="shared" si="97"/>
        <v>118.73215727210389</v>
      </c>
      <c r="X92" s="149">
        <f t="shared" si="98"/>
        <v>0.63949857833142809</v>
      </c>
      <c r="Y92" s="162">
        <f t="shared" si="99"/>
        <v>52.135865792317162</v>
      </c>
      <c r="Z92" s="4">
        <f t="shared" si="100"/>
        <v>47.151028587673878</v>
      </c>
      <c r="AA92" s="4">
        <f t="shared" si="101"/>
        <v>55.286032302958567</v>
      </c>
      <c r="AB92" s="4">
        <f t="shared" si="64"/>
        <v>1736.1243308841636</v>
      </c>
      <c r="AE92" s="252">
        <f t="shared" si="49"/>
        <v>89</v>
      </c>
      <c r="AF92" s="202">
        <f t="shared" si="103"/>
        <v>275</v>
      </c>
      <c r="AH92">
        <f t="shared" si="104"/>
        <v>48.786653876605257</v>
      </c>
      <c r="AI92">
        <f t="shared" si="105"/>
        <v>32.156395221956267</v>
      </c>
      <c r="AJ92" s="40">
        <f t="shared" si="106"/>
        <v>80.943049098561517</v>
      </c>
      <c r="AK92" s="88">
        <f t="shared" si="107"/>
        <v>92.131839974182029</v>
      </c>
      <c r="AL92" s="199">
        <f t="shared" si="108"/>
        <v>2.9910503130071556E-2</v>
      </c>
      <c r="AM92" s="213">
        <f t="shared" si="109"/>
        <v>11146.857647053312</v>
      </c>
      <c r="AN92">
        <f t="shared" si="110"/>
        <v>471.5102858767396</v>
      </c>
      <c r="AO92" s="215">
        <f t="shared" si="111"/>
        <v>1114.6857647053291</v>
      </c>
      <c r="AP92" s="63">
        <f t="shared" si="112"/>
        <v>47.151028587673878</v>
      </c>
      <c r="AQ92" s="63">
        <f t="shared" si="113"/>
        <v>1182.0375907947086</v>
      </c>
      <c r="AR92" s="63">
        <f t="shared" si="114"/>
        <v>50.000000000000007</v>
      </c>
      <c r="AS92" s="63">
        <f t="shared" si="115"/>
        <v>61.452625761279023</v>
      </c>
      <c r="AT92" s="63">
        <f t="shared" si="116"/>
        <v>19.490423337282493</v>
      </c>
    </row>
    <row r="93" spans="15:65">
      <c r="O93" s="252">
        <f t="shared" si="88"/>
        <v>90</v>
      </c>
      <c r="P93" s="138">
        <f t="shared" ref="P93" si="119">P92+$J$45</f>
        <v>33.674999999999997</v>
      </c>
      <c r="Q93" s="146"/>
      <c r="R93" s="56">
        <f t="shared" si="94"/>
        <v>30.546152087900463</v>
      </c>
      <c r="S93" s="56">
        <f t="shared" si="57"/>
        <v>61.092304175800926</v>
      </c>
      <c r="T93" s="56">
        <f t="shared" si="95"/>
        <v>3.9376967603613715</v>
      </c>
      <c r="U93" s="56">
        <f t="shared" si="96"/>
        <v>34.483848848261836</v>
      </c>
      <c r="V93" s="56">
        <f t="shared" si="60"/>
        <v>65.030000936162295</v>
      </c>
      <c r="W93" s="154">
        <f t="shared" si="97"/>
        <v>118.59104022448172</v>
      </c>
      <c r="X93" s="149">
        <f t="shared" si="98"/>
        <v>0.62919278074360829</v>
      </c>
      <c r="Y93" s="162">
        <f t="shared" si="99"/>
        <v>52.989819773299601</v>
      </c>
      <c r="Z93" s="4">
        <f t="shared" si="100"/>
        <v>47.151028587673963</v>
      </c>
      <c r="AA93" s="4">
        <f t="shared" si="101"/>
        <v>56.191584108042285</v>
      </c>
      <c r="AB93" s="4">
        <f t="shared" si="64"/>
        <v>1784.4321808658638</v>
      </c>
      <c r="AE93" s="252">
        <f t="shared" si="49"/>
        <v>90</v>
      </c>
      <c r="AF93" s="202">
        <f t="shared" si="103"/>
        <v>278</v>
      </c>
      <c r="AH93">
        <f t="shared" si="104"/>
        <v>48.880895918361524</v>
      </c>
      <c r="AI93">
        <f t="shared" si="105"/>
        <v>32.507192260741249</v>
      </c>
      <c r="AJ93" s="40">
        <f t="shared" si="106"/>
        <v>81.388088179102766</v>
      </c>
      <c r="AK93" s="88">
        <f t="shared" si="107"/>
        <v>91.686800893640779</v>
      </c>
      <c r="AL93" s="199">
        <f t="shared" si="108"/>
        <v>2.8416577121314398E-2</v>
      </c>
      <c r="AM93" s="213">
        <f t="shared" si="109"/>
        <v>11732.874058662434</v>
      </c>
      <c r="AN93">
        <f t="shared" si="110"/>
        <v>471.51028587673954</v>
      </c>
      <c r="AO93" s="215">
        <f t="shared" si="111"/>
        <v>1173.2874058662412</v>
      </c>
      <c r="AP93" s="63">
        <f t="shared" si="112"/>
        <v>47.151028587673871</v>
      </c>
      <c r="AQ93" s="63">
        <f t="shared" si="113"/>
        <v>1244.1800751860583</v>
      </c>
      <c r="AR93" s="63">
        <f t="shared" si="114"/>
        <v>50</v>
      </c>
      <c r="AS93" s="63">
        <f t="shared" si="115"/>
        <v>61.897664841820273</v>
      </c>
      <c r="AT93" s="63">
        <f t="shared" si="116"/>
        <v>19.490423337282493</v>
      </c>
    </row>
    <row r="94" spans="15:65">
      <c r="O94" s="252">
        <f t="shared" si="88"/>
        <v>91</v>
      </c>
      <c r="P94" s="138">
        <f t="shared" ref="P94" si="120">P93+$J$45</f>
        <v>34.049999999999997</v>
      </c>
      <c r="Q94" s="146"/>
      <c r="R94" s="56">
        <f t="shared" si="94"/>
        <v>30.642342324976077</v>
      </c>
      <c r="S94" s="56">
        <f t="shared" si="57"/>
        <v>61.284684649952155</v>
      </c>
      <c r="T94" s="56">
        <f t="shared" si="95"/>
        <v>3.9815463902094939</v>
      </c>
      <c r="U94" s="56">
        <f t="shared" si="96"/>
        <v>34.623888715185572</v>
      </c>
      <c r="V94" s="56">
        <f t="shared" si="60"/>
        <v>65.266231040161642</v>
      </c>
      <c r="W94" s="154">
        <f t="shared" si="97"/>
        <v>118.45100035755799</v>
      </c>
      <c r="X94" s="149">
        <f t="shared" si="98"/>
        <v>0.6191298421972995</v>
      </c>
      <c r="Y94" s="162">
        <f t="shared" si="99"/>
        <v>53.851082247849838</v>
      </c>
      <c r="Z94" s="4">
        <f t="shared" si="100"/>
        <v>47.151028587674034</v>
      </c>
      <c r="AA94" s="4">
        <f t="shared" si="101"/>
        <v>57.10488600234644</v>
      </c>
      <c r="AB94" s="4">
        <f t="shared" si="64"/>
        <v>1833.6293505392857</v>
      </c>
      <c r="AE94" s="252">
        <f t="shared" si="49"/>
        <v>91</v>
      </c>
      <c r="AF94" s="202">
        <f t="shared" si="103"/>
        <v>281</v>
      </c>
      <c r="AH94">
        <f t="shared" si="104"/>
        <v>48.974126398101596</v>
      </c>
      <c r="AI94">
        <f t="shared" si="105"/>
        <v>32.857989299526224</v>
      </c>
      <c r="AJ94" s="40">
        <f t="shared" si="106"/>
        <v>81.832115697627813</v>
      </c>
      <c r="AK94" s="88">
        <f t="shared" si="107"/>
        <v>91.242773375115732</v>
      </c>
      <c r="AL94" s="199">
        <f t="shared" si="108"/>
        <v>2.7000411836257315E-2</v>
      </c>
      <c r="AM94" s="213">
        <f t="shared" si="109"/>
        <v>12348.260558564345</v>
      </c>
      <c r="AN94">
        <f t="shared" si="110"/>
        <v>471.51028587673954</v>
      </c>
      <c r="AO94" s="215">
        <f t="shared" si="111"/>
        <v>1234.8260558564323</v>
      </c>
      <c r="AP94" s="63">
        <f t="shared" si="112"/>
        <v>47.151028587673871</v>
      </c>
      <c r="AQ94" s="63">
        <f t="shared" si="113"/>
        <v>1309.4370290993377</v>
      </c>
      <c r="AR94" s="63">
        <f t="shared" si="114"/>
        <v>50</v>
      </c>
      <c r="AS94" s="63">
        <f t="shared" si="115"/>
        <v>62.341692360345313</v>
      </c>
      <c r="AT94" s="63">
        <f t="shared" si="116"/>
        <v>19.4904233372825</v>
      </c>
    </row>
    <row r="95" spans="15:65">
      <c r="O95" s="252">
        <f t="shared" si="88"/>
        <v>92</v>
      </c>
      <c r="P95" s="138">
        <f t="shared" ref="P95" si="121">P94+$J$45</f>
        <v>34.424999999999997</v>
      </c>
      <c r="Q95" s="146"/>
      <c r="R95" s="56">
        <f t="shared" ref="R95:R103" si="122">20*LOG(P95)</f>
        <v>30.737478978579226</v>
      </c>
      <c r="S95" s="56">
        <f t="shared" si="57"/>
        <v>61.474957957158452</v>
      </c>
      <c r="T95" s="56">
        <f t="shared" ref="T95:T103" si="123">2*$J$6*(P95/1000)</f>
        <v>4.0253960200576158</v>
      </c>
      <c r="U95" s="56">
        <f t="shared" ref="U95:U103" si="124">R95+T95</f>
        <v>34.762874998636839</v>
      </c>
      <c r="V95" s="56">
        <f t="shared" si="60"/>
        <v>65.500353977216065</v>
      </c>
      <c r="W95" s="154">
        <f t="shared" ref="W95:W103" si="125">$Q$4-(R95+T95)+$Q$8+$Q$10</f>
        <v>118.3120140741067</v>
      </c>
      <c r="X95" s="149">
        <f t="shared" ref="X95:X103" si="126">POWER(10,(W95+$D$16)*0.05)*1000</f>
        <v>0.60930174713155394</v>
      </c>
      <c r="Y95" s="162">
        <f t="shared" ref="Y95:Y103" si="127">POWER(10,0.05*U95)</f>
        <v>54.719705320435231</v>
      </c>
      <c r="Z95" s="4">
        <f t="shared" ref="Z95:Z103" si="128">X95*POWER(2,0.5)*Y95</f>
        <v>47.151028587673899</v>
      </c>
      <c r="AA95" s="4">
        <f t="shared" ref="AA95:AA103" si="129">Y95*(50/$Z$4)</f>
        <v>58.025993238607739</v>
      </c>
      <c r="AB95" s="4">
        <f t="shared" si="64"/>
        <v>1883.7258556559848</v>
      </c>
      <c r="AE95" s="252">
        <f t="shared" si="49"/>
        <v>92</v>
      </c>
      <c r="AF95" s="202">
        <f t="shared" si="103"/>
        <v>284</v>
      </c>
      <c r="AH95">
        <f t="shared" si="104"/>
        <v>49.066366800940749</v>
      </c>
      <c r="AI95">
        <f t="shared" si="105"/>
        <v>33.208786338311192</v>
      </c>
      <c r="AJ95" s="40">
        <f t="shared" si="106"/>
        <v>82.275153139251941</v>
      </c>
      <c r="AK95" s="88">
        <f>$AG$4-(AH95+AI95)+$Q$8+$Q$10</f>
        <v>90.799735933491618</v>
      </c>
      <c r="AL95" s="199">
        <f t="shared" si="108"/>
        <v>2.5657746880446489E-2</v>
      </c>
      <c r="AM95" s="213">
        <f t="shared" si="109"/>
        <v>12994.442656877893</v>
      </c>
      <c r="AN95">
        <f t="shared" si="110"/>
        <v>471.51028587673875</v>
      </c>
      <c r="AO95" s="215">
        <f>AM95*($Z$4/$AN$4)</f>
        <v>1299.444265687787</v>
      </c>
      <c r="AP95" s="63">
        <f t="shared" si="112"/>
        <v>47.151028587673792</v>
      </c>
      <c r="AQ95" s="63">
        <f t="shared" si="113"/>
        <v>1377.9596167998416</v>
      </c>
      <c r="AR95" s="63">
        <f t="shared" si="114"/>
        <v>50.000000000000007</v>
      </c>
      <c r="AS95" s="63">
        <f t="shared" si="115"/>
        <v>62.784729801969448</v>
      </c>
      <c r="AT95" s="63">
        <f t="shared" si="116"/>
        <v>19.490423337282493</v>
      </c>
    </row>
    <row r="96" spans="15:65">
      <c r="O96" s="252">
        <f t="shared" si="88"/>
        <v>93</v>
      </c>
      <c r="P96" s="138">
        <f t="shared" ref="P96" si="130">P95+$J$45</f>
        <v>34.799999999999997</v>
      </c>
      <c r="Q96" s="146"/>
      <c r="R96" s="56">
        <f t="shared" si="122"/>
        <v>30.831584878931618</v>
      </c>
      <c r="S96" s="56">
        <f t="shared" si="57"/>
        <v>61.663169757863237</v>
      </c>
      <c r="T96" s="56">
        <f t="shared" si="123"/>
        <v>4.0692456499057377</v>
      </c>
      <c r="U96" s="56">
        <f t="shared" si="124"/>
        <v>34.900830528837353</v>
      </c>
      <c r="V96" s="56">
        <f t="shared" si="60"/>
        <v>65.732415407768968</v>
      </c>
      <c r="W96" s="154">
        <f t="shared" si="125"/>
        <v>118.17405854390618</v>
      </c>
      <c r="X96" s="149">
        <f t="shared" si="126"/>
        <v>0.59970082587723006</v>
      </c>
      <c r="Y96" s="162">
        <f t="shared" si="127"/>
        <v>55.595741435731206</v>
      </c>
      <c r="Z96" s="4">
        <f t="shared" si="128"/>
        <v>47.151028587673856</v>
      </c>
      <c r="AA96" s="4">
        <f t="shared" si="129"/>
        <v>58.954961430327089</v>
      </c>
      <c r="AB96" s="4">
        <f t="shared" si="64"/>
        <v>1934.7318019634477</v>
      </c>
      <c r="AE96" s="252">
        <f t="shared" si="49"/>
        <v>93</v>
      </c>
      <c r="AF96" s="202">
        <f t="shared" ref="AF96:AF98" si="131">AF95+$J$46</f>
        <v>287</v>
      </c>
      <c r="AH96">
        <f t="shared" ref="AH96:AH98" si="132">20*LOG(AF96)</f>
        <v>49.157637934679848</v>
      </c>
      <c r="AI96">
        <f t="shared" ref="AI96:AI98" si="133">2*$J$6*(AF96/1000)</f>
        <v>33.559583377096175</v>
      </c>
      <c r="AJ96" s="40">
        <f t="shared" ref="AJ96:AJ98" si="134">AH96+AI96</f>
        <v>82.717221311776029</v>
      </c>
      <c r="AK96" s="88">
        <f t="shared" ref="AK96:AK98" si="135">$AG$4-(AH96+AI96)+$Q$8+$Q$10</f>
        <v>90.357667760967516</v>
      </c>
      <c r="AL96" s="199">
        <f t="shared" ref="AL96:AL98" si="136">POWER(10,(AK96+$D$16)*0.05)*1000</f>
        <v>2.4384570346853197E-2</v>
      </c>
      <c r="AM96" s="213">
        <f t="shared" ref="AM96:AM98" si="137">POWER(10,0.05*AJ96)</f>
        <v>13672.913477668697</v>
      </c>
      <c r="AN96">
        <f t="shared" ref="AN96:AN98" si="138">AL96*POWER(2,0.5)*AM96</f>
        <v>471.51028587673869</v>
      </c>
      <c r="AO96" s="215">
        <f t="shared" ref="AO96:AO98" si="139">AM96*($Z$4/$AN$4)</f>
        <v>1367.2913477668674</v>
      </c>
      <c r="AP96" s="63">
        <f t="shared" ref="AP96:AP98" si="140">AL96*POWER(2,0.5)*AO96</f>
        <v>47.151028587673792</v>
      </c>
      <c r="AQ96" s="63">
        <f t="shared" ref="AQ96:AQ98" si="141">AM96*(50/AN96)</f>
        <v>1449.9061724862397</v>
      </c>
      <c r="AR96" s="63">
        <f t="shared" ref="AR96:AR98" si="142">AL96*POWER(2,0.5)*AQ96</f>
        <v>50.000000000000007</v>
      </c>
      <c r="AS96" s="63">
        <f t="shared" ref="AS96:AS98" si="143">20*LOG10(AQ96)</f>
        <v>63.226797974493536</v>
      </c>
      <c r="AT96" s="63">
        <f t="shared" ref="AT96:AT98" si="144">AJ96-AS96</f>
        <v>19.490423337282493</v>
      </c>
    </row>
    <row r="97" spans="15:46">
      <c r="O97" s="252">
        <f t="shared" si="88"/>
        <v>94</v>
      </c>
      <c r="P97" s="138">
        <f t="shared" ref="P97" si="145">P96+$J$45</f>
        <v>35.174999999999997</v>
      </c>
      <c r="Q97" s="146"/>
      <c r="R97" s="56">
        <f t="shared" si="122"/>
        <v>30.924682122135664</v>
      </c>
      <c r="S97" s="56">
        <f t="shared" si="57"/>
        <v>61.849364244271328</v>
      </c>
      <c r="T97" s="56">
        <f t="shared" si="123"/>
        <v>4.1130952797538605</v>
      </c>
      <c r="U97" s="56">
        <f t="shared" si="124"/>
        <v>35.037777401889528</v>
      </c>
      <c r="V97" s="56">
        <f t="shared" si="60"/>
        <v>65.962459524025192</v>
      </c>
      <c r="W97" s="154">
        <f t="shared" si="125"/>
        <v>118.03711167085403</v>
      </c>
      <c r="X97" s="149">
        <f t="shared" si="126"/>
        <v>0.59031973621729561</v>
      </c>
      <c r="Y97" s="162">
        <f t="shared" si="127"/>
        <v>56.479243380730097</v>
      </c>
      <c r="Z97" s="4">
        <f t="shared" si="128"/>
        <v>47.151028587673977</v>
      </c>
      <c r="AA97" s="4">
        <f t="shared" si="129"/>
        <v>59.891846554005866</v>
      </c>
      <c r="AB97" s="4">
        <f t="shared" si="64"/>
        <v>1986.6573859171808</v>
      </c>
      <c r="AE97" s="252">
        <f t="shared" si="49"/>
        <v>94</v>
      </c>
      <c r="AF97" s="202">
        <f t="shared" si="131"/>
        <v>290</v>
      </c>
      <c r="AH97">
        <f t="shared" si="132"/>
        <v>49.24795995797912</v>
      </c>
      <c r="AI97">
        <f t="shared" si="133"/>
        <v>33.91038041588115</v>
      </c>
      <c r="AJ97" s="40">
        <f t="shared" si="134"/>
        <v>83.15834037386027</v>
      </c>
      <c r="AK97" s="88">
        <f t="shared" si="135"/>
        <v>89.916548698883275</v>
      </c>
      <c r="AL97" s="199">
        <f t="shared" si="136"/>
        <v>2.317710320716989E-2</v>
      </c>
      <c r="AM97" s="213">
        <f t="shared" si="137"/>
        <v>14385.236910862481</v>
      </c>
      <c r="AN97">
        <f t="shared" si="138"/>
        <v>471.51028587673864</v>
      </c>
      <c r="AO97" s="215">
        <f t="shared" si="139"/>
        <v>1438.5236910862457</v>
      </c>
      <c r="AP97" s="63">
        <f t="shared" si="140"/>
        <v>47.151028587673785</v>
      </c>
      <c r="AQ97" s="63">
        <f t="shared" si="141"/>
        <v>1525.4425345264942</v>
      </c>
      <c r="AR97" s="63">
        <f t="shared" si="142"/>
        <v>50</v>
      </c>
      <c r="AS97" s="63">
        <f t="shared" si="143"/>
        <v>63.667917036577784</v>
      </c>
      <c r="AT97" s="63">
        <f t="shared" si="144"/>
        <v>19.490423337282486</v>
      </c>
    </row>
    <row r="98" spans="15:46">
      <c r="O98" s="252">
        <f t="shared" si="88"/>
        <v>95</v>
      </c>
      <c r="P98" s="138">
        <f t="shared" ref="P98" si="146">P97+$J$45</f>
        <v>35.549999999999997</v>
      </c>
      <c r="Q98" s="146"/>
      <c r="R98" s="56">
        <f t="shared" si="122"/>
        <v>31.016792101315701</v>
      </c>
      <c r="S98" s="56">
        <f t="shared" si="57"/>
        <v>62.033584202631403</v>
      </c>
      <c r="T98" s="56">
        <f t="shared" si="123"/>
        <v>4.1569449096019824</v>
      </c>
      <c r="U98" s="56">
        <f t="shared" si="124"/>
        <v>35.173737010917684</v>
      </c>
      <c r="V98" s="56">
        <f t="shared" si="60"/>
        <v>66.190529112233378</v>
      </c>
      <c r="W98" s="154">
        <f t="shared" si="125"/>
        <v>117.90115206182587</v>
      </c>
      <c r="X98" s="149">
        <f t="shared" si="126"/>
        <v>0.58115144611421554</v>
      </c>
      <c r="Y98" s="162">
        <f t="shared" si="127"/>
        <v>57.370264286862771</v>
      </c>
      <c r="Z98" s="4">
        <f t="shared" si="128"/>
        <v>47.151028587673984</v>
      </c>
      <c r="AA98" s="4">
        <f t="shared" si="129"/>
        <v>60.836704951395745</v>
      </c>
      <c r="AB98" s="4">
        <f t="shared" si="64"/>
        <v>2039.5128953979702</v>
      </c>
      <c r="AE98" s="252">
        <f t="shared" si="49"/>
        <v>95</v>
      </c>
      <c r="AF98" s="202">
        <f t="shared" si="131"/>
        <v>293</v>
      </c>
      <c r="AH98">
        <f t="shared" si="132"/>
        <v>49.337352407082193</v>
      </c>
      <c r="AI98">
        <f t="shared" si="133"/>
        <v>34.261177454666125</v>
      </c>
      <c r="AJ98" s="40">
        <f t="shared" si="134"/>
        <v>83.598529861748318</v>
      </c>
      <c r="AK98" s="88">
        <f t="shared" si="135"/>
        <v>89.476359210995227</v>
      </c>
      <c r="AL98" s="199">
        <f t="shared" si="136"/>
        <v>2.2031784769970596E-2</v>
      </c>
      <c r="AM98" s="213">
        <f t="shared" si="137"/>
        <v>15133.050909115935</v>
      </c>
      <c r="AN98">
        <f t="shared" si="138"/>
        <v>471.51028587673954</v>
      </c>
      <c r="AO98" s="215">
        <f t="shared" si="139"/>
        <v>1513.3050909115909</v>
      </c>
      <c r="AP98" s="63">
        <f t="shared" si="140"/>
        <v>47.151028587673878</v>
      </c>
      <c r="AQ98" s="63">
        <f t="shared" si="141"/>
        <v>1604.7423950653708</v>
      </c>
      <c r="AR98" s="63">
        <f t="shared" si="142"/>
        <v>50</v>
      </c>
      <c r="AS98" s="63">
        <f t="shared" si="143"/>
        <v>64.108106524465825</v>
      </c>
      <c r="AT98" s="63">
        <f t="shared" si="144"/>
        <v>19.490423337282493</v>
      </c>
    </row>
    <row r="99" spans="15:46">
      <c r="O99" s="252">
        <f t="shared" si="88"/>
        <v>96</v>
      </c>
      <c r="P99" s="138">
        <f t="shared" ref="P99" si="147">P98+$J$45</f>
        <v>35.924999999999997</v>
      </c>
      <c r="Q99" s="146"/>
      <c r="R99" s="56">
        <f t="shared" si="122"/>
        <v>31.107935536125268</v>
      </c>
      <c r="S99" s="56">
        <f t="shared" si="57"/>
        <v>62.215871072250536</v>
      </c>
      <c r="T99" s="56">
        <f t="shared" si="123"/>
        <v>4.2007945394501052</v>
      </c>
      <c r="U99" s="56">
        <f t="shared" si="124"/>
        <v>35.308730075575376</v>
      </c>
      <c r="V99" s="56">
        <f t="shared" si="60"/>
        <v>66.416665611700637</v>
      </c>
      <c r="W99" s="154">
        <f t="shared" si="125"/>
        <v>117.76615899716818</v>
      </c>
      <c r="X99" s="149">
        <f t="shared" si="126"/>
        <v>0.57218921751915075</v>
      </c>
      <c r="Y99" s="162">
        <f t="shared" si="127"/>
        <v>58.268857632133049</v>
      </c>
      <c r="Z99" s="4">
        <f t="shared" si="128"/>
        <v>47.151028587673949</v>
      </c>
      <c r="AA99" s="4">
        <f t="shared" si="129"/>
        <v>61.789593331762049</v>
      </c>
      <c r="AB99" s="4">
        <f t="shared" si="64"/>
        <v>2093.3087104343808</v>
      </c>
    </row>
    <row r="100" spans="15:46">
      <c r="O100" s="252">
        <f t="shared" si="88"/>
        <v>97</v>
      </c>
      <c r="P100" s="138">
        <f t="shared" ref="P100" si="148">P99+$J$45</f>
        <v>36.299999999999997</v>
      </c>
      <c r="Q100" s="146"/>
      <c r="R100" s="56">
        <f t="shared" si="122"/>
        <v>31.198132500722249</v>
      </c>
      <c r="S100" s="56">
        <f t="shared" si="57"/>
        <v>62.396265001444497</v>
      </c>
      <c r="T100" s="56">
        <f t="shared" si="123"/>
        <v>4.2446441692982271</v>
      </c>
      <c r="U100" s="56">
        <f t="shared" si="124"/>
        <v>35.442776670020478</v>
      </c>
      <c r="V100" s="56">
        <f t="shared" si="60"/>
        <v>66.640909170742731</v>
      </c>
      <c r="W100" s="154">
        <f t="shared" si="125"/>
        <v>117.63211240272308</v>
      </c>
      <c r="X100" s="149">
        <f t="shared" si="126"/>
        <v>0.56342659118471661</v>
      </c>
      <c r="Y100" s="162">
        <f t="shared" si="127"/>
        <v>59.175077243264887</v>
      </c>
      <c r="Z100" s="4">
        <f t="shared" si="128"/>
        <v>47.151028587673984</v>
      </c>
      <c r="AA100" s="4">
        <f t="shared" si="129"/>
        <v>62.750568774160712</v>
      </c>
      <c r="AB100" s="4">
        <f t="shared" si="64"/>
        <v>2148.0553039305164</v>
      </c>
    </row>
    <row r="101" spans="15:46">
      <c r="O101" s="252">
        <f t="shared" si="88"/>
        <v>98</v>
      </c>
      <c r="P101" s="138">
        <f t="shared" ref="P101" si="149">P100+$J$45</f>
        <v>36.674999999999997</v>
      </c>
      <c r="Q101" s="146"/>
      <c r="R101" s="56">
        <f t="shared" si="122"/>
        <v>31.287402450306402</v>
      </c>
      <c r="S101" s="56">
        <f t="shared" si="57"/>
        <v>62.574804900612804</v>
      </c>
      <c r="T101" s="56">
        <f t="shared" si="123"/>
        <v>4.288493799146349</v>
      </c>
      <c r="U101" s="56">
        <f t="shared" si="124"/>
        <v>35.575896249452754</v>
      </c>
      <c r="V101" s="56">
        <f t="shared" si="60"/>
        <v>66.863298699759156</v>
      </c>
      <c r="W101" s="154">
        <f t="shared" si="125"/>
        <v>117.49899282329081</v>
      </c>
      <c r="X101" s="149">
        <f t="shared" si="126"/>
        <v>0.55485737240948396</v>
      </c>
      <c r="Y101" s="162">
        <f t="shared" si="127"/>
        <v>60.08897729786235</v>
      </c>
      <c r="Z101" s="4">
        <f t="shared" si="128"/>
        <v>47.151028587673991</v>
      </c>
      <c r="AA101" s="4">
        <f t="shared" si="129"/>
        <v>63.719688729728738</v>
      </c>
      <c r="AB101" s="4">
        <f t="shared" si="64"/>
        <v>2203.7632423991022</v>
      </c>
    </row>
    <row r="102" spans="15:46">
      <c r="O102" s="252">
        <f t="shared" si="88"/>
        <v>99</v>
      </c>
      <c r="P102" s="138">
        <f t="shared" ref="P102" si="150">P101+$J$45</f>
        <v>37.049999999999997</v>
      </c>
      <c r="Q102" s="146"/>
      <c r="R102" s="56">
        <f t="shared" si="122"/>
        <v>31.375764246306939</v>
      </c>
      <c r="S102" s="56">
        <f t="shared" si="57"/>
        <v>62.751528492613879</v>
      </c>
      <c r="T102" s="56">
        <f t="shared" si="123"/>
        <v>4.3323434289944718</v>
      </c>
      <c r="U102" s="56">
        <f t="shared" si="124"/>
        <v>35.708107675301413</v>
      </c>
      <c r="V102" s="56">
        <f t="shared" si="60"/>
        <v>67.083871921608349</v>
      </c>
      <c r="W102" s="154">
        <f t="shared" si="125"/>
        <v>117.36678139744213</v>
      </c>
      <c r="X102" s="149">
        <f t="shared" si="126"/>
        <v>0.54647561764821473</v>
      </c>
      <c r="Y102" s="162">
        <f t="shared" si="127"/>
        <v>61.010612326582539</v>
      </c>
      <c r="Z102" s="4">
        <f t="shared" si="128"/>
        <v>47.151028587673906</v>
      </c>
      <c r="AA102" s="4">
        <f t="shared" si="129"/>
        <v>64.697011023988424</v>
      </c>
      <c r="AB102" s="4">
        <f t="shared" si="64"/>
        <v>2260.4431866998816</v>
      </c>
    </row>
    <row r="103" spans="15:46">
      <c r="O103" s="252">
        <f t="shared" si="88"/>
        <v>100</v>
      </c>
      <c r="P103" s="138">
        <f t="shared" ref="P103" si="151">P102+$J$45</f>
        <v>37.424999999999997</v>
      </c>
      <c r="Q103" s="146"/>
      <c r="R103" s="56">
        <f t="shared" si="122"/>
        <v>31.463236180301799</v>
      </c>
      <c r="S103" s="56">
        <f t="shared" si="57"/>
        <v>62.926472360603597</v>
      </c>
      <c r="T103" s="56">
        <f t="shared" si="123"/>
        <v>4.3761930588425937</v>
      </c>
      <c r="U103" s="56">
        <f t="shared" si="124"/>
        <v>35.839429239144394</v>
      </c>
      <c r="V103" s="56">
        <f t="shared" si="60"/>
        <v>67.302665419446186</v>
      </c>
      <c r="W103" s="154">
        <f t="shared" si="125"/>
        <v>117.23545983359914</v>
      </c>
      <c r="X103" s="149">
        <f t="shared" si="126"/>
        <v>0.53827562192710177</v>
      </c>
      <c r="Y103" s="162">
        <f t="shared" si="127"/>
        <v>61.940037215321333</v>
      </c>
      <c r="Z103" s="4">
        <f t="shared" si="128"/>
        <v>47.151028587673821</v>
      </c>
      <c r="AA103" s="4">
        <f t="shared" si="129"/>
        <v>65.682593859165181</v>
      </c>
      <c r="AB103" s="4">
        <f t="shared" si="64"/>
        <v>2318.105892783401</v>
      </c>
    </row>
    <row r="104" spans="15:46">
      <c r="O104" s="252">
        <f t="shared" si="88"/>
        <v>101</v>
      </c>
      <c r="P104" s="138">
        <f t="shared" ref="P104" si="152">P103+$J$45</f>
        <v>37.799999999999997</v>
      </c>
      <c r="Q104" s="146"/>
      <c r="R104" s="56">
        <f t="shared" ref="R104:R116" si="153">20*LOG(P104)</f>
        <v>31.549835996744505</v>
      </c>
      <c r="S104" s="56">
        <f t="shared" si="57"/>
        <v>63.099671993489011</v>
      </c>
      <c r="T104" s="56">
        <f t="shared" ref="T104:T116" si="154">2*$J$6*(P104/1000)</f>
        <v>4.4200426886907156</v>
      </c>
      <c r="U104" s="56">
        <f t="shared" ref="U104:U116" si="155">R104+T104</f>
        <v>35.969878685435219</v>
      </c>
      <c r="V104" s="56">
        <f t="shared" si="60"/>
        <v>67.519714682179725</v>
      </c>
      <c r="W104" s="154">
        <f t="shared" ref="W104:W116" si="156">$Q$4-(R104+T104)+$Q$8+$Q$10</f>
        <v>117.10501038730833</v>
      </c>
      <c r="X104" s="149">
        <f t="shared" ref="X104:X116" si="157">POWER(10,(W104+$D$16)*0.05)*1000</f>
        <v>0.53025190700810365</v>
      </c>
      <c r="Y104" s="162">
        <f t="shared" ref="Y104:Y116" si="158">POWER(10,0.05*U104)</f>
        <v>62.87730720741272</v>
      </c>
      <c r="Z104" s="4">
        <f t="shared" ref="Z104:Z116" si="159">X104*POWER(2,0.5)*Y104</f>
        <v>47.151028587673899</v>
      </c>
      <c r="AA104" s="4">
        <f t="shared" ref="AA104:AA116" si="160">Y104*(50/$Z$4)</f>
        <v>66.676495816519733</v>
      </c>
      <c r="AB104" s="4">
        <f t="shared" si="64"/>
        <v>2376.7622124402033</v>
      </c>
    </row>
    <row r="105" spans="15:46">
      <c r="O105" s="252">
        <f t="shared" si="88"/>
        <v>102</v>
      </c>
      <c r="P105" s="138">
        <f t="shared" ref="P105" si="161">P104+$J$45</f>
        <v>38.174999999999997</v>
      </c>
      <c r="Q105" s="146"/>
      <c r="R105" s="56">
        <f t="shared" si="153"/>
        <v>31.635580914569175</v>
      </c>
      <c r="S105" s="56">
        <f t="shared" si="57"/>
        <v>63.27116182913835</v>
      </c>
      <c r="T105" s="56">
        <f t="shared" si="154"/>
        <v>4.4638923185388384</v>
      </c>
      <c r="U105" s="56">
        <f t="shared" si="155"/>
        <v>36.099473233108014</v>
      </c>
      <c r="V105" s="56">
        <f t="shared" si="60"/>
        <v>67.735054147677189</v>
      </c>
      <c r="W105" s="154">
        <f t="shared" si="156"/>
        <v>116.97541583963552</v>
      </c>
      <c r="X105" s="149">
        <f t="shared" si="157"/>
        <v>0.52239921025087011</v>
      </c>
      <c r="Y105" s="162">
        <f t="shared" si="158"/>
        <v>63.822477905841005</v>
      </c>
      <c r="Z105" s="4">
        <f t="shared" si="159"/>
        <v>47.151028587673864</v>
      </c>
      <c r="AA105" s="4">
        <f t="shared" si="160"/>
        <v>67.67877585869401</v>
      </c>
      <c r="AB105" s="4">
        <f t="shared" si="64"/>
        <v>2436.4230940554794</v>
      </c>
    </row>
    <row r="106" spans="15:46">
      <c r="O106" s="252">
        <f t="shared" si="88"/>
        <v>103</v>
      </c>
      <c r="P106" s="138">
        <f t="shared" ref="P106" si="162">P105+$J$45</f>
        <v>38.549999999999997</v>
      </c>
      <c r="Q106" s="146"/>
      <c r="R106" s="56">
        <f t="shared" si="153"/>
        <v>31.720487647739514</v>
      </c>
      <c r="S106" s="56">
        <f t="shared" si="57"/>
        <v>63.440975295479028</v>
      </c>
      <c r="T106" s="56">
        <f t="shared" si="154"/>
        <v>4.5077419483869594</v>
      </c>
      <c r="U106" s="56">
        <f t="shared" si="155"/>
        <v>36.228229596126475</v>
      </c>
      <c r="V106" s="56">
        <f t="shared" si="60"/>
        <v>67.948717243865985</v>
      </c>
      <c r="W106" s="154">
        <f t="shared" si="156"/>
        <v>116.84665947661706</v>
      </c>
      <c r="X106" s="149">
        <f t="shared" si="157"/>
        <v>0.51471247412477872</v>
      </c>
      <c r="Y106" s="162">
        <f t="shared" si="158"/>
        <v>64.775605275465622</v>
      </c>
      <c r="Z106" s="4">
        <f t="shared" si="159"/>
        <v>47.151028587673906</v>
      </c>
      <c r="AA106" s="4">
        <f t="shared" si="160"/>
        <v>68.689493332070384</v>
      </c>
      <c r="AB106" s="4">
        <f t="shared" si="64"/>
        <v>2497.0995833692004</v>
      </c>
    </row>
    <row r="107" spans="15:46">
      <c r="O107" s="252">
        <f t="shared" si="88"/>
        <v>104</v>
      </c>
      <c r="P107" s="138">
        <f t="shared" ref="P107" si="163">P106+$J$45</f>
        <v>38.924999999999997</v>
      </c>
      <c r="Q107" s="146"/>
      <c r="R107" s="56">
        <f t="shared" si="153"/>
        <v>31.804572424803158</v>
      </c>
      <c r="S107" s="56">
        <f t="shared" si="57"/>
        <v>63.609144849606317</v>
      </c>
      <c r="T107" s="56">
        <f t="shared" si="154"/>
        <v>4.5515915782350813</v>
      </c>
      <c r="U107" s="56">
        <f t="shared" si="155"/>
        <v>36.356164003038238</v>
      </c>
      <c r="V107" s="56">
        <f t="shared" si="60"/>
        <v>68.1607364278414</v>
      </c>
      <c r="W107" s="154">
        <f t="shared" si="156"/>
        <v>116.71872506970531</v>
      </c>
      <c r="X107" s="149">
        <f t="shared" si="157"/>
        <v>0.50718683632719108</v>
      </c>
      <c r="Y107" s="162">
        <f t="shared" si="158"/>
        <v>65.736745645260655</v>
      </c>
      <c r="Z107" s="4">
        <f t="shared" si="159"/>
        <v>47.151028587673949</v>
      </c>
      <c r="AA107" s="4">
        <f t="shared" si="160"/>
        <v>69.708707969146502</v>
      </c>
      <c r="AB107" s="4">
        <f t="shared" si="64"/>
        <v>2558.8028242417727</v>
      </c>
    </row>
    <row r="108" spans="15:46">
      <c r="O108" s="252">
        <f t="shared" si="88"/>
        <v>105</v>
      </c>
      <c r="P108" s="138">
        <f t="shared" ref="P108" si="164">P107+$J$45</f>
        <v>39.299999999999997</v>
      </c>
      <c r="Q108" s="146"/>
      <c r="R108" s="56">
        <f t="shared" si="153"/>
        <v>31.88785100750853</v>
      </c>
      <c r="S108" s="56">
        <f t="shared" si="57"/>
        <v>63.77570201501706</v>
      </c>
      <c r="T108" s="56">
        <f t="shared" si="154"/>
        <v>4.5954412080832041</v>
      </c>
      <c r="U108" s="56">
        <f t="shared" si="155"/>
        <v>36.483292215591732</v>
      </c>
      <c r="V108" s="56">
        <f t="shared" si="60"/>
        <v>68.371143223100262</v>
      </c>
      <c r="W108" s="154">
        <f t="shared" si="156"/>
        <v>116.5915968571518</v>
      </c>
      <c r="X108" s="149">
        <f t="shared" si="157"/>
        <v>0.49981762046748779</v>
      </c>
      <c r="Y108" s="162">
        <f t="shared" si="158"/>
        <v>66.705955710566386</v>
      </c>
      <c r="Z108" s="4">
        <f t="shared" si="159"/>
        <v>47.151028587673821</v>
      </c>
      <c r="AA108" s="4">
        <f t="shared" si="160"/>
        <v>70.73647989092288</v>
      </c>
      <c r="AB108" s="4">
        <f t="shared" si="64"/>
        <v>2621.5440594252582</v>
      </c>
    </row>
    <row r="109" spans="15:46">
      <c r="O109" s="252">
        <f t="shared" si="88"/>
        <v>106</v>
      </c>
      <c r="P109" s="138">
        <f t="shared" ref="P109" si="165">P108+$J$45</f>
        <v>39.674999999999997</v>
      </c>
      <c r="Q109" s="146"/>
      <c r="R109" s="56">
        <f t="shared" si="153"/>
        <v>31.970338708537717</v>
      </c>
      <c r="S109" s="56">
        <f t="shared" si="57"/>
        <v>63.940677417075435</v>
      </c>
      <c r="T109" s="56">
        <f t="shared" si="154"/>
        <v>4.639290837931326</v>
      </c>
      <c r="U109" s="56">
        <f t="shared" si="155"/>
        <v>36.609629546469044</v>
      </c>
      <c r="V109" s="56">
        <f t="shared" si="60"/>
        <v>68.579968255006762</v>
      </c>
      <c r="W109" s="154">
        <f t="shared" si="156"/>
        <v>116.46525952627449</v>
      </c>
      <c r="X109" s="149">
        <f t="shared" si="157"/>
        <v>0.49260032727942299</v>
      </c>
      <c r="Y109" s="162">
        <f t="shared" si="158"/>
        <v>67.683292535355349</v>
      </c>
      <c r="Z109" s="4">
        <f t="shared" si="159"/>
        <v>47.151028587673899</v>
      </c>
      <c r="AA109" s="4">
        <f t="shared" si="160"/>
        <v>71.772869609305872</v>
      </c>
      <c r="AB109" s="4">
        <f t="shared" si="64"/>
        <v>2685.3346313402258</v>
      </c>
    </row>
    <row r="110" spans="15:46">
      <c r="O110" s="252">
        <f t="shared" si="88"/>
        <v>107</v>
      </c>
      <c r="P110" s="138">
        <f t="shared" ref="P110" si="166">P109+$J$45</f>
        <v>40.049999999999997</v>
      </c>
      <c r="Q110" s="146"/>
      <c r="R110" s="56">
        <f t="shared" si="153"/>
        <v>32.05205040840513</v>
      </c>
      <c r="S110" s="56">
        <f t="shared" si="57"/>
        <v>64.104100816810259</v>
      </c>
      <c r="T110" s="56">
        <f t="shared" si="154"/>
        <v>4.6831404677794479</v>
      </c>
      <c r="U110" s="56">
        <f t="shared" si="155"/>
        <v>36.735190876184575</v>
      </c>
      <c r="V110" s="56">
        <f t="shared" si="60"/>
        <v>68.787241284589712</v>
      </c>
      <c r="W110" s="154">
        <f t="shared" si="156"/>
        <v>116.33969819655898</v>
      </c>
      <c r="X110" s="149">
        <f t="shared" si="157"/>
        <v>0.48553062632716609</v>
      </c>
      <c r="Y110" s="162">
        <f t="shared" si="158"/>
        <v>68.66881355451082</v>
      </c>
      <c r="Z110" s="4">
        <f t="shared" si="159"/>
        <v>47.151028587673984</v>
      </c>
      <c r="AA110" s="4">
        <f t="shared" si="160"/>
        <v>72.817938029523873</v>
      </c>
      <c r="AB110" s="4">
        <f t="shared" si="64"/>
        <v>2750.1859828581637</v>
      </c>
    </row>
    <row r="111" spans="15:46">
      <c r="O111" s="252">
        <f t="shared" si="88"/>
        <v>108</v>
      </c>
      <c r="P111" s="138">
        <f t="shared" ref="P111" si="167">P110+$J$45</f>
        <v>40.424999999999997</v>
      </c>
      <c r="Q111" s="146"/>
      <c r="R111" s="56">
        <f t="shared" si="153"/>
        <v>32.133000571568772</v>
      </c>
      <c r="S111" s="56">
        <f t="shared" si="57"/>
        <v>64.266001143137544</v>
      </c>
      <c r="T111" s="56">
        <f t="shared" si="154"/>
        <v>4.7269900976275707</v>
      </c>
      <c r="U111" s="56">
        <f t="shared" si="155"/>
        <v>36.859990669196343</v>
      </c>
      <c r="V111" s="56">
        <f t="shared" si="60"/>
        <v>68.992991240765122</v>
      </c>
      <c r="W111" s="154">
        <f t="shared" si="156"/>
        <v>116.2148984035472</v>
      </c>
      <c r="X111" s="149">
        <f t="shared" si="157"/>
        <v>0.47860434817298791</v>
      </c>
      <c r="Y111" s="162">
        <f t="shared" si="158"/>
        <v>69.662576576120429</v>
      </c>
      <c r="Z111" s="4">
        <f t="shared" si="159"/>
        <v>47.151028587673899</v>
      </c>
      <c r="AA111" s="4">
        <f t="shared" si="160"/>
        <v>73.871746452559407</v>
      </c>
      <c r="AB111" s="4">
        <f t="shared" si="64"/>
        <v>2816.1096580896692</v>
      </c>
    </row>
    <row r="112" spans="15:46">
      <c r="O112" s="252">
        <f t="shared" si="88"/>
        <v>109</v>
      </c>
      <c r="P112" s="138">
        <f t="shared" ref="P112" si="168">P111+$J$45</f>
        <v>40.799999999999997</v>
      </c>
      <c r="Q112" s="146"/>
      <c r="R112" s="56">
        <f t="shared" si="153"/>
        <v>32.213203261797602</v>
      </c>
      <c r="S112" s="56">
        <f t="shared" si="57"/>
        <v>64.426406523595205</v>
      </c>
      <c r="T112" s="56">
        <f t="shared" si="154"/>
        <v>4.7708397274756926</v>
      </c>
      <c r="U112" s="56">
        <f t="shared" si="155"/>
        <v>36.984042989273291</v>
      </c>
      <c r="V112" s="56">
        <f t="shared" si="60"/>
        <v>69.197246251070894</v>
      </c>
      <c r="W112" s="154">
        <f t="shared" si="156"/>
        <v>116.09084608347025</v>
      </c>
      <c r="X112" s="149">
        <f t="shared" si="157"/>
        <v>0.47181747697689491</v>
      </c>
      <c r="Y112" s="162">
        <f t="shared" si="158"/>
        <v>70.664639783781723</v>
      </c>
      <c r="Z112" s="4">
        <f t="shared" si="159"/>
        <v>47.151028587673949</v>
      </c>
      <c r="AA112" s="4">
        <f t="shared" si="160"/>
        <v>74.934356577594158</v>
      </c>
      <c r="AB112" s="4">
        <f t="shared" si="64"/>
        <v>2883.1173031782982</v>
      </c>
    </row>
    <row r="113" spans="15:28">
      <c r="O113" s="252">
        <f t="shared" si="88"/>
        <v>110</v>
      </c>
      <c r="P113" s="138">
        <f t="shared" ref="P113" si="169">P112+$J$45</f>
        <v>41.174999999999997</v>
      </c>
      <c r="Q113" s="146"/>
      <c r="R113" s="56">
        <f t="shared" si="153"/>
        <v>32.292672156835842</v>
      </c>
      <c r="S113" s="56">
        <f t="shared" si="57"/>
        <v>64.585344313671683</v>
      </c>
      <c r="T113" s="56">
        <f t="shared" si="154"/>
        <v>4.8146893573238154</v>
      </c>
      <c r="U113" s="56">
        <f t="shared" si="155"/>
        <v>37.107361514159656</v>
      </c>
      <c r="V113" s="56">
        <f t="shared" si="60"/>
        <v>69.400033670995498</v>
      </c>
      <c r="W113" s="154">
        <f t="shared" si="156"/>
        <v>115.96752755858388</v>
      </c>
      <c r="X113" s="149">
        <f t="shared" si="157"/>
        <v>0.46516614350063679</v>
      </c>
      <c r="Y113" s="162">
        <f t="shared" si="158"/>
        <v>71.675061738923191</v>
      </c>
      <c r="Z113" s="4">
        <f t="shared" si="159"/>
        <v>47.151028587673864</v>
      </c>
      <c r="AA113" s="4">
        <f t="shared" si="160"/>
        <v>76.005830504470069</v>
      </c>
      <c r="AB113" s="4">
        <f t="shared" si="64"/>
        <v>2951.2206671001641</v>
      </c>
    </row>
    <row r="114" spans="15:28">
      <c r="O114" s="252">
        <f t="shared" si="88"/>
        <v>111</v>
      </c>
      <c r="P114" s="138">
        <f t="shared" ref="P114" si="170">P113+$J$45</f>
        <v>41.55</v>
      </c>
      <c r="Q114" s="146"/>
      <c r="R114" s="56">
        <f t="shared" si="153"/>
        <v>32.371420562402598</v>
      </c>
      <c r="S114" s="56">
        <f t="shared" si="57"/>
        <v>64.742841124805196</v>
      </c>
      <c r="T114" s="56">
        <f t="shared" si="154"/>
        <v>4.8585389871719373</v>
      </c>
      <c r="U114" s="56">
        <f t="shared" si="155"/>
        <v>37.229959549574538</v>
      </c>
      <c r="V114" s="56">
        <f t="shared" si="60"/>
        <v>69.601380111977136</v>
      </c>
      <c r="W114" s="154">
        <f t="shared" si="156"/>
        <v>115.844929523169</v>
      </c>
      <c r="X114" s="149">
        <f t="shared" si="157"/>
        <v>0.45864661849059413</v>
      </c>
      <c r="Y114" s="162">
        <f t="shared" si="158"/>
        <v>72.693901383137955</v>
      </c>
      <c r="Z114" s="4">
        <f t="shared" si="159"/>
        <v>47.151028587673864</v>
      </c>
      <c r="AA114" s="4">
        <f t="shared" si="160"/>
        <v>77.086230736164168</v>
      </c>
      <c r="AB114" s="4">
        <f t="shared" si="64"/>
        <v>3020.4316024693849</v>
      </c>
    </row>
    <row r="115" spans="15:28">
      <c r="O115" s="252">
        <f t="shared" si="88"/>
        <v>112</v>
      </c>
      <c r="P115" s="138">
        <f t="shared" ref="P115" si="171">P114+$J$45</f>
        <v>41.924999999999997</v>
      </c>
      <c r="Q115" s="146"/>
      <c r="R115" s="56">
        <f t="shared" si="153"/>
        <v>32.449461425562461</v>
      </c>
      <c r="S115" s="56">
        <f t="shared" si="57"/>
        <v>64.898922851124922</v>
      </c>
      <c r="T115" s="56">
        <f t="shared" si="154"/>
        <v>4.9023886170200592</v>
      </c>
      <c r="U115" s="56">
        <f t="shared" si="155"/>
        <v>37.35185004258252</v>
      </c>
      <c r="V115" s="56">
        <f t="shared" si="60"/>
        <v>69.801311468144988</v>
      </c>
      <c r="W115" s="154">
        <f t="shared" si="156"/>
        <v>115.72303903016102</v>
      </c>
      <c r="X115" s="149">
        <f t="shared" si="157"/>
        <v>0.45225530641577549</v>
      </c>
      <c r="Y115" s="162">
        <f t="shared" si="158"/>
        <v>73.721218040531895</v>
      </c>
      <c r="Z115" s="4">
        <f t="shared" si="159"/>
        <v>47.151028587673871</v>
      </c>
      <c r="AA115" s="4">
        <f t="shared" si="160"/>
        <v>78.175620181278532</v>
      </c>
      <c r="AB115" s="4">
        <f t="shared" si="64"/>
        <v>3090.7620663493049</v>
      </c>
    </row>
    <row r="116" spans="15:28">
      <c r="O116" s="252">
        <f t="shared" si="88"/>
        <v>113</v>
      </c>
      <c r="P116" s="138">
        <f t="shared" ref="P116" si="172">P115+$J$45</f>
        <v>42.3</v>
      </c>
      <c r="Q116" s="146"/>
      <c r="R116" s="56">
        <f t="shared" si="153"/>
        <v>32.526807347500849</v>
      </c>
      <c r="S116" s="56">
        <f t="shared" si="57"/>
        <v>65.053614695001698</v>
      </c>
      <c r="T116" s="56">
        <f t="shared" si="154"/>
        <v>4.946238246868182</v>
      </c>
      <c r="U116" s="56">
        <f t="shared" si="155"/>
        <v>37.473045594369033</v>
      </c>
      <c r="V116" s="56">
        <f t="shared" si="60"/>
        <v>69.999852941869875</v>
      </c>
      <c r="W116" s="154">
        <f t="shared" si="156"/>
        <v>115.60184347837451</v>
      </c>
      <c r="X116" s="149">
        <f t="shared" si="157"/>
        <v>0.44598873953891593</v>
      </c>
      <c r="Y116" s="162">
        <f t="shared" si="158"/>
        <v>74.757071420086234</v>
      </c>
      <c r="Z116" s="4">
        <f t="shared" si="159"/>
        <v>47.151028587673906</v>
      </c>
      <c r="AA116" s="4">
        <f t="shared" si="160"/>
        <v>79.274062156545568</v>
      </c>
      <c r="AB116" s="4">
        <f t="shared" si="64"/>
        <v>3162.2241210696484</v>
      </c>
    </row>
    <row r="117" spans="15:28">
      <c r="O117" s="252">
        <f t="shared" si="88"/>
        <v>114</v>
      </c>
      <c r="P117" s="138">
        <f t="shared" ref="P117" si="173">P116+$J$45</f>
        <v>42.674999999999997</v>
      </c>
      <c r="Q117" s="146"/>
      <c r="R117" s="56">
        <f t="shared" ref="R117:R136" si="174">20*LOG(P117)</f>
        <v>32.603470595735423</v>
      </c>
      <c r="S117" s="56">
        <f t="shared" si="57"/>
        <v>65.206941191470847</v>
      </c>
      <c r="T117" s="56">
        <f t="shared" ref="T117:T136" si="175">2*$J$6*(P117/1000)</f>
        <v>4.9900878767163039</v>
      </c>
      <c r="U117" s="56">
        <f t="shared" ref="U117:U136" si="176">R117+T117</f>
        <v>37.593558472451726</v>
      </c>
      <c r="V117" s="56">
        <f t="shared" si="60"/>
        <v>70.197029068187149</v>
      </c>
      <c r="W117" s="154">
        <f t="shared" ref="W117:W136" si="177">$Q$4-(R117+T117)+$Q$8+$Q$10</f>
        <v>115.48133060029183</v>
      </c>
      <c r="X117" s="149">
        <f t="shared" ref="X117:X136" si="178">POWER(10,(W117+$D$16)*0.05)*1000</f>
        <v>0.43984357230018317</v>
      </c>
      <c r="Y117" s="162">
        <f t="shared" ref="Y117:Y136" si="179">POWER(10,0.05*U117)</f>
        <v>75.801521618032552</v>
      </c>
      <c r="Z117" s="4">
        <f t="shared" ref="Z117:Z136" si="180">X117*POWER(2,0.5)*Y117</f>
        <v>47.151028587673935</v>
      </c>
      <c r="AA117" s="4">
        <f t="shared" ref="AA117:AA136" si="181">Y117*(50/$Z$4)</f>
        <v>80.381620389346608</v>
      </c>
      <c r="AB117" s="4">
        <f t="shared" si="64"/>
        <v>3234.8299350495413</v>
      </c>
    </row>
    <row r="118" spans="15:28">
      <c r="O118" s="252">
        <f t="shared" si="88"/>
        <v>115</v>
      </c>
      <c r="P118" s="138">
        <f t="shared" ref="P118" si="182">P117+$J$45</f>
        <v>43.05</v>
      </c>
      <c r="Q118" s="146"/>
      <c r="R118" s="56">
        <f t="shared" si="174"/>
        <v>32.679463115793467</v>
      </c>
      <c r="S118" s="56">
        <f t="shared" si="57"/>
        <v>65.358926231586935</v>
      </c>
      <c r="T118" s="56">
        <f t="shared" si="175"/>
        <v>5.0339375065644258</v>
      </c>
      <c r="U118" s="56">
        <f t="shared" si="176"/>
        <v>37.713400622357895</v>
      </c>
      <c r="V118" s="56">
        <f t="shared" si="60"/>
        <v>70.392863738151362</v>
      </c>
      <c r="W118" s="154">
        <f t="shared" si="177"/>
        <v>115.36148845038566</v>
      </c>
      <c r="X118" s="149">
        <f t="shared" si="178"/>
        <v>0.43381657599441187</v>
      </c>
      <c r="Y118" s="162">
        <f t="shared" si="179"/>
        <v>76.854629120244837</v>
      </c>
      <c r="Z118" s="4">
        <f t="shared" si="180"/>
        <v>47.151028587673984</v>
      </c>
      <c r="AA118" s="4">
        <f t="shared" si="181"/>
        <v>81.4983590202485</v>
      </c>
      <c r="AB118" s="4">
        <f t="shared" si="64"/>
        <v>3308.5917836265385</v>
      </c>
    </row>
    <row r="119" spans="15:28">
      <c r="O119" s="252">
        <f t="shared" si="88"/>
        <v>116</v>
      </c>
      <c r="P119" s="138">
        <f t="shared" ref="P119" si="183">P118+$J$45</f>
        <v>43.424999999999997</v>
      </c>
      <c r="Q119" s="146"/>
      <c r="R119" s="56">
        <f t="shared" si="174"/>
        <v>32.754796542382721</v>
      </c>
      <c r="S119" s="56">
        <f t="shared" si="57"/>
        <v>65.509593084765442</v>
      </c>
      <c r="T119" s="56">
        <f t="shared" si="175"/>
        <v>5.0777871364125486</v>
      </c>
      <c r="U119" s="56">
        <f t="shared" si="176"/>
        <v>37.832583678795267</v>
      </c>
      <c r="V119" s="56">
        <f t="shared" si="60"/>
        <v>70.587380221177995</v>
      </c>
      <c r="W119" s="154">
        <f t="shared" si="177"/>
        <v>115.24230539394829</v>
      </c>
      <c r="X119" s="149">
        <f t="shared" si="178"/>
        <v>0.42790463372415088</v>
      </c>
      <c r="Y119" s="162">
        <f t="shared" si="179"/>
        <v>77.916454804642811</v>
      </c>
      <c r="Z119" s="4">
        <f t="shared" si="180"/>
        <v>47.151028587673991</v>
      </c>
      <c r="AA119" s="4">
        <f t="shared" si="181"/>
        <v>82.62434260555203</v>
      </c>
      <c r="AB119" s="4">
        <f t="shared" si="64"/>
        <v>3383.5220498916178</v>
      </c>
    </row>
    <row r="120" spans="15:28">
      <c r="O120" s="252">
        <f t="shared" si="88"/>
        <v>117</v>
      </c>
      <c r="P120" s="138">
        <f t="shared" ref="P120" si="184">P119+$J$45</f>
        <v>43.8</v>
      </c>
      <c r="Q120" s="146"/>
      <c r="R120" s="56">
        <f t="shared" si="174"/>
        <v>32.829482210081991</v>
      </c>
      <c r="S120" s="56">
        <f t="shared" si="57"/>
        <v>65.658964420163983</v>
      </c>
      <c r="T120" s="56">
        <f t="shared" si="175"/>
        <v>5.1216367662606705</v>
      </c>
      <c r="U120" s="56">
        <f t="shared" si="176"/>
        <v>37.951118976342663</v>
      </c>
      <c r="V120" s="56">
        <f t="shared" si="60"/>
        <v>70.780601186424647</v>
      </c>
      <c r="W120" s="154">
        <f t="shared" si="177"/>
        <v>115.12377009640089</v>
      </c>
      <c r="X120" s="149">
        <f t="shared" si="178"/>
        <v>0.42210473561196965</v>
      </c>
      <c r="Y120" s="162">
        <f t="shared" si="179"/>
        <v>78.987059943611683</v>
      </c>
      <c r="Z120" s="4">
        <f t="shared" si="180"/>
        <v>47.151028587673949</v>
      </c>
      <c r="AA120" s="4">
        <f t="shared" si="181"/>
        <v>83.759636119858044</v>
      </c>
      <c r="AB120" s="4">
        <f t="shared" si="64"/>
        <v>3459.6332255301918</v>
      </c>
    </row>
    <row r="121" spans="15:28">
      <c r="O121" s="252">
        <f t="shared" si="88"/>
        <v>118</v>
      </c>
      <c r="P121" s="138">
        <f t="shared" ref="P121" si="185">P120+$J$45</f>
        <v>44.174999999999997</v>
      </c>
      <c r="Q121" s="146"/>
      <c r="R121" s="56">
        <f t="shared" si="174"/>
        <v>32.903531163576034</v>
      </c>
      <c r="S121" s="56">
        <f t="shared" si="57"/>
        <v>65.807062327152067</v>
      </c>
      <c r="T121" s="56">
        <f t="shared" si="175"/>
        <v>5.1654863961087925</v>
      </c>
      <c r="U121" s="56">
        <f t="shared" si="176"/>
        <v>38.069017559684823</v>
      </c>
      <c r="V121" s="56">
        <f t="shared" si="60"/>
        <v>70.972548723260857</v>
      </c>
      <c r="W121" s="154">
        <f t="shared" si="177"/>
        <v>115.00587151305872</v>
      </c>
      <c r="X121" s="149">
        <f t="shared" si="178"/>
        <v>0.41641397425663174</v>
      </c>
      <c r="Y121" s="162">
        <f t="shared" si="179"/>
        <v>80.066506206435321</v>
      </c>
      <c r="Z121" s="4">
        <f t="shared" si="180"/>
        <v>47.151028587673942</v>
      </c>
      <c r="AA121" s="4">
        <f t="shared" si="181"/>
        <v>84.904304958647529</v>
      </c>
      <c r="AB121" s="4">
        <f t="shared" si="64"/>
        <v>3536.9379116692858</v>
      </c>
    </row>
    <row r="122" spans="15:28">
      <c r="O122" s="252">
        <f t="shared" si="88"/>
        <v>119</v>
      </c>
      <c r="P122" s="138">
        <f t="shared" ref="P122" si="186">P121+$J$45</f>
        <v>44.55</v>
      </c>
      <c r="Q122" s="146"/>
      <c r="R122" s="56">
        <f t="shared" si="174"/>
        <v>32.976954167457876</v>
      </c>
      <c r="S122" s="56">
        <f t="shared" si="57"/>
        <v>65.953908334915752</v>
      </c>
      <c r="T122" s="56">
        <f t="shared" si="175"/>
        <v>5.2093360259569153</v>
      </c>
      <c r="U122" s="56">
        <f t="shared" si="176"/>
        <v>38.186290193414791</v>
      </c>
      <c r="V122" s="56">
        <f t="shared" si="60"/>
        <v>71.163244360872667</v>
      </c>
      <c r="W122" s="154">
        <f t="shared" si="177"/>
        <v>114.88859887932877</v>
      </c>
      <c r="X122" s="149">
        <f t="shared" si="178"/>
        <v>0.41082954041875597</v>
      </c>
      <c r="Y122" s="162">
        <f t="shared" si="179"/>
        <v>81.154855661744591</v>
      </c>
      <c r="Z122" s="4">
        <f t="shared" si="180"/>
        <v>47.151028587673949</v>
      </c>
      <c r="AA122" s="4">
        <f t="shared" si="181"/>
        <v>86.058414940877881</v>
      </c>
      <c r="AB122" s="4">
        <f t="shared" si="64"/>
        <v>3615.4488197307287</v>
      </c>
    </row>
    <row r="123" spans="15:28">
      <c r="O123" s="252">
        <f t="shared" si="88"/>
        <v>120</v>
      </c>
      <c r="P123" s="138">
        <f t="shared" ref="P123" si="187">P122+$J$45</f>
        <v>44.924999999999997</v>
      </c>
      <c r="Q123" s="146"/>
      <c r="R123" s="56">
        <f t="shared" si="174"/>
        <v>33.049761715620228</v>
      </c>
      <c r="S123" s="56">
        <f t="shared" si="57"/>
        <v>66.099523431240456</v>
      </c>
      <c r="T123" s="56">
        <f t="shared" si="175"/>
        <v>5.2531856558050372</v>
      </c>
      <c r="U123" s="56">
        <f t="shared" si="176"/>
        <v>38.302947371425262</v>
      </c>
      <c r="V123" s="56">
        <f t="shared" si="60"/>
        <v>71.352709087045497</v>
      </c>
      <c r="W123" s="154">
        <f t="shared" si="177"/>
        <v>114.77194170131828</v>
      </c>
      <c r="X123" s="149">
        <f t="shared" si="178"/>
        <v>0.40534871892256763</v>
      </c>
      <c r="Y123" s="162">
        <f t="shared" si="179"/>
        <v>82.252170779979579</v>
      </c>
      <c r="Z123" s="4">
        <f t="shared" si="180"/>
        <v>47.151028587673906</v>
      </c>
      <c r="AA123" s="4">
        <f t="shared" si="181"/>
        <v>87.222032311594006</v>
      </c>
      <c r="AB123" s="4">
        <f t="shared" si="64"/>
        <v>3695.1787722905883</v>
      </c>
    </row>
    <row r="124" spans="15:28">
      <c r="O124" s="252">
        <f t="shared" si="88"/>
        <v>121</v>
      </c>
      <c r="P124" s="138">
        <f t="shared" ref="P124" si="188">P123+$J$45</f>
        <v>45.3</v>
      </c>
      <c r="Q124" s="146"/>
      <c r="R124" s="56">
        <f t="shared" si="174"/>
        <v>33.121964040256636</v>
      </c>
      <c r="S124" s="56">
        <f t="shared" si="57"/>
        <v>66.243928080513271</v>
      </c>
      <c r="T124" s="56">
        <f t="shared" si="175"/>
        <v>5.2970352856531591</v>
      </c>
      <c r="U124" s="56">
        <f t="shared" si="176"/>
        <v>38.418999325909795</v>
      </c>
      <c r="V124" s="56">
        <f t="shared" si="60"/>
        <v>71.540963366166437</v>
      </c>
      <c r="W124" s="154">
        <f t="shared" si="177"/>
        <v>114.65588974683375</v>
      </c>
      <c r="X124" s="149">
        <f t="shared" si="178"/>
        <v>0.39996888476120818</v>
      </c>
      <c r="Y124" s="162">
        <f t="shared" si="179"/>
        <v>83.358514435867363</v>
      </c>
      <c r="Z124" s="4">
        <f t="shared" si="180"/>
        <v>47.151028587673856</v>
      </c>
      <c r="AA124" s="4">
        <f t="shared" si="181"/>
        <v>88.395223744555665</v>
      </c>
      <c r="AB124" s="4">
        <f t="shared" si="64"/>
        <v>3776.1407039447986</v>
      </c>
    </row>
    <row r="125" spans="15:28">
      <c r="O125" s="252">
        <f t="shared" si="88"/>
        <v>122</v>
      </c>
      <c r="P125" s="138">
        <f t="shared" ref="P125" si="189">P124+$J$45</f>
        <v>45.674999999999997</v>
      </c>
      <c r="Q125" s="146"/>
      <c r="R125" s="56">
        <f t="shared" si="174"/>
        <v>33.193571120491512</v>
      </c>
      <c r="S125" s="56">
        <f t="shared" si="57"/>
        <v>66.387142240983025</v>
      </c>
      <c r="T125" s="56">
        <f t="shared" si="175"/>
        <v>5.3408849155012819</v>
      </c>
      <c r="U125" s="56">
        <f t="shared" si="176"/>
        <v>38.534456035992797</v>
      </c>
      <c r="V125" s="56">
        <f t="shared" si="60"/>
        <v>71.728027156484302</v>
      </c>
      <c r="W125" s="154">
        <f t="shared" si="177"/>
        <v>114.54043303675074</v>
      </c>
      <c r="X125" s="149">
        <f t="shared" si="178"/>
        <v>0.39468749939390957</v>
      </c>
      <c r="Y125" s="162">
        <f t="shared" si="179"/>
        <v>84.473949910913831</v>
      </c>
      <c r="Z125" s="4">
        <f t="shared" si="180"/>
        <v>47.151028587673871</v>
      </c>
      <c r="AA125" s="4">
        <f t="shared" si="181"/>
        <v>89.578056344879954</v>
      </c>
      <c r="AB125" s="4">
        <f t="shared" si="64"/>
        <v>3858.3476621809928</v>
      </c>
    </row>
    <row r="126" spans="15:28">
      <c r="O126" s="252">
        <f t="shared" si="88"/>
        <v>123</v>
      </c>
      <c r="P126" s="138">
        <f t="shared" ref="P126" si="190">P125+$J$45</f>
        <v>46.05</v>
      </c>
      <c r="Q126" s="146"/>
      <c r="R126" s="56">
        <f t="shared" si="174"/>
        <v>33.264592690657352</v>
      </c>
      <c r="S126" s="56">
        <f t="shared" si="57"/>
        <v>66.529185381314704</v>
      </c>
      <c r="T126" s="56">
        <f t="shared" si="175"/>
        <v>5.3847345453494029</v>
      </c>
      <c r="U126" s="56">
        <f t="shared" si="176"/>
        <v>38.649327236006755</v>
      </c>
      <c r="V126" s="56">
        <f t="shared" si="60"/>
        <v>71.913919926664107</v>
      </c>
      <c r="W126" s="154">
        <f t="shared" si="177"/>
        <v>114.4255618367368</v>
      </c>
      <c r="X126" s="149">
        <f t="shared" si="178"/>
        <v>0.38950210722409551</v>
      </c>
      <c r="Y126" s="162">
        <f t="shared" si="179"/>
        <v>85.598540895910531</v>
      </c>
      <c r="Z126" s="4">
        <f t="shared" si="180"/>
        <v>47.151028587674034</v>
      </c>
      <c r="AA126" s="4">
        <f t="shared" si="181"/>
        <v>90.770597651699603</v>
      </c>
      <c r="AB126" s="4">
        <f t="shared" si="64"/>
        <v>3941.8128082566818</v>
      </c>
    </row>
    <row r="127" spans="15:28">
      <c r="O127" s="252">
        <f t="shared" si="88"/>
        <v>124</v>
      </c>
      <c r="P127" s="138">
        <f t="shared" ref="P127" si="191">P126+$J$45</f>
        <v>46.424999999999997</v>
      </c>
      <c r="Q127" s="146"/>
      <c r="R127" s="56">
        <f t="shared" si="174"/>
        <v>33.335038248236359</v>
      </c>
      <c r="S127" s="56">
        <f t="shared" si="57"/>
        <v>66.670076496472717</v>
      </c>
      <c r="T127" s="56">
        <f t="shared" si="175"/>
        <v>5.4285841751975257</v>
      </c>
      <c r="U127" s="56">
        <f t="shared" si="176"/>
        <v>38.763622423433887</v>
      </c>
      <c r="V127" s="56">
        <f t="shared" si="60"/>
        <v>72.098660671670245</v>
      </c>
      <c r="W127" s="154">
        <f t="shared" si="177"/>
        <v>114.31126664930964</v>
      </c>
      <c r="X127" s="149">
        <f t="shared" si="178"/>
        <v>0.38441033224817006</v>
      </c>
      <c r="Y127" s="162">
        <f t="shared" si="179"/>
        <v>86.732351493457173</v>
      </c>
      <c r="Z127" s="4">
        <f t="shared" si="180"/>
        <v>47.151028587673849</v>
      </c>
      <c r="AA127" s="4">
        <f t="shared" si="181"/>
        <v>91.972915640837854</v>
      </c>
      <c r="AB127" s="4">
        <f t="shared" si="64"/>
        <v>4026.5494180837532</v>
      </c>
    </row>
    <row r="128" spans="15:28">
      <c r="O128" s="252">
        <f t="shared" si="88"/>
        <v>125</v>
      </c>
      <c r="P128" s="138">
        <f t="shared" ref="P128" si="192">P127+$J$45</f>
        <v>46.8</v>
      </c>
      <c r="Q128" s="146"/>
      <c r="R128" s="56">
        <f t="shared" si="174"/>
        <v>33.404917061482479</v>
      </c>
      <c r="S128" s="56">
        <f t="shared" si="57"/>
        <v>66.809834122964958</v>
      </c>
      <c r="T128" s="56">
        <f t="shared" si="175"/>
        <v>5.4724338050456476</v>
      </c>
      <c r="U128" s="56">
        <f t="shared" si="176"/>
        <v>38.877350866528126</v>
      </c>
      <c r="V128" s="56">
        <f t="shared" si="60"/>
        <v>72.282267928010612</v>
      </c>
      <c r="W128" s="154">
        <f t="shared" si="177"/>
        <v>114.19753820621541</v>
      </c>
      <c r="X128" s="149">
        <f t="shared" si="178"/>
        <v>0.37940987486545225</v>
      </c>
      <c r="Y128" s="162">
        <f t="shared" si="179"/>
        <v>87.875446220498063</v>
      </c>
      <c r="Z128" s="4">
        <f t="shared" si="180"/>
        <v>47.151028587673871</v>
      </c>
      <c r="AA128" s="4">
        <f t="shared" si="181"/>
        <v>93.18507872749818</v>
      </c>
      <c r="AB128" s="4">
        <f t="shared" si="64"/>
        <v>4112.5708831193133</v>
      </c>
    </row>
    <row r="129" spans="15:28">
      <c r="O129" s="252">
        <f t="shared" si="88"/>
        <v>126</v>
      </c>
      <c r="P129" s="138">
        <f t="shared" ref="P129" si="193">P128+$J$45</f>
        <v>47.174999999999997</v>
      </c>
      <c r="Q129" s="146"/>
      <c r="R129" s="56">
        <f t="shared" si="174"/>
        <v>33.474238176739377</v>
      </c>
      <c r="S129" s="56">
        <f t="shared" si="57"/>
        <v>66.948476353478753</v>
      </c>
      <c r="T129" s="56">
        <f t="shared" si="175"/>
        <v>5.5162834348937695</v>
      </c>
      <c r="U129" s="56">
        <f t="shared" si="176"/>
        <v>38.990521611633149</v>
      </c>
      <c r="V129" s="56">
        <f t="shared" si="60"/>
        <v>72.464759788372518</v>
      </c>
      <c r="W129" s="154">
        <f t="shared" si="177"/>
        <v>114.0843674611104</v>
      </c>
      <c r="X129" s="149">
        <f t="shared" si="178"/>
        <v>0.37449850884023589</v>
      </c>
      <c r="Y129" s="162">
        <f t="shared" si="179"/>
        <v>89.027890010874444</v>
      </c>
      <c r="Z129" s="4">
        <f t="shared" si="180"/>
        <v>47.151028587673956</v>
      </c>
      <c r="AA129" s="4">
        <f t="shared" si="181"/>
        <v>94.407155768970881</v>
      </c>
      <c r="AB129" s="4">
        <f t="shared" si="64"/>
        <v>4199.8907112629995</v>
      </c>
    </row>
    <row r="130" spans="15:28">
      <c r="O130" s="252">
        <f t="shared" si="88"/>
        <v>127</v>
      </c>
      <c r="P130" s="138">
        <f t="shared" ref="P130" si="194">P129+$J$45</f>
        <v>47.55</v>
      </c>
      <c r="Q130" s="146"/>
      <c r="R130" s="56">
        <f t="shared" si="174"/>
        <v>33.543010425468658</v>
      </c>
      <c r="S130" s="56">
        <f t="shared" si="57"/>
        <v>67.086020850937317</v>
      </c>
      <c r="T130" s="56">
        <f t="shared" si="175"/>
        <v>5.5601330647418923</v>
      </c>
      <c r="U130" s="56">
        <f t="shared" si="176"/>
        <v>39.103143490210549</v>
      </c>
      <c r="V130" s="56">
        <f t="shared" si="60"/>
        <v>72.646153915679207</v>
      </c>
      <c r="W130" s="154">
        <f t="shared" si="177"/>
        <v>113.97174558253299</v>
      </c>
      <c r="X130" s="149">
        <f t="shared" si="178"/>
        <v>0.36967407840762539</v>
      </c>
      <c r="Y130" s="162">
        <f t="shared" si="179"/>
        <v>90.189748217891932</v>
      </c>
      <c r="Z130" s="4">
        <f t="shared" si="180"/>
        <v>47.151028587673906</v>
      </c>
      <c r="AA130" s="4">
        <f t="shared" si="181"/>
        <v>95.639216067355576</v>
      </c>
      <c r="AB130" s="4">
        <f t="shared" si="64"/>
        <v>4288.5225277607642</v>
      </c>
    </row>
    <row r="131" spans="15:28">
      <c r="O131" s="252">
        <f t="shared" si="88"/>
        <v>128</v>
      </c>
      <c r="P131" s="138">
        <f t="shared" ref="P131:P132" si="195">P130+$J$45</f>
        <v>47.924999999999997</v>
      </c>
      <c r="Q131" s="146"/>
      <c r="R131" s="56">
        <f t="shared" si="174"/>
        <v>33.611242431002005</v>
      </c>
      <c r="S131" s="56">
        <f t="shared" si="57"/>
        <v>67.222484862004009</v>
      </c>
      <c r="T131" s="56">
        <f t="shared" si="175"/>
        <v>5.6039826945900142</v>
      </c>
      <c r="U131" s="56">
        <f t="shared" si="176"/>
        <v>39.215225125592021</v>
      </c>
      <c r="V131" s="56">
        <f t="shared" si="60"/>
        <v>72.826467556594025</v>
      </c>
      <c r="W131" s="154">
        <f t="shared" si="177"/>
        <v>113.85966394715153</v>
      </c>
      <c r="X131" s="149">
        <f t="shared" si="178"/>
        <v>0.3649344955152562</v>
      </c>
      <c r="Y131" s="162">
        <f t="shared" si="179"/>
        <v>91.361086616902682</v>
      </c>
      <c r="Z131" s="4">
        <f t="shared" si="180"/>
        <v>47.151028587673942</v>
      </c>
      <c r="AA131" s="4">
        <f t="shared" si="181"/>
        <v>96.881329372299419</v>
      </c>
      <c r="AB131" s="4">
        <f t="shared" si="64"/>
        <v>4378.4800761150673</v>
      </c>
    </row>
    <row r="132" spans="15:28">
      <c r="O132" s="252">
        <f t="shared" si="88"/>
        <v>129</v>
      </c>
      <c r="P132" s="138">
        <f t="shared" si="195"/>
        <v>48.3</v>
      </c>
      <c r="Q132" s="146"/>
      <c r="R132" s="56">
        <f t="shared" si="174"/>
        <v>33.678942615030245</v>
      </c>
      <c r="S132" s="56">
        <f t="shared" si="57"/>
        <v>67.357885230060489</v>
      </c>
      <c r="T132" s="56">
        <f t="shared" si="175"/>
        <v>5.6478323244381361</v>
      </c>
      <c r="U132" s="56">
        <f t="shared" si="176"/>
        <v>39.326774939468379</v>
      </c>
      <c r="V132" s="56">
        <f t="shared" si="60"/>
        <v>73.005717554498631</v>
      </c>
      <c r="W132" s="154">
        <f t="shared" si="177"/>
        <v>113.74811413327517</v>
      </c>
      <c r="X132" s="149">
        <f t="shared" si="178"/>
        <v>0.36027773719349626</v>
      </c>
      <c r="Y132" s="162">
        <f t="shared" si="179"/>
        <v>92.541971407904356</v>
      </c>
      <c r="Z132" s="4">
        <f t="shared" si="180"/>
        <v>47.151028587673956</v>
      </c>
      <c r="AA132" s="4">
        <f t="shared" si="181"/>
        <v>98.13356588375315</v>
      </c>
      <c r="AB132" s="4">
        <f t="shared" si="64"/>
        <v>4469.7772190017895</v>
      </c>
    </row>
    <row r="133" spans="15:28">
      <c r="O133" s="252">
        <f t="shared" si="88"/>
        <v>130</v>
      </c>
      <c r="P133" s="138">
        <f t="shared" ref="P133" si="196">P132+$J$45</f>
        <v>48.674999999999997</v>
      </c>
      <c r="Q133" s="146"/>
      <c r="R133" s="56">
        <f t="shared" si="174"/>
        <v>33.746119203841388</v>
      </c>
      <c r="S133" s="56">
        <f t="shared" ref="S133:S158" si="197">40*LOG10(P133)</f>
        <v>67.492238407682777</v>
      </c>
      <c r="T133" s="56">
        <f t="shared" si="175"/>
        <v>5.6916819542862589</v>
      </c>
      <c r="U133" s="56">
        <f t="shared" si="176"/>
        <v>39.437801158127648</v>
      </c>
      <c r="V133" s="56">
        <f t="shared" ref="V133:V158" si="198">S133+T133</f>
        <v>73.183920361969029</v>
      </c>
      <c r="W133" s="154">
        <f t="shared" si="177"/>
        <v>113.63708791461589</v>
      </c>
      <c r="X133" s="149">
        <f t="shared" si="178"/>
        <v>0.35570184304723329</v>
      </c>
      <c r="Y133" s="162">
        <f t="shared" si="179"/>
        <v>93.732469218152602</v>
      </c>
      <c r="Z133" s="4">
        <f t="shared" si="180"/>
        <v>47.151028587673849</v>
      </c>
      <c r="AA133" s="4">
        <f t="shared" si="181"/>
        <v>99.395996254741348</v>
      </c>
      <c r="AB133" s="4">
        <f t="shared" ref="AB133:AB158" si="199">POWER(10,0.05*V133)</f>
        <v>4562.4279391935797</v>
      </c>
    </row>
    <row r="134" spans="15:28">
      <c r="O134" s="252">
        <f t="shared" ref="O134" si="200">1+O133</f>
        <v>131</v>
      </c>
      <c r="P134" s="138">
        <f t="shared" ref="P134:P136" si="201">P133+$J$45</f>
        <v>49.05</v>
      </c>
      <c r="Q134" s="146"/>
      <c r="R134" s="56">
        <f t="shared" si="174"/>
        <v>33.812780234319348</v>
      </c>
      <c r="S134" s="56">
        <f t="shared" si="197"/>
        <v>67.625560468638696</v>
      </c>
      <c r="T134" s="56">
        <f t="shared" si="175"/>
        <v>5.7355315841343808</v>
      </c>
      <c r="U134" s="56">
        <f t="shared" si="176"/>
        <v>39.548311818453726</v>
      </c>
      <c r="V134" s="56">
        <f t="shared" si="198"/>
        <v>73.361092052773074</v>
      </c>
      <c r="W134" s="154">
        <f t="shared" si="177"/>
        <v>113.52657725428982</v>
      </c>
      <c r="X134" s="149">
        <f t="shared" si="178"/>
        <v>0.35120491286271532</v>
      </c>
      <c r="Y134" s="162">
        <f t="shared" si="179"/>
        <v>94.93264710479086</v>
      </c>
      <c r="Z134" s="4">
        <f t="shared" si="180"/>
        <v>47.151028587673906</v>
      </c>
      <c r="AA134" s="4">
        <f t="shared" si="181"/>
        <v>100.6686915941512</v>
      </c>
      <c r="AB134" s="4">
        <f t="shared" si="199"/>
        <v>4656.4463404899916</v>
      </c>
    </row>
    <row r="135" spans="15:28">
      <c r="O135" s="252">
        <f t="shared" si="88"/>
        <v>132</v>
      </c>
      <c r="P135" s="138">
        <f t="shared" si="201"/>
        <v>49.424999999999997</v>
      </c>
      <c r="Q135" s="146"/>
      <c r="R135" s="56">
        <f t="shared" si="174"/>
        <v>33.878933559714199</v>
      </c>
      <c r="S135" s="56">
        <f t="shared" si="197"/>
        <v>67.757867119428397</v>
      </c>
      <c r="T135" s="56">
        <f t="shared" si="175"/>
        <v>5.7793812139825027</v>
      </c>
      <c r="U135" s="56">
        <f t="shared" si="176"/>
        <v>39.658314773696702</v>
      </c>
      <c r="V135" s="56">
        <f t="shared" si="198"/>
        <v>73.537248333410901</v>
      </c>
      <c r="W135" s="154">
        <f t="shared" si="177"/>
        <v>113.41657429904684</v>
      </c>
      <c r="X135" s="149">
        <f t="shared" si="178"/>
        <v>0.34678510432333787</v>
      </c>
      <c r="Y135" s="162">
        <f t="shared" si="179"/>
        <v>96.142572557494987</v>
      </c>
      <c r="Z135" s="4">
        <f t="shared" si="180"/>
        <v>47.151028587673906</v>
      </c>
      <c r="AA135" s="4">
        <f t="shared" si="181"/>
        <v>101.95172346953686</v>
      </c>
      <c r="AB135" s="4">
        <f t="shared" si="199"/>
        <v>4751.8466486541938</v>
      </c>
    </row>
    <row r="136" spans="15:28">
      <c r="O136" s="252">
        <f t="shared" si="88"/>
        <v>133</v>
      </c>
      <c r="P136" s="138">
        <f t="shared" si="201"/>
        <v>49.8</v>
      </c>
      <c r="Q136" s="146"/>
      <c r="R136" s="56">
        <f t="shared" si="174"/>
        <v>33.944586855194352</v>
      </c>
      <c r="S136" s="56">
        <f t="shared" si="197"/>
        <v>67.889173710388704</v>
      </c>
      <c r="T136" s="56">
        <f t="shared" si="175"/>
        <v>5.8232308438306255</v>
      </c>
      <c r="U136" s="56">
        <f t="shared" si="176"/>
        <v>39.767817699024974</v>
      </c>
      <c r="V136" s="56">
        <f t="shared" si="198"/>
        <v>73.712404554219333</v>
      </c>
      <c r="W136" s="154">
        <f t="shared" si="177"/>
        <v>113.30707137371856</v>
      </c>
      <c r="X136" s="149">
        <f t="shared" si="178"/>
        <v>0.34244063082865006</v>
      </c>
      <c r="Y136" s="162">
        <f t="shared" si="179"/>
        <v>97.362313501133485</v>
      </c>
      <c r="Z136" s="4">
        <f t="shared" si="180"/>
        <v>47.151028587673856</v>
      </c>
      <c r="AA136" s="4">
        <f t="shared" si="181"/>
        <v>103.24516390994049</v>
      </c>
      <c r="AB136" s="4">
        <f t="shared" si="199"/>
        <v>4848.64321235645</v>
      </c>
    </row>
    <row r="137" spans="15:28">
      <c r="O137" s="252">
        <f t="shared" si="88"/>
        <v>134</v>
      </c>
      <c r="P137" s="138">
        <f t="shared" ref="P137" si="202">P136+$J$45</f>
        <v>50.174999999999997</v>
      </c>
      <c r="Q137" s="146"/>
      <c r="R137" s="56">
        <f t="shared" ref="R137:R145" si="203">20*LOG(P137)</f>
        <v>34.009747623190464</v>
      </c>
      <c r="S137" s="56">
        <f t="shared" si="197"/>
        <v>68.019495246380927</v>
      </c>
      <c r="T137" s="56">
        <f t="shared" ref="T137:T145" si="204">2*$J$6*(P137/1000)</f>
        <v>5.8670804736787474</v>
      </c>
      <c r="U137" s="56">
        <f t="shared" ref="U137:U145" si="205">R137+T137</f>
        <v>39.876828096869211</v>
      </c>
      <c r="V137" s="56">
        <f t="shared" si="198"/>
        <v>73.886575720059682</v>
      </c>
      <c r="W137" s="154">
        <f t="shared" ref="W137:W145" si="206">$Q$4-(R137+T137)+$Q$8+$Q$10</f>
        <v>113.19806097587433</v>
      </c>
      <c r="X137" s="149">
        <f t="shared" ref="X137:X145" si="207">POWER(10,(W137+$D$16)*0.05)*1000</f>
        <v>0.33816975941116051</v>
      </c>
      <c r="Y137" s="162">
        <f t="shared" ref="Y137:Y145" si="208">POWER(10,0.05*U137)</f>
        <v>98.591938298444461</v>
      </c>
      <c r="Z137" s="4">
        <f t="shared" ref="Z137:Z145" si="209">X137*POWER(2,0.5)*Y137</f>
        <v>47.151028587673856</v>
      </c>
      <c r="AA137" s="4">
        <f t="shared" ref="AA137:AA145" si="210">Y137*(50/$Z$4)</f>
        <v>104.54908540873089</v>
      </c>
      <c r="AB137" s="4">
        <f t="shared" si="199"/>
        <v>4946.8505041244571</v>
      </c>
    </row>
    <row r="138" spans="15:28">
      <c r="O138" s="252">
        <f t="shared" ref="O138:O158" si="211">1+O137</f>
        <v>135</v>
      </c>
      <c r="P138" s="138">
        <f t="shared" ref="P138" si="212">P137+$J$45</f>
        <v>50.55</v>
      </c>
      <c r="Q138" s="146"/>
      <c r="R138" s="56">
        <f t="shared" si="203"/>
        <v>34.074423198540401</v>
      </c>
      <c r="S138" s="56">
        <f t="shared" si="197"/>
        <v>68.148846397080803</v>
      </c>
      <c r="T138" s="56">
        <f t="shared" si="204"/>
        <v>5.9109301035268693</v>
      </c>
      <c r="U138" s="56">
        <f t="shared" si="205"/>
        <v>39.985353302067267</v>
      </c>
      <c r="V138" s="56">
        <f t="shared" si="198"/>
        <v>74.059776500607668</v>
      </c>
      <c r="W138" s="154">
        <f t="shared" si="206"/>
        <v>113.08953577067628</v>
      </c>
      <c r="X138" s="149">
        <f t="shared" si="207"/>
        <v>0.33397080874587565</v>
      </c>
      <c r="Y138" s="162">
        <f t="shared" si="208"/>
        <v>99.831515752727242</v>
      </c>
      <c r="Z138" s="4">
        <f t="shared" si="209"/>
        <v>47.151028587673856</v>
      </c>
      <c r="AA138" s="4">
        <f t="shared" si="210"/>
        <v>105.86356092645781</v>
      </c>
      <c r="AB138" s="4">
        <f t="shared" si="199"/>
        <v>5046.4831213003663</v>
      </c>
    </row>
    <row r="139" spans="15:28">
      <c r="O139" s="252">
        <f t="shared" si="211"/>
        <v>136</v>
      </c>
      <c r="P139" s="138">
        <f t="shared" ref="P139" si="213">P138+$J$45</f>
        <v>50.924999999999997</v>
      </c>
      <c r="Q139" s="146"/>
      <c r="R139" s="56">
        <f t="shared" si="203"/>
        <v>34.138620753444037</v>
      </c>
      <c r="S139" s="56">
        <f t="shared" si="197"/>
        <v>68.277241506888075</v>
      </c>
      <c r="T139" s="56">
        <f t="shared" si="204"/>
        <v>5.9547797333749921</v>
      </c>
      <c r="U139" s="56">
        <f t="shared" si="205"/>
        <v>40.093400486819029</v>
      </c>
      <c r="V139" s="56">
        <f t="shared" si="198"/>
        <v>74.232021240263066</v>
      </c>
      <c r="W139" s="154">
        <f t="shared" si="206"/>
        <v>112.98148858592451</v>
      </c>
      <c r="X139" s="149">
        <f t="shared" si="207"/>
        <v>0.32984214724778599</v>
      </c>
      <c r="Y139" s="162">
        <f t="shared" si="208"/>
        <v>101.08111511055154</v>
      </c>
      <c r="Z139" s="4">
        <f t="shared" si="209"/>
        <v>47.151028587673864</v>
      </c>
      <c r="AA139" s="4">
        <f t="shared" si="210"/>
        <v>107.18866389372475</v>
      </c>
      <c r="AB139" s="4">
        <f t="shared" si="199"/>
        <v>5147.5557870048515</v>
      </c>
    </row>
    <row r="140" spans="15:28">
      <c r="O140" s="252">
        <f t="shared" si="211"/>
        <v>137</v>
      </c>
      <c r="P140" s="138">
        <f t="shared" ref="P140" si="214">P139+$J$45</f>
        <v>51.3</v>
      </c>
      <c r="Q140" s="146"/>
      <c r="R140" s="56">
        <f t="shared" si="203"/>
        <v>34.202347302236326</v>
      </c>
      <c r="S140" s="56">
        <f t="shared" si="197"/>
        <v>68.404694604472652</v>
      </c>
      <c r="T140" s="56">
        <f t="shared" si="204"/>
        <v>5.998629363223114</v>
      </c>
      <c r="U140" s="56">
        <f t="shared" si="205"/>
        <v>40.200976665459443</v>
      </c>
      <c r="V140" s="56">
        <f t="shared" si="198"/>
        <v>74.403323967695769</v>
      </c>
      <c r="W140" s="154">
        <f t="shared" si="206"/>
        <v>112.8739124072841</v>
      </c>
      <c r="X140" s="149">
        <f t="shared" si="207"/>
        <v>0.32578219125280372</v>
      </c>
      <c r="Y140" s="162">
        <f t="shared" si="208"/>
        <v>102.3408060644813</v>
      </c>
      <c r="Z140" s="4">
        <f t="shared" si="209"/>
        <v>47.151028587673856</v>
      </c>
      <c r="AA140" s="4">
        <f t="shared" si="210"/>
        <v>108.52446821407744</v>
      </c>
      <c r="AB140" s="4">
        <f t="shared" si="199"/>
        <v>5250.0833511078981</v>
      </c>
    </row>
    <row r="141" spans="15:28">
      <c r="O141" s="252">
        <f t="shared" si="211"/>
        <v>138</v>
      </c>
      <c r="P141" s="138">
        <f t="shared" ref="P141" si="215">P140+$J$45</f>
        <v>51.674999999999997</v>
      </c>
      <c r="Q141" s="146"/>
      <c r="R141" s="56">
        <f t="shared" si="203"/>
        <v>34.265609705986513</v>
      </c>
      <c r="S141" s="56">
        <f t="shared" si="197"/>
        <v>68.531219411973026</v>
      </c>
      <c r="T141" s="56">
        <f t="shared" si="204"/>
        <v>6.0424789930712359</v>
      </c>
      <c r="U141" s="56">
        <f t="shared" si="205"/>
        <v>40.308088699057748</v>
      </c>
      <c r="V141" s="56">
        <f t="shared" si="198"/>
        <v>74.573698405044269</v>
      </c>
      <c r="W141" s="154">
        <f t="shared" si="206"/>
        <v>112.7668003736858</v>
      </c>
      <c r="X141" s="149">
        <f t="shared" si="207"/>
        <v>0.32178940327790895</v>
      </c>
      <c r="Y141" s="162">
        <f t="shared" si="208"/>
        <v>103.61065875581566</v>
      </c>
      <c r="Z141" s="4">
        <f t="shared" si="209"/>
        <v>47.151028587673906</v>
      </c>
      <c r="AA141" s="4">
        <f t="shared" si="210"/>
        <v>109.87104826691041</v>
      </c>
      <c r="AB141" s="4">
        <f t="shared" si="199"/>
        <v>5354.0807912067748</v>
      </c>
    </row>
    <row r="142" spans="15:28">
      <c r="O142" s="252">
        <f t="shared" si="211"/>
        <v>139</v>
      </c>
      <c r="P142" s="138">
        <f t="shared" ref="P142" si="216">P141+$J$45</f>
        <v>52.05</v>
      </c>
      <c r="Q142" s="146"/>
      <c r="R142" s="56">
        <f t="shared" si="203"/>
        <v>34.328414676931096</v>
      </c>
      <c r="S142" s="56">
        <f t="shared" si="197"/>
        <v>68.656829353862193</v>
      </c>
      <c r="T142" s="56">
        <f t="shared" si="204"/>
        <v>6.0863286229193587</v>
      </c>
      <c r="U142" s="56">
        <f t="shared" si="205"/>
        <v>40.414743299850457</v>
      </c>
      <c r="V142" s="56">
        <f t="shared" si="198"/>
        <v>74.743157976781546</v>
      </c>
      <c r="W142" s="154">
        <f t="shared" si="206"/>
        <v>112.6601457728931</v>
      </c>
      <c r="X142" s="149">
        <f t="shared" si="207"/>
        <v>0.31786229035651004</v>
      </c>
      <c r="Y142" s="162">
        <f t="shared" si="208"/>
        <v>104.89074377734595</v>
      </c>
      <c r="Z142" s="4">
        <f t="shared" si="209"/>
        <v>47.151028587673991</v>
      </c>
      <c r="AA142" s="4">
        <f t="shared" si="210"/>
        <v>111.22847891039049</v>
      </c>
      <c r="AB142" s="4">
        <f t="shared" si="199"/>
        <v>5459.5632136108616</v>
      </c>
    </row>
    <row r="143" spans="15:28">
      <c r="O143" s="252">
        <f t="shared" si="211"/>
        <v>140</v>
      </c>
      <c r="P143" s="138">
        <f t="shared" ref="P143" si="217">P142+$J$45</f>
        <v>52.424999999999997</v>
      </c>
      <c r="Q143" s="146"/>
      <c r="R143" s="56">
        <f t="shared" si="203"/>
        <v>34.390768782747628</v>
      </c>
      <c r="S143" s="56">
        <f t="shared" si="197"/>
        <v>68.781537565495256</v>
      </c>
      <c r="T143" s="56">
        <f t="shared" si="204"/>
        <v>6.1301782527674806</v>
      </c>
      <c r="U143" s="56">
        <f t="shared" si="205"/>
        <v>40.520947035515107</v>
      </c>
      <c r="V143" s="56">
        <f t="shared" si="198"/>
        <v>74.911715818262735</v>
      </c>
      <c r="W143" s="154">
        <f t="shared" si="206"/>
        <v>112.55394203722842</v>
      </c>
      <c r="X143" s="149">
        <f t="shared" si="207"/>
        <v>0.31399940244525143</v>
      </c>
      <c r="Y143" s="162">
        <f t="shared" si="208"/>
        <v>106.18113217612949</v>
      </c>
      <c r="Z143" s="4">
        <f t="shared" si="209"/>
        <v>47.151028587673828</v>
      </c>
      <c r="AA143" s="4">
        <f t="shared" si="210"/>
        <v>112.59683548439838</v>
      </c>
      <c r="AB143" s="4">
        <f t="shared" si="199"/>
        <v>5566.5458543335881</v>
      </c>
    </row>
    <row r="144" spans="15:28">
      <c r="O144" s="252">
        <f t="shared" si="211"/>
        <v>141</v>
      </c>
      <c r="P144" s="138">
        <f t="shared" ref="P144" si="218">P143+$J$45</f>
        <v>52.8</v>
      </c>
      <c r="Q144" s="146"/>
      <c r="R144" s="56">
        <f t="shared" si="203"/>
        <v>34.452678450676245</v>
      </c>
      <c r="S144" s="56">
        <f t="shared" si="197"/>
        <v>68.905356901352491</v>
      </c>
      <c r="T144" s="56">
        <f t="shared" si="204"/>
        <v>6.1740278826156034</v>
      </c>
      <c r="U144" s="56">
        <f t="shared" si="205"/>
        <v>40.62670633329185</v>
      </c>
      <c r="V144" s="56">
        <f t="shared" si="198"/>
        <v>75.079384783968095</v>
      </c>
      <c r="W144" s="154">
        <f t="shared" si="206"/>
        <v>112.4481827394517</v>
      </c>
      <c r="X144" s="149">
        <f t="shared" si="207"/>
        <v>0.31019933089873009</v>
      </c>
      <c r="Y144" s="162">
        <f t="shared" si="208"/>
        <v>107.48189545627892</v>
      </c>
      <c r="Z144" s="4">
        <f t="shared" si="209"/>
        <v>47.151028587673906</v>
      </c>
      <c r="AA144" s="4">
        <f t="shared" si="210"/>
        <v>113.97619381348632</v>
      </c>
      <c r="AB144" s="4">
        <f t="shared" si="199"/>
        <v>5675.0440800915303</v>
      </c>
    </row>
    <row r="145" spans="15:28">
      <c r="O145" s="252">
        <f t="shared" si="211"/>
        <v>142</v>
      </c>
      <c r="P145" s="138">
        <f t="shared" ref="P145" si="219">P144+$J$45</f>
        <v>53.174999999999997</v>
      </c>
      <c r="Q145" s="146"/>
      <c r="R145" s="56">
        <f t="shared" si="203"/>
        <v>34.514149971495328</v>
      </c>
      <c r="S145" s="56">
        <f t="shared" si="197"/>
        <v>69.028299942990657</v>
      </c>
      <c r="T145" s="56">
        <f t="shared" si="204"/>
        <v>6.2178775124637253</v>
      </c>
      <c r="U145" s="56">
        <f t="shared" si="205"/>
        <v>40.732027483959051</v>
      </c>
      <c r="V145" s="56">
        <f t="shared" si="198"/>
        <v>75.246177455454387</v>
      </c>
      <c r="W145" s="154">
        <f t="shared" si="206"/>
        <v>112.34286158878449</v>
      </c>
      <c r="X145" s="149">
        <f t="shared" si="207"/>
        <v>0.30646070700873551</v>
      </c>
      <c r="Y145" s="162">
        <f t="shared" si="208"/>
        <v>108.79310558176903</v>
      </c>
      <c r="Z145" s="4">
        <f t="shared" si="209"/>
        <v>47.151028587673864</v>
      </c>
      <c r="AA145" s="4">
        <f t="shared" si="210"/>
        <v>115.36663020985465</v>
      </c>
      <c r="AB145" s="4">
        <f t="shared" si="199"/>
        <v>5785.0733893105671</v>
      </c>
    </row>
    <row r="146" spans="15:28">
      <c r="O146" s="252">
        <f t="shared" si="211"/>
        <v>143</v>
      </c>
      <c r="P146" s="138">
        <f t="shared" ref="P146" si="220">P145+$J$45</f>
        <v>53.55</v>
      </c>
      <c r="Q146" s="146"/>
      <c r="R146" s="56">
        <f t="shared" ref="R146:R156" si="221">20*LOG(P146)</f>
        <v>34.575189503357485</v>
      </c>
      <c r="S146" s="56">
        <f t="shared" si="197"/>
        <v>69.150379006714971</v>
      </c>
      <c r="T146" s="56">
        <f t="shared" ref="T146:T156" si="222">2*$J$6*(P146/1000)</f>
        <v>6.2617271423118472</v>
      </c>
      <c r="U146" s="56">
        <f t="shared" ref="U146:U156" si="223">R146+T146</f>
        <v>40.836916645669334</v>
      </c>
      <c r="V146" s="56">
        <f t="shared" si="198"/>
        <v>75.412106149026812</v>
      </c>
      <c r="W146" s="154">
        <f t="shared" ref="W146:W156" si="224">$Q$4-(R146+T146)+$Q$8+$Q$10</f>
        <v>112.23797242707421</v>
      </c>
      <c r="X146" s="149">
        <f t="shared" ref="X146:X156" si="225">POWER(10,(W146+$D$16)*0.05)*1000</f>
        <v>0.30278220060489147</v>
      </c>
      <c r="Y146" s="162">
        <f t="shared" ref="Y146:Y156" si="226">POWER(10,0.05*U146)</f>
        <v>110.11483497926051</v>
      </c>
      <c r="Z146" s="4">
        <f t="shared" ref="Z146:Z156" si="227">X146*POWER(2,0.5)*Y146</f>
        <v>47.151028587673906</v>
      </c>
      <c r="AA146" s="4">
        <f t="shared" ref="AA146:AA156" si="228">Y146*(50/$Z$4)</f>
        <v>116.76822147634613</v>
      </c>
      <c r="AB146" s="4">
        <f t="shared" si="199"/>
        <v>5896.6494131393929</v>
      </c>
    </row>
    <row r="147" spans="15:28">
      <c r="O147" s="252">
        <f t="shared" si="211"/>
        <v>144</v>
      </c>
      <c r="P147" s="138">
        <f t="shared" ref="P147" si="229">P146+$J$45</f>
        <v>53.924999999999997</v>
      </c>
      <c r="Q147" s="146"/>
      <c r="R147" s="56">
        <f t="shared" si="221"/>
        <v>34.635803075491651</v>
      </c>
      <c r="S147" s="56">
        <f t="shared" si="197"/>
        <v>69.271606150983303</v>
      </c>
      <c r="T147" s="56">
        <f t="shared" si="222"/>
        <v>6.3055767721599691</v>
      </c>
      <c r="U147" s="56">
        <f t="shared" si="223"/>
        <v>40.941379847651618</v>
      </c>
      <c r="V147" s="56">
        <f t="shared" si="198"/>
        <v>75.577182923143269</v>
      </c>
      <c r="W147" s="154">
        <f t="shared" si="224"/>
        <v>112.13350922509194</v>
      </c>
      <c r="X147" s="149">
        <f t="shared" si="225"/>
        <v>0.29916251871367905</v>
      </c>
      <c r="Y147" s="162">
        <f t="shared" si="226"/>
        <v>111.44715654093908</v>
      </c>
      <c r="Z147" s="4">
        <f t="shared" si="227"/>
        <v>47.151028587673949</v>
      </c>
      <c r="AA147" s="4">
        <f t="shared" si="228"/>
        <v>118.18104490945663</v>
      </c>
      <c r="AB147" s="4">
        <f t="shared" si="199"/>
        <v>6009.7879164701408</v>
      </c>
    </row>
    <row r="148" spans="15:28">
      <c r="O148" s="252">
        <f t="shared" si="211"/>
        <v>145</v>
      </c>
      <c r="P148" s="138">
        <f t="shared" ref="P148:P158" si="230">P147+$J$45</f>
        <v>54.3</v>
      </c>
      <c r="Q148" s="146"/>
      <c r="R148" s="56">
        <f t="shared" si="221"/>
        <v>34.69599659177694</v>
      </c>
      <c r="S148" s="56">
        <f t="shared" si="197"/>
        <v>69.391993183553879</v>
      </c>
      <c r="T148" s="56">
        <f t="shared" si="222"/>
        <v>6.3494264020080911</v>
      </c>
      <c r="U148" s="56">
        <f t="shared" si="223"/>
        <v>41.045422993785031</v>
      </c>
      <c r="V148" s="56">
        <f t="shared" si="198"/>
        <v>75.741419585561971</v>
      </c>
      <c r="W148" s="154">
        <f t="shared" si="224"/>
        <v>112.02946607895852</v>
      </c>
      <c r="X148" s="149">
        <f t="shared" si="225"/>
        <v>0.29560040427303286</v>
      </c>
      <c r="Y148" s="162">
        <f t="shared" si="226"/>
        <v>112.79014362737348</v>
      </c>
      <c r="Z148" s="4">
        <f t="shared" si="227"/>
        <v>47.151028587673999</v>
      </c>
      <c r="AA148" s="4">
        <f t="shared" si="228"/>
        <v>119.60517830236577</v>
      </c>
      <c r="AB148" s="4">
        <f t="shared" si="199"/>
        <v>6124.5047989663772</v>
      </c>
    </row>
    <row r="149" spans="15:28">
      <c r="O149" s="252">
        <f t="shared" si="211"/>
        <v>146</v>
      </c>
      <c r="P149" s="138">
        <f t="shared" si="230"/>
        <v>54.674999999999997</v>
      </c>
      <c r="Q149" s="146"/>
      <c r="R149" s="56">
        <f t="shared" si="221"/>
        <v>34.755775834193493</v>
      </c>
      <c r="S149" s="56">
        <f t="shared" si="197"/>
        <v>69.511551668386986</v>
      </c>
      <c r="T149" s="56">
        <f t="shared" si="222"/>
        <v>6.393276031856213</v>
      </c>
      <c r="U149" s="56">
        <f t="shared" si="223"/>
        <v>41.149051866049703</v>
      </c>
      <c r="V149" s="56">
        <f t="shared" si="198"/>
        <v>75.904827700243203</v>
      </c>
      <c r="W149" s="154">
        <f t="shared" si="224"/>
        <v>111.92583720669383</v>
      </c>
      <c r="X149" s="149">
        <f t="shared" si="225"/>
        <v>0.29209463489984094</v>
      </c>
      <c r="Y149" s="162">
        <f t="shared" si="226"/>
        <v>114.14387007038829</v>
      </c>
      <c r="Z149" s="4">
        <f t="shared" si="227"/>
        <v>47.151028587673864</v>
      </c>
      <c r="AA149" s="4">
        <f t="shared" si="228"/>
        <v>121.04069994798338</v>
      </c>
      <c r="AB149" s="4">
        <f t="shared" si="199"/>
        <v>6240.8160960984851</v>
      </c>
    </row>
    <row r="150" spans="15:28">
      <c r="O150" s="252">
        <f t="shared" si="211"/>
        <v>147</v>
      </c>
      <c r="P150" s="138">
        <f t="shared" si="230"/>
        <v>55.05</v>
      </c>
      <c r="Q150" s="146"/>
      <c r="R150" s="56">
        <f t="shared" si="221"/>
        <v>34.815146466155412</v>
      </c>
      <c r="S150" s="56">
        <f t="shared" si="197"/>
        <v>69.630292932310823</v>
      </c>
      <c r="T150" s="56">
        <f t="shared" si="222"/>
        <v>6.4371256617043358</v>
      </c>
      <c r="U150" s="56">
        <f t="shared" si="223"/>
        <v>41.252272127859747</v>
      </c>
      <c r="V150" s="56">
        <f t="shared" si="198"/>
        <v>76.067418594015152</v>
      </c>
      <c r="W150" s="154">
        <f t="shared" si="224"/>
        <v>111.82261694488379</v>
      </c>
      <c r="X150" s="149">
        <f t="shared" si="225"/>
        <v>0.28864402170782388</v>
      </c>
      <c r="Y150" s="162">
        <f t="shared" si="226"/>
        <v>115.50841017595619</v>
      </c>
      <c r="Z150" s="4">
        <f t="shared" si="227"/>
        <v>47.151028587673828</v>
      </c>
      <c r="AA150" s="4">
        <f t="shared" si="228"/>
        <v>122.48768864201647</v>
      </c>
      <c r="AB150" s="4">
        <f t="shared" si="199"/>
        <v>6358.7379801863844</v>
      </c>
    </row>
    <row r="151" spans="15:28">
      <c r="O151" s="252">
        <f t="shared" si="211"/>
        <v>148</v>
      </c>
      <c r="P151" s="138">
        <f t="shared" si="230"/>
        <v>55.424999999999997</v>
      </c>
      <c r="Q151" s="146"/>
      <c r="R151" s="56">
        <f t="shared" si="221"/>
        <v>34.874114035730514</v>
      </c>
      <c r="S151" s="56">
        <f t="shared" si="197"/>
        <v>69.748228071461028</v>
      </c>
      <c r="T151" s="56">
        <f t="shared" si="222"/>
        <v>6.4809752915524577</v>
      </c>
      <c r="U151" s="56">
        <f t="shared" si="223"/>
        <v>41.355089327282968</v>
      </c>
      <c r="V151" s="56">
        <f t="shared" si="198"/>
        <v>76.229203363013482</v>
      </c>
      <c r="W151" s="154">
        <f t="shared" si="224"/>
        <v>111.71979974546058</v>
      </c>
      <c r="X151" s="149">
        <f t="shared" si="225"/>
        <v>0.2852474081734046</v>
      </c>
      <c r="Y151" s="162">
        <f t="shared" si="226"/>
        <v>116.88383872710511</v>
      </c>
      <c r="Z151" s="4">
        <f t="shared" si="227"/>
        <v>47.151028587673871</v>
      </c>
      <c r="AA151" s="4">
        <f t="shared" si="228"/>
        <v>123.94622368605206</v>
      </c>
      <c r="AB151" s="4">
        <f t="shared" si="199"/>
        <v>6478.2867614498036</v>
      </c>
    </row>
    <row r="152" spans="15:28">
      <c r="O152" s="252">
        <f t="shared" si="211"/>
        <v>149</v>
      </c>
      <c r="P152" s="138">
        <f t="shared" si="230"/>
        <v>55.8</v>
      </c>
      <c r="Q152" s="146"/>
      <c r="R152" s="56">
        <f t="shared" si="221"/>
        <v>34.932683978751569</v>
      </c>
      <c r="S152" s="56">
        <f t="shared" si="197"/>
        <v>69.865367957503139</v>
      </c>
      <c r="T152" s="56">
        <f t="shared" si="222"/>
        <v>6.5248249214005796</v>
      </c>
      <c r="U152" s="56">
        <f t="shared" si="223"/>
        <v>41.457508900152149</v>
      </c>
      <c r="V152" s="56">
        <f t="shared" si="198"/>
        <v>76.390192878903719</v>
      </c>
      <c r="W152" s="154">
        <f t="shared" si="224"/>
        <v>111.61738017259138</v>
      </c>
      <c r="X152" s="149">
        <f t="shared" si="225"/>
        <v>0.2819036690473144</v>
      </c>
      <c r="Y152" s="162">
        <f t="shared" si="226"/>
        <v>118.27023098684475</v>
      </c>
      <c r="Z152" s="4">
        <f t="shared" si="227"/>
        <v>47.151028587673814</v>
      </c>
      <c r="AA152" s="4">
        <f t="shared" si="228"/>
        <v>125.41638489066051</v>
      </c>
      <c r="AB152" s="4">
        <f t="shared" si="199"/>
        <v>6599.4788890659402</v>
      </c>
    </row>
    <row r="153" spans="15:28">
      <c r="O153" s="252">
        <f t="shared" si="211"/>
        <v>150</v>
      </c>
      <c r="P153" s="138">
        <f t="shared" si="230"/>
        <v>56.174999999999997</v>
      </c>
      <c r="Q153" s="146"/>
      <c r="R153" s="56">
        <f t="shared" si="221"/>
        <v>34.990861621823328</v>
      </c>
      <c r="S153" s="56">
        <f t="shared" si="197"/>
        <v>69.981723243646655</v>
      </c>
      <c r="T153" s="56">
        <f t="shared" si="222"/>
        <v>6.5686745512487024</v>
      </c>
      <c r="U153" s="56">
        <f t="shared" si="223"/>
        <v>41.559536173072033</v>
      </c>
      <c r="V153" s="56">
        <f t="shared" si="198"/>
        <v>76.55039779489536</v>
      </c>
      <c r="W153" s="154">
        <f t="shared" si="224"/>
        <v>111.5153528996715</v>
      </c>
      <c r="X153" s="149">
        <f t="shared" si="225"/>
        <v>0.27861170930980367</v>
      </c>
      <c r="Y153" s="162">
        <f t="shared" si="226"/>
        <v>119.66766270110887</v>
      </c>
      <c r="Z153" s="4">
        <f t="shared" si="227"/>
        <v>47.151028587673906</v>
      </c>
      <c r="AA153" s="4">
        <f t="shared" si="228"/>
        <v>126.89825257851561</v>
      </c>
      <c r="AB153" s="4">
        <f t="shared" si="199"/>
        <v>6722.3309522347945</v>
      </c>
    </row>
    <row r="154" spans="15:28">
      <c r="O154" s="252">
        <f t="shared" si="211"/>
        <v>151</v>
      </c>
      <c r="P154" s="138">
        <f t="shared" si="230"/>
        <v>56.55</v>
      </c>
      <c r="Q154" s="146"/>
      <c r="R154" s="56">
        <f t="shared" si="221"/>
        <v>35.048652185229486</v>
      </c>
      <c r="S154" s="56">
        <f t="shared" si="197"/>
        <v>70.097304370458971</v>
      </c>
      <c r="T154" s="56">
        <f t="shared" si="222"/>
        <v>6.6125241810968243</v>
      </c>
      <c r="U154" s="56">
        <f t="shared" si="223"/>
        <v>41.661176366326309</v>
      </c>
      <c r="V154" s="56">
        <f t="shared" si="198"/>
        <v>76.709828551555802</v>
      </c>
      <c r="W154" s="154">
        <f t="shared" si="224"/>
        <v>111.41371270641723</v>
      </c>
      <c r="X154" s="149">
        <f t="shared" si="225"/>
        <v>0.27537046316741826</v>
      </c>
      <c r="Y154" s="162">
        <f t="shared" si="226"/>
        <v>121.07621010171526</v>
      </c>
      <c r="Z154" s="4">
        <f t="shared" si="227"/>
        <v>47.151028587673906</v>
      </c>
      <c r="AA154" s="4">
        <f t="shared" si="228"/>
        <v>128.39190758753338</v>
      </c>
      <c r="AB154" s="4">
        <f t="shared" si="199"/>
        <v>6846.8596812520109</v>
      </c>
    </row>
    <row r="155" spans="15:28">
      <c r="O155" s="252">
        <f t="shared" si="211"/>
        <v>152</v>
      </c>
      <c r="P155" s="138">
        <f t="shared" si="230"/>
        <v>56.924999999999997</v>
      </c>
      <c r="Q155" s="146"/>
      <c r="R155" s="56">
        <f t="shared" si="221"/>
        <v>35.106060785743608</v>
      </c>
      <c r="S155" s="56">
        <f t="shared" si="197"/>
        <v>70.212121571487216</v>
      </c>
      <c r="T155" s="56">
        <f t="shared" si="222"/>
        <v>6.6563738109449462</v>
      </c>
      <c r="U155" s="56">
        <f t="shared" si="223"/>
        <v>41.762434596688557</v>
      </c>
      <c r="V155" s="56">
        <f t="shared" si="198"/>
        <v>76.868495382432158</v>
      </c>
      <c r="W155" s="154">
        <f t="shared" si="224"/>
        <v>111.31245447605498</v>
      </c>
      <c r="X155" s="149">
        <f t="shared" si="225"/>
        <v>0.27217889308943904</v>
      </c>
      <c r="Y155" s="162">
        <f t="shared" si="226"/>
        <v>122.49594990934531</v>
      </c>
      <c r="Z155" s="4">
        <f t="shared" si="227"/>
        <v>47.151028587673906</v>
      </c>
      <c r="AA155" s="4">
        <f t="shared" si="228"/>
        <v>129.8974312740317</v>
      </c>
      <c r="AB155" s="4">
        <f t="shared" si="199"/>
        <v>6973.0819485894781</v>
      </c>
    </row>
    <row r="156" spans="15:28">
      <c r="O156" s="252">
        <f t="shared" si="211"/>
        <v>153</v>
      </c>
      <c r="P156" s="138">
        <f t="shared" si="230"/>
        <v>57.3</v>
      </c>
      <c r="Q156" s="146"/>
      <c r="R156" s="56">
        <f t="shared" si="221"/>
        <v>35.1630924393478</v>
      </c>
      <c r="S156" s="56">
        <f t="shared" si="197"/>
        <v>70.326184878695599</v>
      </c>
      <c r="T156" s="56">
        <f t="shared" si="222"/>
        <v>6.700223440793069</v>
      </c>
      <c r="U156" s="56">
        <f t="shared" si="223"/>
        <v>41.863315880140867</v>
      </c>
      <c r="V156" s="56">
        <f t="shared" si="198"/>
        <v>77.026408319488667</v>
      </c>
      <c r="W156" s="154">
        <f t="shared" si="224"/>
        <v>111.21157319260267</v>
      </c>
      <c r="X156" s="149">
        <f t="shared" si="225"/>
        <v>0.26903598888216174</v>
      </c>
      <c r="Y156" s="162">
        <f t="shared" si="226"/>
        <v>123.92695933653798</v>
      </c>
      <c r="Z156" s="4">
        <f t="shared" si="227"/>
        <v>47.151028587673856</v>
      </c>
      <c r="AA156" s="4">
        <f t="shared" si="228"/>
        <v>131.41490551590516</v>
      </c>
      <c r="AB156" s="4">
        <f t="shared" si="199"/>
        <v>7101.0147699836207</v>
      </c>
    </row>
    <row r="157" spans="15:28">
      <c r="O157" s="252">
        <f t="shared" si="211"/>
        <v>154</v>
      </c>
      <c r="P157" s="138">
        <f t="shared" si="230"/>
        <v>57.674999999999997</v>
      </c>
      <c r="Q157" s="146"/>
      <c r="R157" s="56">
        <f t="shared" ref="R157:R158" si="231">20*LOG(P157)</f>
        <v>35.219752063862622</v>
      </c>
      <c r="S157" s="56">
        <f t="shared" si="197"/>
        <v>70.439504127725243</v>
      </c>
      <c r="T157" s="56">
        <f t="shared" ref="T157:T158" si="232">2*$J$6*(P157/1000)</f>
        <v>6.7440730706411909</v>
      </c>
      <c r="U157" s="56">
        <f t="shared" ref="U157:U158" si="233">R157+T157</f>
        <v>41.963825134503814</v>
      </c>
      <c r="V157" s="56">
        <f t="shared" si="198"/>
        <v>77.183577198366436</v>
      </c>
      <c r="W157" s="154">
        <f t="shared" ref="W157:W158" si="234">$Q$4-(R157+T157)+$Q$8+$Q$10</f>
        <v>111.11106393823972</v>
      </c>
      <c r="X157" s="149">
        <f t="shared" ref="X157:X158" si="235">POWER(10,(W157+$D$16)*0.05)*1000</f>
        <v>0.2659407667992934</v>
      </c>
      <c r="Y157" s="162">
        <f t="shared" ref="Y157:Y158" si="236">POWER(10,0.05*U157)</f>
        <v>125.36931609070461</v>
      </c>
      <c r="Z157" s="4">
        <f t="shared" ref="Z157:Z158" si="237">X157*POWER(2,0.5)*Y157</f>
        <v>47.151028587673906</v>
      </c>
      <c r="AA157" s="4">
        <f t="shared" ref="AA157:AA158" si="238">Y157*(50/$Z$4)</f>
        <v>132.94441271582198</v>
      </c>
      <c r="AB157" s="4">
        <f t="shared" si="199"/>
        <v>7230.6753055313848</v>
      </c>
    </row>
    <row r="158" spans="15:28">
      <c r="O158" s="252">
        <f t="shared" si="211"/>
        <v>155</v>
      </c>
      <c r="P158" s="138">
        <f t="shared" si="230"/>
        <v>58.05</v>
      </c>
      <c r="Q158" s="146"/>
      <c r="R158" s="56">
        <f t="shared" si="231"/>
        <v>35.276044481491851</v>
      </c>
      <c r="S158" s="56">
        <f t="shared" si="197"/>
        <v>70.552088962983703</v>
      </c>
      <c r="T158" s="56">
        <f t="shared" si="232"/>
        <v>6.7879227004893137</v>
      </c>
      <c r="U158" s="56">
        <f t="shared" si="233"/>
        <v>42.063967181981162</v>
      </c>
      <c r="V158" s="56">
        <f t="shared" si="198"/>
        <v>77.340011663473021</v>
      </c>
      <c r="W158" s="154">
        <f t="shared" si="234"/>
        <v>111.01092189076239</v>
      </c>
      <c r="X158" s="149">
        <f t="shared" si="235"/>
        <v>0.26289226868683385</v>
      </c>
      <c r="Y158" s="162">
        <f t="shared" si="236"/>
        <v>126.82309837715961</v>
      </c>
      <c r="Z158" s="4">
        <f t="shared" si="237"/>
        <v>47.151028587673949</v>
      </c>
      <c r="AA158" s="4">
        <f t="shared" si="238"/>
        <v>134.48603580443796</v>
      </c>
      <c r="AB158" s="4">
        <f t="shared" si="199"/>
        <v>7362.0808607941226</v>
      </c>
    </row>
  </sheetData>
  <mergeCells count="64">
    <mergeCell ref="B13:B14"/>
    <mergeCell ref="G13:H14"/>
    <mergeCell ref="B4:E4"/>
    <mergeCell ref="G4:K4"/>
    <mergeCell ref="B5:B6"/>
    <mergeCell ref="C5:C6"/>
    <mergeCell ref="G5:H5"/>
    <mergeCell ref="G6:H7"/>
    <mergeCell ref="I6:I7"/>
    <mergeCell ref="G8:H8"/>
    <mergeCell ref="G9:H9"/>
    <mergeCell ref="G10:K10"/>
    <mergeCell ref="G11:H12"/>
    <mergeCell ref="B12:E12"/>
    <mergeCell ref="B15:B16"/>
    <mergeCell ref="B17:E17"/>
    <mergeCell ref="G17:K17"/>
    <mergeCell ref="G18:H18"/>
    <mergeCell ref="I18:I20"/>
    <mergeCell ref="G19:H19"/>
    <mergeCell ref="G20:H20"/>
    <mergeCell ref="B21:E21"/>
    <mergeCell ref="G21:K21"/>
    <mergeCell ref="C22:C24"/>
    <mergeCell ref="G22:H22"/>
    <mergeCell ref="I22:I24"/>
    <mergeCell ref="G23:H23"/>
    <mergeCell ref="G24:H24"/>
    <mergeCell ref="B25:E25"/>
    <mergeCell ref="G25:K25"/>
    <mergeCell ref="C26:C28"/>
    <mergeCell ref="G26:H26"/>
    <mergeCell ref="I26:I28"/>
    <mergeCell ref="G27:H27"/>
    <mergeCell ref="G28:H28"/>
    <mergeCell ref="G29:K29"/>
    <mergeCell ref="G30:H30"/>
    <mergeCell ref="I30:I32"/>
    <mergeCell ref="B31:E31"/>
    <mergeCell ref="G31:H31"/>
    <mergeCell ref="B32:C32"/>
    <mergeCell ref="G32:H32"/>
    <mergeCell ref="B33:E33"/>
    <mergeCell ref="G33:K33"/>
    <mergeCell ref="B34:C35"/>
    <mergeCell ref="G34:H34"/>
    <mergeCell ref="I34:I36"/>
    <mergeCell ref="G35:H35"/>
    <mergeCell ref="B36:E36"/>
    <mergeCell ref="G36:H36"/>
    <mergeCell ref="C37:C39"/>
    <mergeCell ref="G37:K37"/>
    <mergeCell ref="G38:I38"/>
    <mergeCell ref="G39:I39"/>
    <mergeCell ref="B40:E40"/>
    <mergeCell ref="G40:I40"/>
    <mergeCell ref="G46:I46"/>
    <mergeCell ref="G47:I47"/>
    <mergeCell ref="B41:C41"/>
    <mergeCell ref="G41:I41"/>
    <mergeCell ref="G42:I42"/>
    <mergeCell ref="G43:I43"/>
    <mergeCell ref="G44:K44"/>
    <mergeCell ref="G45:I4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DH394"/>
  <sheetViews>
    <sheetView zoomScale="70" zoomScaleNormal="70" workbookViewId="0">
      <selection activeCell="AQ88" sqref="AQ88"/>
    </sheetView>
  </sheetViews>
  <sheetFormatPr defaultRowHeight="14.4"/>
  <cols>
    <col min="2" max="2" width="13.77734375" customWidth="1"/>
    <col min="5" max="5" width="13.109375" customWidth="1"/>
    <col min="7" max="7" width="10.6640625" customWidth="1"/>
    <col min="12" max="12" width="4.44140625" customWidth="1"/>
    <col min="13" max="13" width="4.109375" customWidth="1"/>
    <col min="14" max="14" width="5.44140625" customWidth="1"/>
    <col min="22" max="22" width="10.5546875" customWidth="1"/>
    <col min="23" max="23" width="7.88671875" customWidth="1"/>
    <col min="24" max="24" width="10.77734375" style="152" customWidth="1"/>
    <col min="28" max="28" width="7.21875" customWidth="1"/>
    <col min="35" max="35" width="10.77734375" customWidth="1"/>
    <col min="46" max="46" width="11.44140625" customWidth="1"/>
    <col min="63" max="63" width="45.88671875" customWidth="1"/>
    <col min="64" max="69" width="8.88671875" style="175"/>
    <col min="70" max="72" width="8.88671875" style="183"/>
    <col min="73" max="73" width="45" customWidth="1"/>
    <col min="75" max="78" width="8.88671875" style="117"/>
  </cols>
  <sheetData>
    <row r="2" spans="2:112">
      <c r="BC2" s="318" t="s">
        <v>228</v>
      </c>
      <c r="BD2" s="318"/>
      <c r="BE2" s="318"/>
      <c r="BF2" s="318"/>
      <c r="BG2" s="318"/>
      <c r="BH2" s="151"/>
      <c r="BI2" s="151"/>
      <c r="BJ2" s="151"/>
    </row>
    <row r="3" spans="2:112" ht="15" thickBot="1">
      <c r="O3" s="155" t="s">
        <v>104</v>
      </c>
      <c r="P3" s="156" t="s">
        <v>15</v>
      </c>
      <c r="Q3" s="157" t="s">
        <v>224</v>
      </c>
      <c r="R3" s="155" t="s">
        <v>153</v>
      </c>
      <c r="S3" s="158" t="s">
        <v>154</v>
      </c>
      <c r="T3" s="158" t="s">
        <v>235</v>
      </c>
      <c r="U3" s="159" t="s">
        <v>28</v>
      </c>
      <c r="V3" s="160" t="s">
        <v>236</v>
      </c>
      <c r="W3" s="161" t="s">
        <v>234</v>
      </c>
      <c r="X3" s="160" t="s">
        <v>237</v>
      </c>
      <c r="Y3" s="21"/>
      <c r="Z3" s="160" t="str">
        <f>O3</f>
        <v>Шаг ВРУ</v>
      </c>
      <c r="AA3" s="201" t="s">
        <v>15</v>
      </c>
      <c r="AB3" s="160" t="s">
        <v>239</v>
      </c>
      <c r="AC3" s="155" t="s">
        <v>153</v>
      </c>
      <c r="AD3" s="158" t="s">
        <v>154</v>
      </c>
      <c r="AE3" s="158" t="s">
        <v>235</v>
      </c>
      <c r="AF3" s="200" t="s">
        <v>28</v>
      </c>
      <c r="AG3" s="197" t="s">
        <v>236</v>
      </c>
      <c r="AH3" s="161" t="s">
        <v>234</v>
      </c>
      <c r="AI3" s="160" t="s">
        <v>237</v>
      </c>
      <c r="AJ3" s="21"/>
      <c r="AK3" s="203" t="s">
        <v>104</v>
      </c>
      <c r="AL3" s="204" t="s">
        <v>15</v>
      </c>
      <c r="AM3" s="205" t="s">
        <v>239</v>
      </c>
      <c r="AN3" s="206" t="s">
        <v>153</v>
      </c>
      <c r="AO3" s="207" t="s">
        <v>154</v>
      </c>
      <c r="AP3" s="207" t="s">
        <v>235</v>
      </c>
      <c r="AQ3" s="208" t="s">
        <v>28</v>
      </c>
      <c r="AR3" s="209" t="s">
        <v>236</v>
      </c>
      <c r="AS3" s="210" t="s">
        <v>234</v>
      </c>
      <c r="AT3" s="205" t="s">
        <v>237</v>
      </c>
      <c r="AU3" s="21"/>
      <c r="AV3" s="21"/>
      <c r="AW3" s="21"/>
      <c r="AX3" s="21"/>
      <c r="AY3" s="21"/>
      <c r="AZ3" s="21"/>
      <c r="BA3" s="21"/>
      <c r="BB3" s="21"/>
      <c r="BC3" s="141" t="s">
        <v>159</v>
      </c>
      <c r="BD3" s="142" t="s">
        <v>235</v>
      </c>
      <c r="BE3" s="142" t="s">
        <v>194</v>
      </c>
      <c r="BF3" s="142" t="s">
        <v>227</v>
      </c>
      <c r="BG3" s="143" t="s">
        <v>47</v>
      </c>
      <c r="BH3" s="168" t="s">
        <v>236</v>
      </c>
      <c r="BI3" s="168" t="s">
        <v>234</v>
      </c>
      <c r="BJ3" s="168" t="s">
        <v>237</v>
      </c>
      <c r="BL3" s="176" t="s">
        <v>104</v>
      </c>
      <c r="BM3" s="177" t="s">
        <v>15</v>
      </c>
      <c r="BN3" s="178" t="str">
        <f>Q3</f>
        <v>УИ*</v>
      </c>
      <c r="BO3" s="178" t="s">
        <v>153</v>
      </c>
      <c r="BP3" s="178" t="str">
        <f>S3</f>
        <v>2βR</v>
      </c>
      <c r="BQ3" s="179" t="s">
        <v>28</v>
      </c>
      <c r="BR3" s="184" t="str">
        <f>V3</f>
        <v>Urms мВ</v>
      </c>
      <c r="BS3" s="185" t="str">
        <f>W3</f>
        <v>КУ</v>
      </c>
      <c r="BT3" s="186" t="str">
        <f>X3</f>
        <v>Uампл мВ</v>
      </c>
      <c r="BW3" s="139" t="s">
        <v>159</v>
      </c>
      <c r="BX3" s="139" t="str">
        <f>BE3</f>
        <v>Sb</v>
      </c>
      <c r="BY3" s="150" t="str">
        <f>BF3</f>
        <v>10lgS</v>
      </c>
      <c r="BZ3" s="150" t="s">
        <v>47</v>
      </c>
    </row>
    <row r="4" spans="2:112" ht="15" thickTop="1">
      <c r="B4" s="312" t="s">
        <v>174</v>
      </c>
      <c r="C4" s="312"/>
      <c r="D4" s="312"/>
      <c r="E4" s="312"/>
      <c r="G4" s="313" t="s">
        <v>196</v>
      </c>
      <c r="H4" s="313"/>
      <c r="I4" s="313"/>
      <c r="J4" s="313"/>
      <c r="K4" s="313"/>
      <c r="O4" s="112">
        <v>1</v>
      </c>
      <c r="P4" s="138">
        <v>0.5</v>
      </c>
      <c r="Q4" s="147">
        <f>$D$14+20*LOG10(J26/1)</f>
        <v>193.89166084364533</v>
      </c>
      <c r="R4" s="56">
        <f>20*LOG(P4)</f>
        <v>-6.0205999132796242</v>
      </c>
      <c r="S4" s="56">
        <f>2*$J$6*(P4/1000)</f>
        <v>1.7526622684259634E-2</v>
      </c>
      <c r="T4" s="56">
        <f>R4+S4</f>
        <v>-6.0030732905953643</v>
      </c>
      <c r="U4" s="154">
        <f t="shared" ref="U4:U35" si="0">$Q$4-(R4+S4)+$Q$8+$Q$10</f>
        <v>164.83353536393915</v>
      </c>
      <c r="V4" s="149">
        <f>POWER(10,(U4+$D$16)*0.05)*1000</f>
        <v>139.56186203988918</v>
      </c>
      <c r="W4" s="162">
        <f>POWER(10,0.05*T4)</f>
        <v>0.50100993209453792</v>
      </c>
      <c r="X4" s="4">
        <f>V4*POWER(2,0.5)*W4</f>
        <v>98.884469621774841</v>
      </c>
      <c r="Z4" s="171">
        <v>1</v>
      </c>
      <c r="AA4" s="202">
        <v>10.25</v>
      </c>
      <c r="AB4" s="88">
        <f>$D$14+20*LOG10(J27/1)</f>
        <v>213.89166084364533</v>
      </c>
      <c r="AC4">
        <f>20*LOG(AA4)</f>
        <v>20.214477307835462</v>
      </c>
      <c r="AD4">
        <f>2*$J$6*(AA4/1000)</f>
        <v>0.35929576502732247</v>
      </c>
      <c r="AE4" s="40">
        <f>AC4+AD4</f>
        <v>20.573773072862785</v>
      </c>
      <c r="AF4" s="88">
        <f t="shared" ref="AF4:AF41" si="1">$AB$4-(AC4+AD4)+$Q$8+$Q$10</f>
        <v>158.256689000481</v>
      </c>
      <c r="AG4" s="199">
        <f>POWER(10,(AF4+$D$16)*0.05)*1000</f>
        <v>65.452228369625033</v>
      </c>
      <c r="AH4" s="213">
        <f>POWER(10,0.05*AE4)</f>
        <v>10.682887468510003</v>
      </c>
      <c r="AI4">
        <f>AG4*POWER(2,0.5)*AH4</f>
        <v>988.8446962177494</v>
      </c>
      <c r="AK4" s="171">
        <v>1</v>
      </c>
      <c r="AL4" s="202">
        <v>50</v>
      </c>
      <c r="AM4" s="53">
        <f>$D$14+20*LOG10(J28/1)</f>
        <v>218.24133972792345</v>
      </c>
      <c r="AN4" s="171">
        <f>20*LOG(AL4)</f>
        <v>33.979400086720375</v>
      </c>
      <c r="AO4" s="171">
        <f>2*$J$6*(AL4/1000)</f>
        <v>1.7526622684259632</v>
      </c>
      <c r="AP4" s="171">
        <f>AN4+AO4</f>
        <v>35.73206235514634</v>
      </c>
      <c r="AQ4" s="53">
        <f t="shared" ref="AQ4:AQ35" si="2">$AM$4-(AN4+AO4)+$Q$8+$Q$10</f>
        <v>147.44807860247556</v>
      </c>
      <c r="AR4" s="198">
        <f>POWER(10,(AQ4+$D$16)*0.05)*1000</f>
        <v>18.857925562185244</v>
      </c>
      <c r="AS4" s="211">
        <f>POWER(10,0.05*AP4)</f>
        <v>61.179104779305234</v>
      </c>
      <c r="AT4" s="171">
        <f>AR4*POWER(2,0.5)*AS4</f>
        <v>1631.5937487592839</v>
      </c>
      <c r="BB4" s="40"/>
      <c r="BC4" s="167">
        <f t="shared" ref="BC4:BC35" si="3">40*LOG(P4)</f>
        <v>-12.041199826559248</v>
      </c>
      <c r="BD4" s="165">
        <f t="shared" ref="BD4:BD35" si="4">BC4+S4</f>
        <v>-12.023673203874989</v>
      </c>
      <c r="BE4" s="112">
        <f>Q8</f>
        <v>-30</v>
      </c>
      <c r="BF4" s="14">
        <f t="shared" ref="BF4:BF35" si="5">10*LOG10(($D$29*($D$22/1000000))/2)+$J$12+10*LOG10(P4)</f>
        <v>-15.518773675908278</v>
      </c>
      <c r="BG4" s="140">
        <f t="shared" ref="BG4:BG35" si="6">$Q$4-(BC4+S4)+$BE$4+BF4</f>
        <v>160.39656037161203</v>
      </c>
      <c r="BH4" s="170">
        <f>POWER(10,(BG4+$D$16)*0.05)*1000</f>
        <v>83.737117223933566</v>
      </c>
      <c r="BI4" s="169">
        <f>POWER(10,0.05*(BD4-BF4))</f>
        <v>1.495391898972587</v>
      </c>
      <c r="BJ4" s="169">
        <f>BH4*POWER(2,0.5)*BI4</f>
        <v>177.08754896942912</v>
      </c>
      <c r="BL4" s="175">
        <v>1</v>
      </c>
      <c r="BM4" s="180">
        <v>15</v>
      </c>
      <c r="BN4" s="181">
        <f>$D$14+20*LOG10(J27/1)</f>
        <v>213.89166084364533</v>
      </c>
      <c r="BO4" s="181">
        <f>20*LOG10(BM4)</f>
        <v>23.521825181113627</v>
      </c>
      <c r="BP4" s="181">
        <f>2*$J$6*(BM4/1000)</f>
        <v>0.52579868052778889</v>
      </c>
      <c r="BQ4" s="182">
        <f>$BN$4-(BO4+BP4)+$BN$8+$BN$10</f>
        <v>154.78283821170237</v>
      </c>
      <c r="BR4" s="183">
        <f>POWER(10,(BQ4+$D$16)*0.05)*1000</f>
        <v>43.876491986591901</v>
      </c>
      <c r="BS4" s="187">
        <f>POWER(10,0.05*(BO4+BP4))</f>
        <v>15.936068691398441</v>
      </c>
      <c r="BT4" s="183">
        <f>BR4*BS4</f>
        <v>699.2187902359218</v>
      </c>
      <c r="BW4" s="53">
        <f t="shared" ref="BW4:BW67" si="7">40*LOG10(BM4)</f>
        <v>47.043650362227254</v>
      </c>
      <c r="BX4" s="112">
        <f>BE4</f>
        <v>-30</v>
      </c>
      <c r="BY4" s="14">
        <f t="shared" ref="BY4:BY67" si="8">10*LOG10(($D$29*($D$23/1000000))/2)+$J$12+10*LOG10(BM4)</f>
        <v>8.4606264108121003</v>
      </c>
      <c r="BZ4" s="53">
        <f t="shared" ref="BZ4:BZ67" si="9">$BN$4-(BW4+BP4)+$BX$4+BY4</f>
        <v>144.78283821170237</v>
      </c>
      <c r="CX4" s="318" t="s">
        <v>230</v>
      </c>
      <c r="CY4" s="318"/>
      <c r="CZ4" s="318"/>
      <c r="DA4" s="318"/>
      <c r="DB4" s="318"/>
    </row>
    <row r="5" spans="2:112">
      <c r="B5" s="314" t="s">
        <v>175</v>
      </c>
      <c r="C5" s="305" t="s">
        <v>10</v>
      </c>
      <c r="D5" s="116">
        <v>50</v>
      </c>
      <c r="E5" s="110" t="s">
        <v>11</v>
      </c>
      <c r="G5" s="288" t="s">
        <v>69</v>
      </c>
      <c r="H5" s="288"/>
      <c r="I5" s="30" t="s">
        <v>6</v>
      </c>
      <c r="J5" s="116">
        <f>D29/D6</f>
        <v>0.03</v>
      </c>
      <c r="K5" s="110" t="s">
        <v>7</v>
      </c>
      <c r="O5" s="112">
        <f>1+O4</f>
        <v>2</v>
      </c>
      <c r="P5" s="138">
        <f t="shared" ref="P5:P36" si="10">P4+$J$45</f>
        <v>0.875</v>
      </c>
      <c r="Q5" s="148" t="s">
        <v>226</v>
      </c>
      <c r="R5" s="56">
        <f t="shared" ref="R5:R68" si="11">20*LOG(P5)</f>
        <v>-1.159838939553735</v>
      </c>
      <c r="S5" s="56">
        <f t="shared" ref="S5:S68" si="12">2*$J$6*(P5/1000)</f>
        <v>3.0671589697454357E-2</v>
      </c>
      <c r="T5" s="56">
        <f t="shared" ref="T5:T68" si="13">R5+S5</f>
        <v>-1.1291673498562806</v>
      </c>
      <c r="U5" s="154">
        <f t="shared" si="0"/>
        <v>159.95962942320008</v>
      </c>
      <c r="V5" s="149">
        <f t="shared" ref="V5:V68" si="14">POWER(10,(U5+$D$16)*0.05)*1000</f>
        <v>79.629036004081613</v>
      </c>
      <c r="W5" s="162">
        <f t="shared" ref="W5:W68" si="15">POWER(10,0.05*T5)</f>
        <v>0.8780952593725766</v>
      </c>
      <c r="X5" s="4">
        <f>V5*POWER(2,0.5)*W5</f>
        <v>98.88446962177504</v>
      </c>
      <c r="Z5" s="171">
        <v>2</v>
      </c>
      <c r="AA5" s="202">
        <f>AA4+3.75</f>
        <v>14</v>
      </c>
      <c r="AC5">
        <f t="shared" ref="AC5:AC41" si="16">20*LOG(AA5)</f>
        <v>22.92256071356476</v>
      </c>
      <c r="AD5">
        <f t="shared" ref="AD5:AD41" si="17">2*$J$6*(AA5/1000)</f>
        <v>0.49074543515926972</v>
      </c>
      <c r="AE5" s="40">
        <f t="shared" ref="AE5:AE41" si="18">AC5+AD5</f>
        <v>23.413306148724029</v>
      </c>
      <c r="AF5" s="88">
        <f t="shared" si="1"/>
        <v>155.41715592461978</v>
      </c>
      <c r="AG5" s="199">
        <f t="shared" ref="AG5:AG41" si="19">POWER(10,(AF5+$D$16)*0.05)*1000</f>
        <v>47.200628684966503</v>
      </c>
      <c r="AH5" s="213">
        <f t="shared" ref="AH5:AH41" si="20">POWER(10,0.05*AE5)</f>
        <v>14.81376010694167</v>
      </c>
      <c r="AI5">
        <f t="shared" ref="AI5:AI41" si="21">AG5*POWER(2,0.5)*AH5</f>
        <v>988.84469621775122</v>
      </c>
      <c r="AK5" s="171">
        <f>AK4+1</f>
        <v>2</v>
      </c>
      <c r="AL5" s="202">
        <f>AL4+37.5</f>
        <v>87.5</v>
      </c>
      <c r="AM5" s="171"/>
      <c r="AN5" s="171">
        <f t="shared" ref="AN5:AN57" si="22">20*LOG(AL5)</f>
        <v>38.840161060446263</v>
      </c>
      <c r="AO5" s="171">
        <f t="shared" ref="AO5:AO57" si="23">2*$J$6*(AL5/1000)</f>
        <v>3.0671589697454356</v>
      </c>
      <c r="AP5" s="171">
        <f t="shared" ref="AP5:AP57" si="24">AN5+AO5</f>
        <v>41.907320030191698</v>
      </c>
      <c r="AQ5" s="53">
        <f t="shared" si="2"/>
        <v>141.27282092743022</v>
      </c>
      <c r="AR5" s="198">
        <f t="shared" ref="AR5:AR57" si="25">POWER(10,(AQ5+$D$16)*0.05)*1000</f>
        <v>9.2625599816916342</v>
      </c>
      <c r="AS5" s="211">
        <f t="shared" ref="AS5:AS57" si="26">POWER(10,0.05*AP5)</f>
        <v>124.55638680555874</v>
      </c>
      <c r="AT5" s="171">
        <f t="shared" ref="AT5:AT57" si="27">AR5*POWER(2,0.5)*AS5</f>
        <v>1631.5937487592878</v>
      </c>
      <c r="BB5" s="40"/>
      <c r="BC5" s="167">
        <f t="shared" si="3"/>
        <v>-2.3196778791074699</v>
      </c>
      <c r="BD5" s="165">
        <f t="shared" si="4"/>
        <v>-2.2890062894100156</v>
      </c>
      <c r="BF5" s="14">
        <f t="shared" si="5"/>
        <v>-13.088393189045334</v>
      </c>
      <c r="BG5" s="140">
        <f t="shared" si="6"/>
        <v>153.09227394401</v>
      </c>
      <c r="BH5" s="170">
        <f t="shared" ref="BH5:BH68" si="28">POWER(10,(BG5+$D$16)*0.05)*1000</f>
        <v>36.116335955418542</v>
      </c>
      <c r="BI5" s="169">
        <f t="shared" ref="BI5:BI68" si="29">POWER(10,0.05*(BD5-BF5))</f>
        <v>3.4671237662247241</v>
      </c>
      <c r="BJ5" s="169">
        <f t="shared" ref="BJ5:BJ68" si="30">BH5*POWER(2,0.5)*BI5</f>
        <v>177.08754896942915</v>
      </c>
      <c r="BL5" s="175">
        <f>BL4+1</f>
        <v>2</v>
      </c>
      <c r="BM5" s="180">
        <f>BM4+$J$46</f>
        <v>18.75</v>
      </c>
      <c r="BN5" s="175" t="str">
        <f t="shared" ref="BN5:BN10" si="31">Q5</f>
        <v xml:space="preserve">*расчет </v>
      </c>
      <c r="BO5" s="181">
        <f t="shared" ref="BO5:BO68" si="32">20*LOG10(BM5)</f>
        <v>25.460025441274752</v>
      </c>
      <c r="BP5" s="181">
        <f t="shared" ref="BP5:BP68" si="33">2*$J$6*(BM5/1000)</f>
        <v>0.65724835065973619</v>
      </c>
      <c r="BQ5" s="182">
        <f t="shared" ref="BQ5:BQ68" si="34">$BN$4-(BO5+BP5)+$BN$8+$BN$10</f>
        <v>152.71318828140932</v>
      </c>
      <c r="BR5" s="183">
        <f t="shared" ref="BR5:BR68" si="35">POWER(10,(BQ5+$D$16)*0.05)*1000</f>
        <v>34.573981960647664</v>
      </c>
      <c r="BS5" s="187">
        <f t="shared" ref="BS5:BS68" si="36">POWER(10,0.05*(BO5+BP5))</f>
        <v>20.223843207640314</v>
      </c>
      <c r="BT5" s="183">
        <f t="shared" ref="BT5:BT68" si="37">BR5*BS5</f>
        <v>699.21879023592305</v>
      </c>
      <c r="BW5" s="53">
        <f t="shared" si="7"/>
        <v>50.920050882549504</v>
      </c>
      <c r="BY5" s="14">
        <f t="shared" si="8"/>
        <v>9.4297265408926627</v>
      </c>
      <c r="BZ5" s="53">
        <f t="shared" si="9"/>
        <v>141.74408815132875</v>
      </c>
      <c r="CX5" s="141" t="s">
        <v>166</v>
      </c>
      <c r="CY5" s="142" t="s">
        <v>171</v>
      </c>
      <c r="CZ5" s="142" t="s">
        <v>229</v>
      </c>
      <c r="DA5" s="142" t="s">
        <v>167</v>
      </c>
      <c r="DB5" s="144" t="s">
        <v>47</v>
      </c>
      <c r="DC5" s="21" t="s">
        <v>12</v>
      </c>
      <c r="DD5" s="21" t="s">
        <v>233</v>
      </c>
      <c r="DE5" s="142" t="s">
        <v>167</v>
      </c>
      <c r="DF5" s="21" t="s">
        <v>231</v>
      </c>
      <c r="DG5" s="21" t="s">
        <v>232</v>
      </c>
      <c r="DH5" s="21" t="s">
        <v>28</v>
      </c>
    </row>
    <row r="6" spans="2:112">
      <c r="B6" s="315"/>
      <c r="C6" s="307"/>
      <c r="D6" s="116">
        <f>D5*1000</f>
        <v>50000</v>
      </c>
      <c r="E6" s="110" t="s">
        <v>31</v>
      </c>
      <c r="G6" s="316" t="s">
        <v>199</v>
      </c>
      <c r="H6" s="316"/>
      <c r="I6" s="317" t="s">
        <v>16</v>
      </c>
      <c r="J6" s="123">
        <f>((0.11*POWER(D5,2))/(1+POWER(D5,2))+((44*POWER(D5,2))/(4100+POWER(D5,2)))+((3*POWER(10,-4))*POWER(D5,2)))</f>
        <v>17.526622684259632</v>
      </c>
      <c r="K6" s="110" t="s">
        <v>197</v>
      </c>
      <c r="O6" s="112">
        <f t="shared" ref="O6:O14" si="38">1+O5</f>
        <v>3</v>
      </c>
      <c r="P6" s="138">
        <f t="shared" si="10"/>
        <v>1.25</v>
      </c>
      <c r="Q6" s="148" t="s">
        <v>225</v>
      </c>
      <c r="R6" s="56">
        <f t="shared" si="11"/>
        <v>1.9382002601611283</v>
      </c>
      <c r="S6" s="56">
        <f t="shared" si="12"/>
        <v>4.3816556710649081E-2</v>
      </c>
      <c r="T6" s="56">
        <f t="shared" si="13"/>
        <v>1.9820168168717773</v>
      </c>
      <c r="U6" s="154">
        <f t="shared" si="0"/>
        <v>156.84844525647202</v>
      </c>
      <c r="V6" s="149">
        <f t="shared" si="14"/>
        <v>55.656033251265875</v>
      </c>
      <c r="W6" s="162">
        <f t="shared" si="15"/>
        <v>1.2563216409606748</v>
      </c>
      <c r="X6" s="4">
        <f t="shared" ref="X6:X69" si="39">V6*POWER(2,0.5)*W6</f>
        <v>98.88446962177494</v>
      </c>
      <c r="Z6" s="171">
        <v>3</v>
      </c>
      <c r="AA6" s="202">
        <f t="shared" ref="AA6:AA41" si="40">AA5+3.75</f>
        <v>17.75</v>
      </c>
      <c r="AC6">
        <f t="shared" si="16"/>
        <v>24.983967147822259</v>
      </c>
      <c r="AD6">
        <f t="shared" si="17"/>
        <v>0.62219510529121691</v>
      </c>
      <c r="AE6" s="40">
        <f t="shared" si="18"/>
        <v>25.606162253113474</v>
      </c>
      <c r="AF6" s="88">
        <f t="shared" si="1"/>
        <v>153.22429982023033</v>
      </c>
      <c r="AG6" s="199">
        <f t="shared" si="19"/>
        <v>36.669499133901247</v>
      </c>
      <c r="AH6" s="213">
        <f t="shared" si="20"/>
        <v>19.068130374038574</v>
      </c>
      <c r="AI6">
        <f t="shared" si="21"/>
        <v>988.84469621775145</v>
      </c>
      <c r="AK6" s="192">
        <f t="shared" ref="AK6:AK57" si="41">AK5+1</f>
        <v>3</v>
      </c>
      <c r="AL6" s="202">
        <f t="shared" ref="AL6:AL57" si="42">AL5+37.5</f>
        <v>125</v>
      </c>
      <c r="AM6" s="171"/>
      <c r="AN6" s="171">
        <f t="shared" si="22"/>
        <v>41.938200260161125</v>
      </c>
      <c r="AO6" s="171">
        <f t="shared" si="23"/>
        <v>4.3816556710649079</v>
      </c>
      <c r="AP6" s="171">
        <f t="shared" si="24"/>
        <v>46.31985593122603</v>
      </c>
      <c r="AQ6" s="53">
        <f t="shared" si="2"/>
        <v>136.8602850263959</v>
      </c>
      <c r="AR6" s="198">
        <f t="shared" si="25"/>
        <v>5.5731949935910405</v>
      </c>
      <c r="AS6" s="211">
        <f t="shared" si="26"/>
        <v>207.0107012613046</v>
      </c>
      <c r="AT6" s="171">
        <f t="shared" si="27"/>
        <v>1631.5937487592889</v>
      </c>
      <c r="BB6" s="40"/>
      <c r="BC6" s="167">
        <f t="shared" si="3"/>
        <v>3.8764005203222567</v>
      </c>
      <c r="BD6" s="165">
        <f t="shared" si="4"/>
        <v>3.9202170770329059</v>
      </c>
      <c r="BF6" s="14">
        <f t="shared" si="5"/>
        <v>-11.539373589187901</v>
      </c>
      <c r="BG6" s="140">
        <f t="shared" si="6"/>
        <v>148.43207017742452</v>
      </c>
      <c r="BH6" s="170">
        <f t="shared" si="28"/>
        <v>21.119979672488</v>
      </c>
      <c r="BI6" s="169">
        <f t="shared" si="29"/>
        <v>5.9289738286588509</v>
      </c>
      <c r="BJ6" s="169">
        <f t="shared" si="30"/>
        <v>177.08754896942935</v>
      </c>
      <c r="BL6" s="175">
        <f t="shared" ref="BL6:BL69" si="43">BL5+1</f>
        <v>3</v>
      </c>
      <c r="BM6" s="180">
        <f t="shared" ref="BM6:BM69" si="44">BM5+$J$46</f>
        <v>22.5</v>
      </c>
      <c r="BN6" s="175" t="str">
        <f t="shared" si="31"/>
        <v>по Su</v>
      </c>
      <c r="BO6" s="181">
        <f t="shared" si="32"/>
        <v>27.04365036222725</v>
      </c>
      <c r="BP6" s="181">
        <f t="shared" si="33"/>
        <v>0.78869802079168339</v>
      </c>
      <c r="BQ6" s="182">
        <f t="shared" si="34"/>
        <v>150.99811369032486</v>
      </c>
      <c r="BR6" s="183">
        <f t="shared" si="35"/>
        <v>28.378907438361104</v>
      </c>
      <c r="BS6" s="187">
        <f t="shared" si="36"/>
        <v>24.638678982079316</v>
      </c>
      <c r="BT6" s="183">
        <f t="shared" si="37"/>
        <v>699.21879023592214</v>
      </c>
      <c r="BW6" s="53">
        <f t="shared" si="7"/>
        <v>54.087300724454501</v>
      </c>
      <c r="BY6" s="14">
        <f t="shared" si="8"/>
        <v>10.22153900136891</v>
      </c>
      <c r="BZ6" s="53">
        <f t="shared" si="9"/>
        <v>139.23720109976804</v>
      </c>
      <c r="CX6" s="88">
        <f>10*LOG10(J34)</f>
        <v>-4.8216373327664357E-16</v>
      </c>
      <c r="CY6">
        <v>-30</v>
      </c>
      <c r="CZ6" s="14">
        <f t="shared" ref="CZ6:CZ37" si="45">10*LOG10(P4)</f>
        <v>-3.0102999566398121</v>
      </c>
      <c r="DA6" s="88">
        <f>10*LOG(D22/1000000)</f>
        <v>-36.197887582883943</v>
      </c>
      <c r="DB6" s="140">
        <f t="shared" ref="DB6:DB37" si="46">$CX$6+$CY$6+CZ6+$DA$6-(BC4+S4)+197</f>
        <v>139.81548566435123</v>
      </c>
      <c r="DC6" s="40">
        <f>J9</f>
        <v>23.922397540603054</v>
      </c>
      <c r="DD6" s="88">
        <f>10*LOG10(D29/(8*PI()))</f>
        <v>17.758513993696038</v>
      </c>
      <c r="DE6" s="88">
        <f>DA6</f>
        <v>-36.197887582883943</v>
      </c>
      <c r="DF6">
        <f>20*LOG(0.1)</f>
        <v>-20</v>
      </c>
      <c r="DG6" s="88">
        <f t="shared" ref="DG6:DG37" si="47">30*LOG10(P4)</f>
        <v>-9.0308998699194358</v>
      </c>
      <c r="DH6" s="40">
        <f t="shared" ref="DH6:DH37" si="48">$CX$6+$DC$6+$DD$6+$DE$6+$DF$6-(DG6+S4)+182</f>
        <v>176.49639719865033</v>
      </c>
    </row>
    <row r="7" spans="2:112">
      <c r="B7" s="119" t="s">
        <v>176</v>
      </c>
      <c r="C7" s="110" t="s">
        <v>1</v>
      </c>
      <c r="D7" s="116">
        <v>80</v>
      </c>
      <c r="E7" s="110" t="s">
        <v>2</v>
      </c>
      <c r="G7" s="316"/>
      <c r="H7" s="316"/>
      <c r="I7" s="317"/>
      <c r="J7" s="123">
        <f>0.214*D5+0.00016*POWER(D5,2)</f>
        <v>11.1</v>
      </c>
      <c r="K7" s="110" t="s">
        <v>198</v>
      </c>
      <c r="O7" s="112">
        <f t="shared" si="38"/>
        <v>4</v>
      </c>
      <c r="P7" s="138">
        <f t="shared" si="10"/>
        <v>1.625</v>
      </c>
      <c r="Q7" s="145" t="s">
        <v>194</v>
      </c>
      <c r="R7" s="56">
        <f t="shared" si="11"/>
        <v>4.2170673062978636</v>
      </c>
      <c r="S7" s="56">
        <f t="shared" si="12"/>
        <v>5.6961523723843797E-2</v>
      </c>
      <c r="T7" s="56">
        <f t="shared" si="13"/>
        <v>4.2740288300217077</v>
      </c>
      <c r="U7" s="154">
        <f t="shared" si="0"/>
        <v>154.55643324332209</v>
      </c>
      <c r="V7" s="149">
        <f t="shared" si="14"/>
        <v>42.747591360099321</v>
      </c>
      <c r="W7" s="162">
        <f t="shared" si="15"/>
        <v>1.6356916682060703</v>
      </c>
      <c r="X7" s="4">
        <f t="shared" si="39"/>
        <v>98.884469621774997</v>
      </c>
      <c r="Z7" s="171">
        <v>4</v>
      </c>
      <c r="AA7" s="202">
        <f t="shared" si="40"/>
        <v>21.5</v>
      </c>
      <c r="AC7">
        <f t="shared" si="16"/>
        <v>26.64876919831211</v>
      </c>
      <c r="AD7">
        <f t="shared" si="17"/>
        <v>0.7536447754231641</v>
      </c>
      <c r="AE7" s="40">
        <f t="shared" si="18"/>
        <v>27.402413973735275</v>
      </c>
      <c r="AF7" s="88">
        <f t="shared" si="1"/>
        <v>151.42804809960853</v>
      </c>
      <c r="AG7" s="199">
        <f t="shared" si="19"/>
        <v>29.818953102353504</v>
      </c>
      <c r="AH7" s="213">
        <f t="shared" si="20"/>
        <v>23.44880411582044</v>
      </c>
      <c r="AI7">
        <f t="shared" si="21"/>
        <v>988.84469621775133</v>
      </c>
      <c r="AK7" s="192">
        <f t="shared" si="41"/>
        <v>4</v>
      </c>
      <c r="AL7" s="202">
        <f t="shared" si="42"/>
        <v>162.5</v>
      </c>
      <c r="AM7" s="171"/>
      <c r="AN7" s="171">
        <f t="shared" si="22"/>
        <v>44.217067306297864</v>
      </c>
      <c r="AO7" s="171">
        <f t="shared" si="23"/>
        <v>5.6961523723843808</v>
      </c>
      <c r="AP7" s="171">
        <f t="shared" si="24"/>
        <v>49.913219678682246</v>
      </c>
      <c r="AQ7" s="53">
        <f t="shared" si="2"/>
        <v>133.26692127893966</v>
      </c>
      <c r="AR7" s="198">
        <f t="shared" si="25"/>
        <v>3.6849877709243435</v>
      </c>
      <c r="AS7" s="211">
        <f t="shared" si="26"/>
        <v>313.08407940791454</v>
      </c>
      <c r="AT7" s="171">
        <f t="shared" si="27"/>
        <v>1631.593748759286</v>
      </c>
      <c r="BB7" s="40"/>
      <c r="BC7" s="167">
        <f t="shared" si="3"/>
        <v>8.4341346125957273</v>
      </c>
      <c r="BD7" s="165">
        <f t="shared" si="4"/>
        <v>8.4910961363195714</v>
      </c>
      <c r="BF7" s="14">
        <f t="shared" si="5"/>
        <v>-10.399940066119534</v>
      </c>
      <c r="BG7" s="140">
        <f t="shared" si="6"/>
        <v>145.0006246412062</v>
      </c>
      <c r="BH7" s="170">
        <f t="shared" si="28"/>
        <v>14.227258389361763</v>
      </c>
      <c r="BI7" s="169">
        <f t="shared" si="29"/>
        <v>8.8014010368729405</v>
      </c>
      <c r="BJ7" s="169">
        <f t="shared" si="30"/>
        <v>177.08754896942875</v>
      </c>
      <c r="BL7" s="175">
        <f t="shared" si="43"/>
        <v>4</v>
      </c>
      <c r="BM7" s="180">
        <f t="shared" si="44"/>
        <v>26.25</v>
      </c>
      <c r="BN7" s="175" t="str">
        <f t="shared" si="31"/>
        <v>Sb</v>
      </c>
      <c r="BO7" s="181">
        <f t="shared" si="32"/>
        <v>28.382586154839515</v>
      </c>
      <c r="BP7" s="181">
        <f t="shared" si="33"/>
        <v>0.92014769092363058</v>
      </c>
      <c r="BQ7" s="182">
        <f t="shared" si="34"/>
        <v>149.52772822758064</v>
      </c>
      <c r="BR7" s="183">
        <f t="shared" si="35"/>
        <v>23.959425392872056</v>
      </c>
      <c r="BS7" s="187">
        <f t="shared" si="36"/>
        <v>29.1834540591253</v>
      </c>
      <c r="BT7" s="183">
        <f t="shared" si="37"/>
        <v>699.2187902359218</v>
      </c>
      <c r="BW7" s="53">
        <f t="shared" si="7"/>
        <v>56.765172309679031</v>
      </c>
      <c r="BY7" s="14">
        <f t="shared" si="8"/>
        <v>10.891006897675044</v>
      </c>
      <c r="BZ7" s="53">
        <f t="shared" si="9"/>
        <v>137.09734774071771</v>
      </c>
      <c r="CZ7" s="14">
        <f t="shared" si="45"/>
        <v>-0.57991946977686748</v>
      </c>
      <c r="DB7" s="140">
        <f t="shared" si="46"/>
        <v>132.51119923674918</v>
      </c>
      <c r="DC7" s="40"/>
      <c r="DG7" s="88">
        <f t="shared" si="47"/>
        <v>-1.7397584093306027</v>
      </c>
      <c r="DH7" s="40">
        <f t="shared" si="48"/>
        <v>169.19211077104831</v>
      </c>
    </row>
    <row r="8" spans="2:112">
      <c r="B8" s="119" t="s">
        <v>177</v>
      </c>
      <c r="C8" s="110" t="s">
        <v>44</v>
      </c>
      <c r="D8" s="116">
        <v>0.15</v>
      </c>
      <c r="E8" s="110" t="s">
        <v>7</v>
      </c>
      <c r="G8" s="288" t="s">
        <v>200</v>
      </c>
      <c r="H8" s="288"/>
      <c r="I8" s="30" t="s">
        <v>8</v>
      </c>
      <c r="J8" s="124">
        <f>POWER(PI()*D8/J5,2)</f>
        <v>246.74011002723395</v>
      </c>
      <c r="K8" s="110"/>
      <c r="O8" s="112">
        <f t="shared" si="38"/>
        <v>5</v>
      </c>
      <c r="P8" s="12">
        <f t="shared" si="10"/>
        <v>2</v>
      </c>
      <c r="Q8" s="146">
        <f>D41</f>
        <v>-30</v>
      </c>
      <c r="R8" s="56">
        <f t="shared" si="11"/>
        <v>6.0205999132796242</v>
      </c>
      <c r="S8" s="56">
        <f t="shared" si="12"/>
        <v>7.0106490737038535E-2</v>
      </c>
      <c r="T8" s="56">
        <f t="shared" si="13"/>
        <v>6.0907064040166627</v>
      </c>
      <c r="U8" s="154">
        <f t="shared" si="0"/>
        <v>152.73975566932714</v>
      </c>
      <c r="V8" s="149">
        <f t="shared" si="14"/>
        <v>34.679894725428589</v>
      </c>
      <c r="W8" s="162">
        <f t="shared" si="15"/>
        <v>2.0162079376879709</v>
      </c>
      <c r="X8" s="4">
        <f t="shared" si="39"/>
        <v>98.884469621775096</v>
      </c>
      <c r="Z8" s="171">
        <v>5</v>
      </c>
      <c r="AA8" s="202">
        <f t="shared" si="40"/>
        <v>25.25</v>
      </c>
      <c r="AC8">
        <f t="shared" si="16"/>
        <v>28.045227649093604</v>
      </c>
      <c r="AD8">
        <f t="shared" si="17"/>
        <v>0.88509444555511141</v>
      </c>
      <c r="AE8" s="40">
        <f t="shared" si="18"/>
        <v>28.930322094648716</v>
      </c>
      <c r="AF8" s="88">
        <f t="shared" si="1"/>
        <v>149.90013997869508</v>
      </c>
      <c r="AG8" s="199">
        <f t="shared" si="19"/>
        <v>25.009037970467542</v>
      </c>
      <c r="AH8" s="213">
        <f t="shared" si="20"/>
        <v>27.95864403347343</v>
      </c>
      <c r="AI8">
        <f t="shared" si="21"/>
        <v>988.8446962177502</v>
      </c>
      <c r="AK8" s="192">
        <f t="shared" si="41"/>
        <v>5</v>
      </c>
      <c r="AL8" s="202">
        <f t="shared" si="42"/>
        <v>200</v>
      </c>
      <c r="AM8" s="171"/>
      <c r="AN8" s="171">
        <f t="shared" si="22"/>
        <v>46.020599913279625</v>
      </c>
      <c r="AO8" s="171">
        <f t="shared" si="23"/>
        <v>7.0106490737038527</v>
      </c>
      <c r="AP8" s="171">
        <f t="shared" si="24"/>
        <v>53.031248986983478</v>
      </c>
      <c r="AQ8" s="53">
        <f t="shared" si="2"/>
        <v>130.14889197063843</v>
      </c>
      <c r="AR8" s="198">
        <f t="shared" si="25"/>
        <v>2.5735617047130224</v>
      </c>
      <c r="AS8" s="211">
        <f t="shared" si="26"/>
        <v>448.29350770041913</v>
      </c>
      <c r="AT8" s="171">
        <f t="shared" si="27"/>
        <v>1631.5937487592857</v>
      </c>
      <c r="BB8" s="40"/>
      <c r="BC8" s="167">
        <f t="shared" si="3"/>
        <v>12.041199826559248</v>
      </c>
      <c r="BD8" s="165">
        <f t="shared" si="4"/>
        <v>12.111306317296286</v>
      </c>
      <c r="BF8" s="14">
        <f t="shared" si="5"/>
        <v>-9.4981737626286531</v>
      </c>
      <c r="BG8" s="140">
        <f t="shared" si="6"/>
        <v>142.28218076372039</v>
      </c>
      <c r="BH8" s="170">
        <f t="shared" si="28"/>
        <v>10.403968417628572</v>
      </c>
      <c r="BI8" s="169">
        <f t="shared" si="29"/>
        <v>12.035773438894216</v>
      </c>
      <c r="BJ8" s="169">
        <f t="shared" si="30"/>
        <v>177.08754896942929</v>
      </c>
      <c r="BL8" s="175">
        <f t="shared" si="43"/>
        <v>5</v>
      </c>
      <c r="BM8" s="180">
        <f t="shared" si="44"/>
        <v>30</v>
      </c>
      <c r="BN8" s="175">
        <f t="shared" si="31"/>
        <v>-30</v>
      </c>
      <c r="BO8" s="181">
        <f t="shared" si="32"/>
        <v>29.542425094393248</v>
      </c>
      <c r="BP8" s="181">
        <f t="shared" si="33"/>
        <v>1.0515973610555778</v>
      </c>
      <c r="BQ8" s="182">
        <f t="shared" si="34"/>
        <v>148.23643961789497</v>
      </c>
      <c r="BR8" s="183">
        <f t="shared" si="35"/>
        <v>20.649615427238892</v>
      </c>
      <c r="BS8" s="187">
        <f t="shared" si="36"/>
        <v>33.861104711595928</v>
      </c>
      <c r="BT8" s="183">
        <f t="shared" si="37"/>
        <v>699.21879023592282</v>
      </c>
      <c r="BW8" s="53">
        <f t="shared" si="7"/>
        <v>59.084850188786497</v>
      </c>
      <c r="BY8" s="14">
        <f t="shared" si="8"/>
        <v>11.470926367451909</v>
      </c>
      <c r="BZ8" s="53">
        <f t="shared" si="9"/>
        <v>135.22613966125516</v>
      </c>
      <c r="CZ8" s="14">
        <f t="shared" si="45"/>
        <v>0.96910013008056417</v>
      </c>
      <c r="DB8" s="140">
        <f t="shared" si="46"/>
        <v>127.85099547016372</v>
      </c>
      <c r="DC8" s="40"/>
      <c r="DG8" s="88">
        <f t="shared" si="47"/>
        <v>2.9073003902416925</v>
      </c>
      <c r="DH8" s="40">
        <f t="shared" si="48"/>
        <v>164.53190700446279</v>
      </c>
    </row>
    <row r="9" spans="2:112">
      <c r="B9" s="119" t="s">
        <v>178</v>
      </c>
      <c r="C9" s="110" t="s">
        <v>179</v>
      </c>
      <c r="D9" s="116">
        <f>D8/2</f>
        <v>7.4999999999999997E-2</v>
      </c>
      <c r="E9" s="110" t="s">
        <v>7</v>
      </c>
      <c r="G9" s="290" t="s">
        <v>201</v>
      </c>
      <c r="H9" s="290"/>
      <c r="I9" s="30" t="s">
        <v>202</v>
      </c>
      <c r="J9" s="123">
        <f>10*LOG(J8)</f>
        <v>23.922397540603054</v>
      </c>
      <c r="K9" s="110" t="s">
        <v>13</v>
      </c>
      <c r="O9" s="112">
        <f t="shared" si="38"/>
        <v>6</v>
      </c>
      <c r="P9" s="12">
        <f t="shared" si="10"/>
        <v>2.375</v>
      </c>
      <c r="Q9" s="145" t="s">
        <v>214</v>
      </c>
      <c r="R9" s="56">
        <f t="shared" si="11"/>
        <v>7.5132722792177074</v>
      </c>
      <c r="S9" s="56">
        <f t="shared" si="12"/>
        <v>8.3251457750233251E-2</v>
      </c>
      <c r="T9" s="56">
        <f t="shared" si="13"/>
        <v>7.5965237369679404</v>
      </c>
      <c r="U9" s="154">
        <f t="shared" si="0"/>
        <v>151.23393833637584</v>
      </c>
      <c r="V9" s="149">
        <f t="shared" si="14"/>
        <v>29.159958650771561</v>
      </c>
      <c r="W9" s="162">
        <f t="shared" si="15"/>
        <v>2.3978730512274584</v>
      </c>
      <c r="X9" s="4">
        <f t="shared" si="39"/>
        <v>98.884469621774798</v>
      </c>
      <c r="Z9" s="171">
        <v>6</v>
      </c>
      <c r="AA9" s="202">
        <f t="shared" si="40"/>
        <v>29</v>
      </c>
      <c r="AC9">
        <f t="shared" si="16"/>
        <v>29.24795995797912</v>
      </c>
      <c r="AD9">
        <f t="shared" si="17"/>
        <v>1.0165441156870587</v>
      </c>
      <c r="AE9" s="40">
        <f t="shared" si="18"/>
        <v>30.264504073666178</v>
      </c>
      <c r="AF9" s="88">
        <f t="shared" si="1"/>
        <v>148.56595799967761</v>
      </c>
      <c r="AG9" s="199">
        <f t="shared" si="19"/>
        <v>21.448053633144223</v>
      </c>
      <c r="AH9" s="213">
        <f t="shared" si="20"/>
        <v>32.600570764864223</v>
      </c>
      <c r="AI9">
        <f t="shared" si="21"/>
        <v>988.84469621774838</v>
      </c>
      <c r="AK9" s="192">
        <f t="shared" si="41"/>
        <v>6</v>
      </c>
      <c r="AL9" s="202">
        <f t="shared" si="42"/>
        <v>237.5</v>
      </c>
      <c r="AM9" s="171"/>
      <c r="AN9" s="171">
        <f t="shared" si="22"/>
        <v>47.513272279217709</v>
      </c>
      <c r="AO9" s="171">
        <f t="shared" si="23"/>
        <v>8.3251457750233246</v>
      </c>
      <c r="AP9" s="171">
        <f t="shared" si="24"/>
        <v>55.838418054241032</v>
      </c>
      <c r="AQ9" s="53">
        <f t="shared" si="2"/>
        <v>127.34172290338088</v>
      </c>
      <c r="AR9" s="198">
        <f t="shared" si="25"/>
        <v>1.8628424765539418</v>
      </c>
      <c r="AS9" s="211">
        <f t="shared" si="26"/>
        <v>619.32826763941603</v>
      </c>
      <c r="AT9" s="171">
        <f t="shared" si="27"/>
        <v>1631.5937487592876</v>
      </c>
      <c r="BB9" s="40"/>
      <c r="BC9" s="167">
        <f t="shared" si="3"/>
        <v>15.026544558435415</v>
      </c>
      <c r="BD9" s="165">
        <f t="shared" si="4"/>
        <v>15.109796016185648</v>
      </c>
      <c r="BF9" s="14">
        <f t="shared" si="5"/>
        <v>-8.7518375796596111</v>
      </c>
      <c r="BG9" s="140">
        <f t="shared" si="6"/>
        <v>140.03002724780006</v>
      </c>
      <c r="BH9" s="170">
        <f t="shared" si="28"/>
        <v>8.0277039762024067</v>
      </c>
      <c r="BI9" s="169">
        <f t="shared" si="29"/>
        <v>15.59845842736528</v>
      </c>
      <c r="BJ9" s="169">
        <f t="shared" si="30"/>
        <v>177.08754896942921</v>
      </c>
      <c r="BL9" s="175">
        <f t="shared" si="43"/>
        <v>6</v>
      </c>
      <c r="BM9" s="180">
        <f t="shared" si="44"/>
        <v>33.75</v>
      </c>
      <c r="BN9" s="175" t="str">
        <f t="shared" si="31"/>
        <v>10lgΩ</v>
      </c>
      <c r="BO9" s="181">
        <f t="shared" si="32"/>
        <v>30.565475543340877</v>
      </c>
      <c r="BP9" s="181">
        <f t="shared" si="33"/>
        <v>1.1830470311875252</v>
      </c>
      <c r="BQ9" s="182">
        <f t="shared" si="34"/>
        <v>147.08193949881539</v>
      </c>
      <c r="BR9" s="183">
        <f t="shared" si="35"/>
        <v>18.079522742911003</v>
      </c>
      <c r="BS9" s="187">
        <f t="shared" si="36"/>
        <v>38.674626547323349</v>
      </c>
      <c r="BT9" s="183">
        <f t="shared" si="37"/>
        <v>699.21879023592214</v>
      </c>
      <c r="BW9" s="53">
        <f t="shared" si="7"/>
        <v>61.130951086681755</v>
      </c>
      <c r="BY9" s="14">
        <f t="shared" si="8"/>
        <v>11.982451591925724</v>
      </c>
      <c r="BZ9" s="53">
        <f t="shared" si="9"/>
        <v>133.56011431770176</v>
      </c>
      <c r="CZ9" s="14">
        <f t="shared" si="45"/>
        <v>2.1085336531489318</v>
      </c>
      <c r="DB9" s="140">
        <f t="shared" si="46"/>
        <v>124.41954993394542</v>
      </c>
      <c r="DC9" s="40"/>
      <c r="DG9" s="88">
        <f t="shared" si="47"/>
        <v>6.3256009594467955</v>
      </c>
      <c r="DH9" s="40">
        <f t="shared" si="48"/>
        <v>161.1004614682445</v>
      </c>
    </row>
    <row r="10" spans="2:112">
      <c r="B10" s="119" t="s">
        <v>181</v>
      </c>
      <c r="C10" s="30" t="s">
        <v>180</v>
      </c>
      <c r="D10" s="116">
        <v>15</v>
      </c>
      <c r="E10" s="110" t="s">
        <v>56</v>
      </c>
      <c r="G10" s="290" t="s">
        <v>213</v>
      </c>
      <c r="H10" s="290"/>
      <c r="I10" s="290"/>
      <c r="J10" s="290"/>
      <c r="K10" s="290"/>
      <c r="O10" s="112">
        <f t="shared" si="38"/>
        <v>7</v>
      </c>
      <c r="P10" s="12">
        <f t="shared" si="10"/>
        <v>2.75</v>
      </c>
      <c r="Q10" s="147">
        <f>J12</f>
        <v>-5.0611987703015267</v>
      </c>
      <c r="R10" s="56">
        <f t="shared" si="11"/>
        <v>8.7866538766052535</v>
      </c>
      <c r="S10" s="56">
        <f t="shared" si="12"/>
        <v>9.6396424763427968E-2</v>
      </c>
      <c r="T10" s="56">
        <f t="shared" si="13"/>
        <v>8.8830503013686819</v>
      </c>
      <c r="U10" s="154">
        <f t="shared" si="0"/>
        <v>149.94741177197511</v>
      </c>
      <c r="V10" s="149">
        <f t="shared" si="14"/>
        <v>25.145517365132587</v>
      </c>
      <c r="W10" s="162">
        <f t="shared" si="15"/>
        <v>2.7806896158974119</v>
      </c>
      <c r="X10" s="4">
        <f t="shared" si="39"/>
        <v>98.884469621774983</v>
      </c>
      <c r="Z10" s="171">
        <v>7</v>
      </c>
      <c r="AA10" s="202">
        <f t="shared" si="40"/>
        <v>32.75</v>
      </c>
      <c r="AC10">
        <f t="shared" si="16"/>
        <v>30.304226086556039</v>
      </c>
      <c r="AD10">
        <f t="shared" si="17"/>
        <v>1.1479937858190059</v>
      </c>
      <c r="AE10" s="40">
        <f t="shared" si="18"/>
        <v>31.452219872375046</v>
      </c>
      <c r="AF10" s="88">
        <f t="shared" si="1"/>
        <v>147.37824220096874</v>
      </c>
      <c r="AG10" s="199">
        <f t="shared" si="19"/>
        <v>18.706911731894305</v>
      </c>
      <c r="AH10" s="213">
        <f t="shared" si="20"/>
        <v>37.377563985817631</v>
      </c>
      <c r="AI10">
        <f t="shared" si="21"/>
        <v>988.84469621774906</v>
      </c>
      <c r="AK10" s="192">
        <f t="shared" si="41"/>
        <v>7</v>
      </c>
      <c r="AL10" s="202">
        <f t="shared" si="42"/>
        <v>275</v>
      </c>
      <c r="AM10" s="171"/>
      <c r="AN10" s="171">
        <f t="shared" si="22"/>
        <v>48.786653876605257</v>
      </c>
      <c r="AO10" s="171">
        <f t="shared" si="23"/>
        <v>9.6396424763427984</v>
      </c>
      <c r="AP10" s="171">
        <f t="shared" si="24"/>
        <v>58.426296352948057</v>
      </c>
      <c r="AQ10" s="53">
        <f t="shared" si="2"/>
        <v>124.75384460467387</v>
      </c>
      <c r="AR10" s="198">
        <f t="shared" si="25"/>
        <v>1.3828727450436358</v>
      </c>
      <c r="AS10" s="211">
        <f t="shared" si="26"/>
        <v>834.28573455098979</v>
      </c>
      <c r="AT10" s="171">
        <f t="shared" si="27"/>
        <v>1631.5937487592889</v>
      </c>
      <c r="BB10" s="40"/>
      <c r="BC10" s="167">
        <f t="shared" si="3"/>
        <v>17.573307753210507</v>
      </c>
      <c r="BD10" s="165">
        <f t="shared" si="4"/>
        <v>17.669704177973934</v>
      </c>
      <c r="BF10" s="14">
        <f t="shared" si="5"/>
        <v>-8.1151467809658389</v>
      </c>
      <c r="BG10" s="140">
        <f t="shared" si="6"/>
        <v>138.10680988470557</v>
      </c>
      <c r="BH10" s="170">
        <f t="shared" si="28"/>
        <v>6.4332507784544628</v>
      </c>
      <c r="BI10" s="169">
        <f t="shared" si="29"/>
        <v>19.464468439402491</v>
      </c>
      <c r="BJ10" s="169">
        <f t="shared" si="30"/>
        <v>177.08754896942952</v>
      </c>
      <c r="BL10" s="175">
        <f t="shared" si="43"/>
        <v>7</v>
      </c>
      <c r="BM10" s="180">
        <f t="shared" si="44"/>
        <v>37.5</v>
      </c>
      <c r="BN10" s="181">
        <f t="shared" si="31"/>
        <v>-5.0611987703015267</v>
      </c>
      <c r="BO10" s="181">
        <f t="shared" si="32"/>
        <v>31.480625354554377</v>
      </c>
      <c r="BP10" s="181">
        <f t="shared" si="33"/>
        <v>1.3144967013194724</v>
      </c>
      <c r="BQ10" s="182">
        <f t="shared" si="34"/>
        <v>146.03534001746993</v>
      </c>
      <c r="BR10" s="183">
        <f t="shared" si="35"/>
        <v>16.027175327319508</v>
      </c>
      <c r="BS10" s="187">
        <f t="shared" si="36"/>
        <v>43.627075635970073</v>
      </c>
      <c r="BT10" s="183">
        <f t="shared" si="37"/>
        <v>699.21879023592157</v>
      </c>
      <c r="BW10" s="53">
        <f t="shared" si="7"/>
        <v>62.961250709108754</v>
      </c>
      <c r="BY10" s="14">
        <f t="shared" si="8"/>
        <v>12.440026497532475</v>
      </c>
      <c r="BZ10" s="53">
        <f t="shared" si="9"/>
        <v>132.05593993074956</v>
      </c>
      <c r="CZ10" s="14">
        <f t="shared" si="45"/>
        <v>3.0102999566398121</v>
      </c>
      <c r="DB10" s="140">
        <f t="shared" si="46"/>
        <v>121.70110605645958</v>
      </c>
      <c r="DC10" s="40"/>
      <c r="DG10" s="88">
        <f t="shared" si="47"/>
        <v>9.0308998699194358</v>
      </c>
      <c r="DH10" s="40">
        <f t="shared" si="48"/>
        <v>158.38201759075866</v>
      </c>
    </row>
    <row r="11" spans="2:112">
      <c r="B11" s="121" t="s">
        <v>203</v>
      </c>
      <c r="C11" s="30" t="s">
        <v>27</v>
      </c>
      <c r="D11" s="116">
        <v>0.4</v>
      </c>
      <c r="E11" s="110"/>
      <c r="G11" s="311" t="s">
        <v>212</v>
      </c>
      <c r="H11" s="311"/>
      <c r="I11" s="113" t="s">
        <v>209</v>
      </c>
      <c r="J11" s="123">
        <f>20*LOG(J5/(2*PI()*D9))+7.7</f>
        <v>-16.222397540603055</v>
      </c>
      <c r="K11" s="122" t="s">
        <v>223</v>
      </c>
      <c r="O11" s="112">
        <f t="shared" si="38"/>
        <v>8</v>
      </c>
      <c r="P11" s="138">
        <f t="shared" si="10"/>
        <v>3.125</v>
      </c>
      <c r="Q11" s="146"/>
      <c r="R11" s="56">
        <f t="shared" si="11"/>
        <v>9.89700043360188</v>
      </c>
      <c r="S11" s="56">
        <f t="shared" si="12"/>
        <v>0.1095413917766227</v>
      </c>
      <c r="T11" s="56">
        <f t="shared" si="13"/>
        <v>10.006541825378502</v>
      </c>
      <c r="U11" s="154">
        <f t="shared" si="0"/>
        <v>148.8239202479653</v>
      </c>
      <c r="V11" s="149">
        <f t="shared" si="14"/>
        <v>22.094592667709925</v>
      </c>
      <c r="W11" s="162">
        <f t="shared" si="15"/>
        <v>3.1646602440324454</v>
      </c>
      <c r="X11" s="4">
        <f t="shared" si="39"/>
        <v>98.884469621775168</v>
      </c>
      <c r="Z11" s="171">
        <v>8</v>
      </c>
      <c r="AA11" s="202">
        <f t="shared" si="40"/>
        <v>36.5</v>
      </c>
      <c r="AC11">
        <f t="shared" si="16"/>
        <v>31.245857289129493</v>
      </c>
      <c r="AD11">
        <f t="shared" si="17"/>
        <v>1.2794434559509531</v>
      </c>
      <c r="AE11" s="40">
        <f t="shared" si="18"/>
        <v>32.525300745080443</v>
      </c>
      <c r="AF11" s="88">
        <f t="shared" si="1"/>
        <v>146.30516132826335</v>
      </c>
      <c r="AG11" s="199">
        <f t="shared" si="19"/>
        <v>16.53286248370242</v>
      </c>
      <c r="AH11" s="213">
        <f t="shared" si="20"/>
        <v>42.292663531508239</v>
      </c>
      <c r="AI11">
        <f t="shared" si="21"/>
        <v>988.84469621774929</v>
      </c>
      <c r="AK11" s="192">
        <f t="shared" si="41"/>
        <v>8</v>
      </c>
      <c r="AL11" s="202">
        <f t="shared" si="42"/>
        <v>312.5</v>
      </c>
      <c r="AM11" s="171"/>
      <c r="AN11" s="171">
        <f t="shared" si="22"/>
        <v>49.897000433601882</v>
      </c>
      <c r="AO11" s="171">
        <f t="shared" si="23"/>
        <v>10.95413917766227</v>
      </c>
      <c r="AP11" s="171">
        <f t="shared" si="24"/>
        <v>60.851139611264152</v>
      </c>
      <c r="AQ11" s="53">
        <f t="shared" si="2"/>
        <v>122.32900134635776</v>
      </c>
      <c r="AR11" s="198">
        <f t="shared" si="25"/>
        <v>1.0460201588394911</v>
      </c>
      <c r="AS11" s="211">
        <f t="shared" si="26"/>
        <v>1102.952934644451</v>
      </c>
      <c r="AT11" s="171">
        <f t="shared" si="27"/>
        <v>1631.5937487592864</v>
      </c>
      <c r="BB11" s="40"/>
      <c r="BC11" s="167">
        <f t="shared" si="3"/>
        <v>19.79400086720376</v>
      </c>
      <c r="BD11" s="165">
        <f t="shared" si="4"/>
        <v>19.903542258980384</v>
      </c>
      <c r="BF11" s="14">
        <f t="shared" si="5"/>
        <v>-7.5599735024675256</v>
      </c>
      <c r="BG11" s="140">
        <f t="shared" si="6"/>
        <v>136.4281450821974</v>
      </c>
      <c r="BH11" s="170">
        <f t="shared" si="28"/>
        <v>5.3027022402503654</v>
      </c>
      <c r="BI11" s="169">
        <f t="shared" si="29"/>
        <v>23.614338702539683</v>
      </c>
      <c r="BJ11" s="169">
        <f t="shared" si="30"/>
        <v>177.08754896942906</v>
      </c>
      <c r="BL11" s="175">
        <f t="shared" si="43"/>
        <v>8</v>
      </c>
      <c r="BM11" s="180">
        <f t="shared" si="44"/>
        <v>41.25</v>
      </c>
      <c r="BO11" s="181">
        <f t="shared" si="32"/>
        <v>32.308479057718877</v>
      </c>
      <c r="BP11" s="181">
        <f t="shared" si="33"/>
        <v>1.4459463714514198</v>
      </c>
      <c r="BQ11" s="182">
        <f t="shared" si="34"/>
        <v>145.07603664417348</v>
      </c>
      <c r="BR11" s="183">
        <f t="shared" si="35"/>
        <v>14.351319039325769</v>
      </c>
      <c r="BS11" s="187">
        <f t="shared" si="36"/>
        <v>48.721569656413365</v>
      </c>
      <c r="BT11" s="183">
        <f t="shared" si="37"/>
        <v>699.2187902359218</v>
      </c>
      <c r="BW11" s="53">
        <f t="shared" si="7"/>
        <v>64.616958115437754</v>
      </c>
      <c r="BY11" s="14">
        <f t="shared" si="8"/>
        <v>12.853953349114725</v>
      </c>
      <c r="BZ11" s="53">
        <f t="shared" si="9"/>
        <v>130.68270970587091</v>
      </c>
      <c r="CZ11" s="14">
        <f t="shared" si="45"/>
        <v>3.7566361396088537</v>
      </c>
      <c r="DB11" s="140">
        <f t="shared" si="46"/>
        <v>119.44895254053927</v>
      </c>
      <c r="DC11" s="40"/>
      <c r="DG11" s="88">
        <f t="shared" si="47"/>
        <v>11.269908418826562</v>
      </c>
      <c r="DH11" s="40">
        <f t="shared" si="48"/>
        <v>156.12986407483834</v>
      </c>
    </row>
    <row r="12" spans="2:112">
      <c r="B12" s="296" t="s">
        <v>182</v>
      </c>
      <c r="C12" s="297"/>
      <c r="D12" s="297"/>
      <c r="E12" s="298"/>
      <c r="G12" s="311"/>
      <c r="H12" s="311"/>
      <c r="I12" s="113" t="s">
        <v>210</v>
      </c>
      <c r="J12" s="123">
        <f>10*LOG(J5/(2*PI()*D9))+6.9</f>
        <v>-5.0611987703015267</v>
      </c>
      <c r="K12" s="122" t="s">
        <v>223</v>
      </c>
      <c r="O12" s="112">
        <f t="shared" si="38"/>
        <v>9</v>
      </c>
      <c r="P12" s="138">
        <f t="shared" si="10"/>
        <v>3.5</v>
      </c>
      <c r="Q12" s="146" t="s">
        <v>239</v>
      </c>
      <c r="R12" s="56">
        <f t="shared" si="11"/>
        <v>10.881360887005513</v>
      </c>
      <c r="S12" s="56">
        <f t="shared" si="12"/>
        <v>0.12268635878981743</v>
      </c>
      <c r="T12" s="56">
        <f t="shared" si="13"/>
        <v>11.004047245795331</v>
      </c>
      <c r="U12" s="154">
        <f t="shared" si="0"/>
        <v>147.82641482754846</v>
      </c>
      <c r="V12" s="149">
        <f t="shared" si="14"/>
        <v>19.697482729577622</v>
      </c>
      <c r="W12" s="162">
        <f t="shared" si="15"/>
        <v>3.5497875532388679</v>
      </c>
      <c r="X12" s="4">
        <f t="shared" si="39"/>
        <v>98.884469621774926</v>
      </c>
      <c r="Z12" s="171">
        <v>9</v>
      </c>
      <c r="AA12" s="202">
        <f t="shared" si="40"/>
        <v>40.25</v>
      </c>
      <c r="AC12">
        <f t="shared" si="16"/>
        <v>32.095317694077742</v>
      </c>
      <c r="AD12">
        <f t="shared" si="17"/>
        <v>1.4108931260829003</v>
      </c>
      <c r="AE12" s="40">
        <f t="shared" si="18"/>
        <v>33.506210820160646</v>
      </c>
      <c r="AF12" s="88">
        <f t="shared" si="1"/>
        <v>145.32425125318315</v>
      </c>
      <c r="AG12" s="199">
        <f t="shared" si="19"/>
        <v>14.767349369717905</v>
      </c>
      <c r="AH12" s="213">
        <f t="shared" si="20"/>
        <v>47.348970538324807</v>
      </c>
      <c r="AI12">
        <f t="shared" si="21"/>
        <v>988.84469621774986</v>
      </c>
      <c r="AK12" s="192">
        <f t="shared" si="41"/>
        <v>9</v>
      </c>
      <c r="AL12" s="202">
        <f t="shared" si="42"/>
        <v>350</v>
      </c>
      <c r="AM12" s="171"/>
      <c r="AN12" s="171">
        <f t="shared" si="22"/>
        <v>50.881360887005513</v>
      </c>
      <c r="AO12" s="171">
        <f t="shared" si="23"/>
        <v>12.268635878981742</v>
      </c>
      <c r="AP12" s="171">
        <f t="shared" si="24"/>
        <v>63.149996765987254</v>
      </c>
      <c r="AQ12" s="53">
        <f t="shared" si="2"/>
        <v>120.03014419163466</v>
      </c>
      <c r="AR12" s="198">
        <f t="shared" si="25"/>
        <v>0.80278120591789248</v>
      </c>
      <c r="AS12" s="211">
        <f t="shared" si="26"/>
        <v>1437.1425182657706</v>
      </c>
      <c r="AT12" s="171">
        <f t="shared" si="27"/>
        <v>1631.5937487592873</v>
      </c>
      <c r="BB12" s="40"/>
      <c r="BC12" s="167">
        <f t="shared" si="3"/>
        <v>21.762721774011027</v>
      </c>
      <c r="BD12" s="165">
        <f t="shared" si="4"/>
        <v>21.885408132800844</v>
      </c>
      <c r="BF12" s="14">
        <f t="shared" si="5"/>
        <v>-7.0677932757657089</v>
      </c>
      <c r="BG12" s="140">
        <f t="shared" si="6"/>
        <v>134.93845943507876</v>
      </c>
      <c r="BH12" s="170">
        <f t="shared" si="28"/>
        <v>4.4669692076958913</v>
      </c>
      <c r="BI12" s="169">
        <f t="shared" si="29"/>
        <v>28.032386371559003</v>
      </c>
      <c r="BJ12" s="169">
        <f t="shared" si="30"/>
        <v>177.08754896942898</v>
      </c>
      <c r="BL12" s="175">
        <f t="shared" si="43"/>
        <v>9</v>
      </c>
      <c r="BM12" s="180">
        <f t="shared" si="44"/>
        <v>45</v>
      </c>
      <c r="BO12" s="181">
        <f t="shared" si="32"/>
        <v>33.064250275506872</v>
      </c>
      <c r="BP12" s="181">
        <f t="shared" si="33"/>
        <v>1.5773960415833668</v>
      </c>
      <c r="BQ12" s="182">
        <f t="shared" si="34"/>
        <v>144.18881575625355</v>
      </c>
      <c r="BR12" s="183">
        <f t="shared" si="35"/>
        <v>12.957785152108809</v>
      </c>
      <c r="BS12" s="187">
        <f t="shared" si="36"/>
        <v>53.9612890650628</v>
      </c>
      <c r="BT12" s="183">
        <f t="shared" si="37"/>
        <v>699.21879023592214</v>
      </c>
      <c r="BW12" s="53">
        <f t="shared" si="7"/>
        <v>66.128500551013744</v>
      </c>
      <c r="BY12" s="14">
        <f t="shared" si="8"/>
        <v>13.231838958008723</v>
      </c>
      <c r="BZ12" s="53">
        <f t="shared" si="9"/>
        <v>129.41760320905695</v>
      </c>
      <c r="CZ12" s="14">
        <f t="shared" si="45"/>
        <v>4.3933269383026268</v>
      </c>
      <c r="DB12" s="140">
        <f t="shared" si="46"/>
        <v>117.52573517744474</v>
      </c>
      <c r="DC12" s="40"/>
      <c r="DG12" s="88">
        <f t="shared" si="47"/>
        <v>13.179980814907879</v>
      </c>
      <c r="DH12" s="40">
        <f t="shared" si="48"/>
        <v>154.20664671174384</v>
      </c>
    </row>
    <row r="13" spans="2:112">
      <c r="B13" s="310" t="s">
        <v>183</v>
      </c>
      <c r="C13" s="110" t="s">
        <v>99</v>
      </c>
      <c r="D13" s="116">
        <v>350</v>
      </c>
      <c r="E13" s="110" t="s">
        <v>43</v>
      </c>
      <c r="G13" s="311" t="s">
        <v>211</v>
      </c>
      <c r="H13" s="311"/>
      <c r="I13" s="114" t="s">
        <v>18</v>
      </c>
      <c r="J13" s="129">
        <f>2*PI()*(1-COS(RADIANS(D10/2)))</f>
        <v>5.3753521316959159E-2</v>
      </c>
      <c r="K13" s="122" t="s">
        <v>19</v>
      </c>
      <c r="O13" s="112">
        <f t="shared" si="38"/>
        <v>10</v>
      </c>
      <c r="P13" s="138">
        <f t="shared" si="10"/>
        <v>3.875</v>
      </c>
      <c r="Q13" s="147">
        <f>170.8+10*LOG10(J34)+J9</f>
        <v>194.72239754060305</v>
      </c>
      <c r="R13" s="56">
        <f t="shared" si="11"/>
        <v>11.765434136846583</v>
      </c>
      <c r="S13" s="56">
        <f t="shared" si="12"/>
        <v>0.13583132580301213</v>
      </c>
      <c r="T13" s="56">
        <f t="shared" si="13"/>
        <v>11.901265462649596</v>
      </c>
      <c r="U13" s="154">
        <f t="shared" si="0"/>
        <v>146.92919661069419</v>
      </c>
      <c r="V13" s="149">
        <f t="shared" si="14"/>
        <v>17.764370300842472</v>
      </c>
      <c r="W13" s="162">
        <f t="shared" si="15"/>
        <v>3.9360741664046568</v>
      </c>
      <c r="X13" s="4">
        <f t="shared" si="39"/>
        <v>98.884469621774883</v>
      </c>
      <c r="Z13" s="171">
        <v>10</v>
      </c>
      <c r="AA13" s="202">
        <f t="shared" si="40"/>
        <v>44</v>
      </c>
      <c r="AC13">
        <f t="shared" si="16"/>
        <v>32.86905352972375</v>
      </c>
      <c r="AD13">
        <f t="shared" si="17"/>
        <v>1.5423427962148475</v>
      </c>
      <c r="AE13" s="40">
        <f t="shared" si="18"/>
        <v>34.411396325938597</v>
      </c>
      <c r="AF13" s="88">
        <f t="shared" si="1"/>
        <v>144.4190657474052</v>
      </c>
      <c r="AG13" s="199">
        <f t="shared" si="19"/>
        <v>13.305869949214356</v>
      </c>
      <c r="AH13" s="213">
        <f t="shared" si="20"/>
        <v>52.549648606569122</v>
      </c>
      <c r="AI13">
        <f t="shared" si="21"/>
        <v>988.84469621774929</v>
      </c>
      <c r="AK13" s="192">
        <f t="shared" si="41"/>
        <v>10</v>
      </c>
      <c r="AL13" s="202">
        <f t="shared" si="42"/>
        <v>387.5</v>
      </c>
      <c r="AM13" s="171"/>
      <c r="AN13" s="171">
        <f t="shared" si="22"/>
        <v>51.765434136846579</v>
      </c>
      <c r="AO13" s="171">
        <f t="shared" si="23"/>
        <v>13.583132580301214</v>
      </c>
      <c r="AP13" s="171">
        <f t="shared" si="24"/>
        <v>65.34856671714779</v>
      </c>
      <c r="AQ13" s="53">
        <f t="shared" si="2"/>
        <v>117.83157424047414</v>
      </c>
      <c r="AR13" s="198">
        <f t="shared" si="25"/>
        <v>0.62325920161053339</v>
      </c>
      <c r="AS13" s="211">
        <f t="shared" si="26"/>
        <v>1851.0934149195477</v>
      </c>
      <c r="AT13" s="171">
        <f t="shared" si="27"/>
        <v>1631.5937487592887</v>
      </c>
      <c r="BB13" s="40"/>
      <c r="BC13" s="167">
        <f t="shared" si="3"/>
        <v>23.530868273693166</v>
      </c>
      <c r="BD13" s="165">
        <f t="shared" si="4"/>
        <v>23.666699599496177</v>
      </c>
      <c r="BF13" s="14">
        <f t="shared" si="5"/>
        <v>-6.6257566508451742</v>
      </c>
      <c r="BG13" s="140">
        <f t="shared" si="6"/>
        <v>133.59920459330397</v>
      </c>
      <c r="BH13" s="170">
        <f t="shared" si="28"/>
        <v>3.8286901118379411</v>
      </c>
      <c r="BI13" s="169">
        <f t="shared" si="29"/>
        <v>32.705652085244679</v>
      </c>
      <c r="BJ13" s="169">
        <f t="shared" si="30"/>
        <v>177.08754896942929</v>
      </c>
      <c r="BL13" s="175">
        <f t="shared" si="43"/>
        <v>10</v>
      </c>
      <c r="BM13" s="180">
        <f t="shared" si="44"/>
        <v>48.75</v>
      </c>
      <c r="BO13" s="181">
        <f t="shared" si="32"/>
        <v>33.759492400691109</v>
      </c>
      <c r="BP13" s="181">
        <f t="shared" si="33"/>
        <v>1.7088457117153142</v>
      </c>
      <c r="BQ13" s="182">
        <f t="shared" si="34"/>
        <v>143.36212396093737</v>
      </c>
      <c r="BR13" s="183">
        <f t="shared" si="35"/>
        <v>11.781380568714281</v>
      </c>
      <c r="BS13" s="187">
        <f t="shared" si="36"/>
        <v>59.349478285483187</v>
      </c>
      <c r="BT13" s="183">
        <f t="shared" si="37"/>
        <v>699.2187902359218</v>
      </c>
      <c r="BW13" s="53">
        <f t="shared" si="7"/>
        <v>67.518984801382217</v>
      </c>
      <c r="BY13" s="14">
        <f t="shared" si="8"/>
        <v>13.579460020600841</v>
      </c>
      <c r="BZ13" s="53">
        <f t="shared" si="9"/>
        <v>128.24329035114863</v>
      </c>
      <c r="CZ13" s="14">
        <f t="shared" si="45"/>
        <v>4.94850021680094</v>
      </c>
      <c r="DB13" s="140">
        <f t="shared" si="46"/>
        <v>115.84707037493662</v>
      </c>
      <c r="DC13" s="40"/>
      <c r="DG13" s="88">
        <f t="shared" si="47"/>
        <v>14.845500650402821</v>
      </c>
      <c r="DH13" s="40">
        <f t="shared" si="48"/>
        <v>152.52798190923571</v>
      </c>
    </row>
    <row r="14" spans="2:112">
      <c r="B14" s="310"/>
      <c r="C14" s="130" t="s">
        <v>101</v>
      </c>
      <c r="D14" s="137">
        <f>20*LOG10(D13*POWER(10,6))</f>
        <v>170.88136088700551</v>
      </c>
      <c r="E14" s="130" t="s">
        <v>222</v>
      </c>
      <c r="G14" s="311"/>
      <c r="H14" s="311"/>
      <c r="I14" s="114" t="s">
        <v>214</v>
      </c>
      <c r="J14" s="123">
        <f>10*LOG10(J13)</f>
        <v>-12.695930804647748</v>
      </c>
      <c r="K14" s="122" t="s">
        <v>223</v>
      </c>
      <c r="O14" s="112">
        <f t="shared" si="38"/>
        <v>11</v>
      </c>
      <c r="P14" s="138">
        <f t="shared" si="10"/>
        <v>4.25</v>
      </c>
      <c r="Q14" s="146"/>
      <c r="R14" s="56">
        <f t="shared" si="11"/>
        <v>12.56777860100623</v>
      </c>
      <c r="S14" s="56">
        <f t="shared" si="12"/>
        <v>0.14897629281620689</v>
      </c>
      <c r="T14" s="56">
        <f t="shared" si="13"/>
        <v>12.716754893822436</v>
      </c>
      <c r="U14" s="154">
        <f t="shared" si="0"/>
        <v>146.11370717952136</v>
      </c>
      <c r="V14" s="149">
        <f t="shared" si="14"/>
        <v>16.172432455187945</v>
      </c>
      <c r="W14" s="162">
        <f t="shared" si="15"/>
        <v>4.3235227117094555</v>
      </c>
      <c r="X14" s="4">
        <f t="shared" si="39"/>
        <v>98.884469621774912</v>
      </c>
      <c r="Z14" s="171">
        <v>11</v>
      </c>
      <c r="AA14" s="202">
        <f t="shared" si="40"/>
        <v>47.75</v>
      </c>
      <c r="AC14">
        <f t="shared" si="16"/>
        <v>33.579467518395305</v>
      </c>
      <c r="AD14">
        <f t="shared" si="17"/>
        <v>1.6737924663467949</v>
      </c>
      <c r="AE14" s="40">
        <f t="shared" si="18"/>
        <v>35.253259984742101</v>
      </c>
      <c r="AF14" s="88">
        <f t="shared" si="1"/>
        <v>143.57720208860169</v>
      </c>
      <c r="AG14" s="199">
        <f t="shared" si="19"/>
        <v>12.076750426285368</v>
      </c>
      <c r="AH14" s="213">
        <f t="shared" si="20"/>
        <v>57.897924984361254</v>
      </c>
      <c r="AI14">
        <f t="shared" si="21"/>
        <v>988.84469621775065</v>
      </c>
      <c r="AK14" s="192">
        <f t="shared" si="41"/>
        <v>11</v>
      </c>
      <c r="AL14" s="202">
        <f t="shared" si="42"/>
        <v>425</v>
      </c>
      <c r="AM14" s="171"/>
      <c r="AN14" s="171">
        <f t="shared" si="22"/>
        <v>52.567778601006232</v>
      </c>
      <c r="AO14" s="171">
        <f t="shared" si="23"/>
        <v>14.897629281620686</v>
      </c>
      <c r="AP14" s="171">
        <f t="shared" si="24"/>
        <v>67.46540788262692</v>
      </c>
      <c r="AQ14" s="53">
        <f t="shared" si="2"/>
        <v>115.714733074995</v>
      </c>
      <c r="AR14" s="198">
        <f t="shared" si="25"/>
        <v>0.48845734073483887</v>
      </c>
      <c r="AS14" s="211">
        <f t="shared" si="26"/>
        <v>2361.9483375019377</v>
      </c>
      <c r="AT14" s="171">
        <f t="shared" si="27"/>
        <v>1631.5937487592846</v>
      </c>
      <c r="BB14" s="40"/>
      <c r="BC14" s="167">
        <f t="shared" si="3"/>
        <v>25.13555720201246</v>
      </c>
      <c r="BD14" s="165">
        <f t="shared" si="4"/>
        <v>25.284533494828668</v>
      </c>
      <c r="BF14" s="14">
        <f t="shared" si="5"/>
        <v>-6.2245844187653505</v>
      </c>
      <c r="BG14" s="140">
        <f t="shared" si="6"/>
        <v>132.3825429300513</v>
      </c>
      <c r="BH14" s="170">
        <f t="shared" si="28"/>
        <v>3.3282591412530262</v>
      </c>
      <c r="BI14" s="169">
        <f t="shared" si="29"/>
        <v>37.623214246726356</v>
      </c>
      <c r="BJ14" s="169">
        <f t="shared" si="30"/>
        <v>177.08754896942906</v>
      </c>
      <c r="BL14" s="175">
        <f t="shared" si="43"/>
        <v>11</v>
      </c>
      <c r="BM14" s="180">
        <f t="shared" si="44"/>
        <v>52.5</v>
      </c>
      <c r="BO14" s="181">
        <f t="shared" si="32"/>
        <v>34.403186068119133</v>
      </c>
      <c r="BP14" s="181">
        <f t="shared" si="33"/>
        <v>1.8402953818472612</v>
      </c>
      <c r="BQ14" s="182">
        <f t="shared" si="34"/>
        <v>142.5869806233774</v>
      </c>
      <c r="BR14" s="183">
        <f t="shared" si="35"/>
        <v>10.775539373932208</v>
      </c>
      <c r="BS14" s="187">
        <f t="shared" si="36"/>
        <v>64.889446919701015</v>
      </c>
      <c r="BT14" s="183">
        <f t="shared" si="37"/>
        <v>699.21879023592237</v>
      </c>
      <c r="BW14" s="53">
        <f t="shared" si="7"/>
        <v>68.806372136238267</v>
      </c>
      <c r="BY14" s="14">
        <f t="shared" si="8"/>
        <v>13.901306854314853</v>
      </c>
      <c r="BZ14" s="53">
        <f t="shared" si="9"/>
        <v>127.14630017987464</v>
      </c>
      <c r="CZ14" s="14">
        <f t="shared" si="45"/>
        <v>5.4406804435027567</v>
      </c>
      <c r="DB14" s="140">
        <f t="shared" si="46"/>
        <v>114.35738472781797</v>
      </c>
      <c r="DC14" s="40"/>
      <c r="DG14" s="88">
        <f t="shared" si="47"/>
        <v>16.32204133050827</v>
      </c>
      <c r="DH14" s="40">
        <f t="shared" si="48"/>
        <v>151.03829626211706</v>
      </c>
    </row>
    <row r="15" spans="2:112">
      <c r="B15" s="308" t="s">
        <v>184</v>
      </c>
      <c r="C15" s="110" t="s">
        <v>106</v>
      </c>
      <c r="D15" s="116">
        <v>800</v>
      </c>
      <c r="E15" s="110" t="s">
        <v>50</v>
      </c>
      <c r="G15" s="22"/>
      <c r="H15" s="22"/>
      <c r="I15" s="21"/>
      <c r="J15" s="136"/>
      <c r="K15" s="120"/>
      <c r="O15" s="112">
        <f t="shared" ref="O15:O46" si="49">1+O14</f>
        <v>12</v>
      </c>
      <c r="P15" s="138">
        <f t="shared" si="10"/>
        <v>4.625</v>
      </c>
      <c r="Q15" s="146"/>
      <c r="R15" s="56">
        <f t="shared" si="11"/>
        <v>13.302234741501028</v>
      </c>
      <c r="S15" s="56">
        <f t="shared" si="12"/>
        <v>0.16212125982940159</v>
      </c>
      <c r="T15" s="56">
        <f t="shared" si="13"/>
        <v>13.46435600133043</v>
      </c>
      <c r="U15" s="154">
        <f t="shared" si="0"/>
        <v>145.36610607201337</v>
      </c>
      <c r="V15" s="149">
        <f t="shared" si="14"/>
        <v>14.838680728964738</v>
      </c>
      <c r="W15" s="162">
        <f t="shared" si="15"/>
        <v>4.7121358226345862</v>
      </c>
      <c r="X15" s="4">
        <f t="shared" si="39"/>
        <v>98.884469621774969</v>
      </c>
      <c r="Z15" s="171">
        <v>12</v>
      </c>
      <c r="AA15" s="202">
        <f t="shared" si="40"/>
        <v>51.5</v>
      </c>
      <c r="AC15">
        <f t="shared" si="16"/>
        <v>34.236144580823819</v>
      </c>
      <c r="AD15">
        <f t="shared" si="17"/>
        <v>1.8052421364787419</v>
      </c>
      <c r="AE15" s="40">
        <f t="shared" si="18"/>
        <v>36.041386717302558</v>
      </c>
      <c r="AF15" s="88">
        <f t="shared" si="1"/>
        <v>142.78907535604122</v>
      </c>
      <c r="AG15" s="199">
        <f t="shared" si="19"/>
        <v>11.029193464239055</v>
      </c>
      <c r="AH15" s="213">
        <f t="shared" si="20"/>
        <v>63.39709177312568</v>
      </c>
      <c r="AI15">
        <f t="shared" si="21"/>
        <v>988.84469621774826</v>
      </c>
      <c r="AK15" s="192">
        <f t="shared" si="41"/>
        <v>12</v>
      </c>
      <c r="AL15" s="202">
        <f t="shared" si="42"/>
        <v>462.5</v>
      </c>
      <c r="AM15" s="171"/>
      <c r="AN15" s="171">
        <f t="shared" si="22"/>
        <v>53.302234741501024</v>
      </c>
      <c r="AO15" s="171">
        <f t="shared" si="23"/>
        <v>16.212125982940162</v>
      </c>
      <c r="AP15" s="171">
        <f t="shared" si="24"/>
        <v>69.51436072444119</v>
      </c>
      <c r="AQ15" s="53">
        <f t="shared" si="2"/>
        <v>113.66578023318073</v>
      </c>
      <c r="AR15" s="198">
        <f t="shared" si="25"/>
        <v>0.38581490245130701</v>
      </c>
      <c r="AS15" s="211">
        <f t="shared" si="26"/>
        <v>2990.3225524962195</v>
      </c>
      <c r="AT15" s="171">
        <f t="shared" si="27"/>
        <v>1631.5937487592878</v>
      </c>
      <c r="BB15" s="40"/>
      <c r="BC15" s="167">
        <f t="shared" si="3"/>
        <v>26.604469483002056</v>
      </c>
      <c r="BD15" s="165">
        <f t="shared" si="4"/>
        <v>26.766590742831458</v>
      </c>
      <c r="BF15" s="14">
        <f t="shared" si="5"/>
        <v>-5.8573563485179516</v>
      </c>
      <c r="BG15" s="140">
        <f t="shared" si="6"/>
        <v>131.26771375229592</v>
      </c>
      <c r="BH15" s="170">
        <f t="shared" si="28"/>
        <v>2.9273569017471903</v>
      </c>
      <c r="BI15" s="169">
        <f t="shared" si="29"/>
        <v>42.775722586217945</v>
      </c>
      <c r="BJ15" s="169">
        <f t="shared" si="30"/>
        <v>177.08754896942932</v>
      </c>
      <c r="BL15" s="175">
        <f t="shared" si="43"/>
        <v>12</v>
      </c>
      <c r="BM15" s="180">
        <f t="shared" si="44"/>
        <v>56.25</v>
      </c>
      <c r="BO15" s="181">
        <f t="shared" si="32"/>
        <v>35.002450535668004</v>
      </c>
      <c r="BP15" s="181">
        <f t="shared" si="33"/>
        <v>1.9717450519792086</v>
      </c>
      <c r="BQ15" s="182">
        <f t="shared" si="34"/>
        <v>141.85626648569658</v>
      </c>
      <c r="BR15" s="183">
        <f t="shared" si="35"/>
        <v>9.9061137655481879</v>
      </c>
      <c r="BS15" s="187">
        <f t="shared" si="36"/>
        <v>70.584570981577883</v>
      </c>
      <c r="BT15" s="183">
        <f t="shared" si="37"/>
        <v>699.2187902359218</v>
      </c>
      <c r="BW15" s="53">
        <f t="shared" si="7"/>
        <v>70.004901071336008</v>
      </c>
      <c r="BY15" s="14">
        <f t="shared" si="8"/>
        <v>14.200939088089289</v>
      </c>
      <c r="BZ15" s="53">
        <f t="shared" si="9"/>
        <v>126.11595380841939</v>
      </c>
      <c r="CZ15" s="14">
        <f t="shared" si="45"/>
        <v>5.8827170684232915</v>
      </c>
      <c r="DB15" s="140">
        <f t="shared" si="46"/>
        <v>113.01812988604317</v>
      </c>
      <c r="DC15" s="40"/>
      <c r="DG15" s="88">
        <f t="shared" si="47"/>
        <v>17.648151205269873</v>
      </c>
      <c r="DH15" s="40">
        <f t="shared" si="48"/>
        <v>149.69904142034227</v>
      </c>
    </row>
    <row r="16" spans="2:112">
      <c r="B16" s="309"/>
      <c r="C16" s="110" t="s">
        <v>106</v>
      </c>
      <c r="D16" s="123">
        <f>20*LOG10(D15*POWER(10,-12))</f>
        <v>-181.93820026016112</v>
      </c>
      <c r="E16" s="110" t="s">
        <v>221</v>
      </c>
      <c r="G16" s="22"/>
      <c r="H16" s="22"/>
      <c r="I16" s="21"/>
      <c r="J16" s="136"/>
      <c r="K16" s="120"/>
      <c r="O16" s="112">
        <f t="shared" si="49"/>
        <v>13</v>
      </c>
      <c r="P16" s="138">
        <f t="shared" si="10"/>
        <v>5</v>
      </c>
      <c r="Q16" s="146"/>
      <c r="R16" s="56">
        <f t="shared" si="11"/>
        <v>13.979400086720377</v>
      </c>
      <c r="S16" s="56">
        <f t="shared" si="12"/>
        <v>0.17526622684259632</v>
      </c>
      <c r="T16" s="56">
        <f t="shared" si="13"/>
        <v>14.154666313562974</v>
      </c>
      <c r="U16" s="154">
        <f t="shared" si="0"/>
        <v>144.67579575978081</v>
      </c>
      <c r="V16" s="149">
        <f t="shared" si="14"/>
        <v>13.705023197690437</v>
      </c>
      <c r="W16" s="162">
        <f t="shared" si="15"/>
        <v>5.1019161379730713</v>
      </c>
      <c r="X16" s="4">
        <f t="shared" si="39"/>
        <v>98.884469621774855</v>
      </c>
      <c r="Z16" s="171">
        <v>13</v>
      </c>
      <c r="AA16" s="202">
        <f t="shared" si="40"/>
        <v>55.25</v>
      </c>
      <c r="AC16">
        <f t="shared" si="16"/>
        <v>34.846645647142964</v>
      </c>
      <c r="AD16">
        <f t="shared" si="17"/>
        <v>1.9366918066106893</v>
      </c>
      <c r="AE16" s="40">
        <f t="shared" si="18"/>
        <v>36.783337453753653</v>
      </c>
      <c r="AF16" s="88">
        <f t="shared" si="1"/>
        <v>142.04712461959014</v>
      </c>
      <c r="AG16" s="199">
        <f t="shared" si="19"/>
        <v>10.126193406022688</v>
      </c>
      <c r="AH16" s="213">
        <f t="shared" si="20"/>
        <v>69.050507155043292</v>
      </c>
      <c r="AI16">
        <f t="shared" si="21"/>
        <v>988.84469621774895</v>
      </c>
      <c r="AK16" s="192">
        <f t="shared" si="41"/>
        <v>13</v>
      </c>
      <c r="AL16" s="202">
        <f t="shared" si="42"/>
        <v>500</v>
      </c>
      <c r="AM16" s="171"/>
      <c r="AN16" s="171">
        <f t="shared" si="22"/>
        <v>53.979400086720375</v>
      </c>
      <c r="AO16" s="171">
        <f t="shared" si="23"/>
        <v>17.526622684259632</v>
      </c>
      <c r="AP16" s="171">
        <f t="shared" si="24"/>
        <v>71.50602277098001</v>
      </c>
      <c r="AQ16" s="53">
        <f t="shared" si="2"/>
        <v>111.67411818664192</v>
      </c>
      <c r="AR16" s="198">
        <f t="shared" si="25"/>
        <v>0.30675799910241125</v>
      </c>
      <c r="AS16" s="211">
        <f t="shared" si="26"/>
        <v>3760.9809923949447</v>
      </c>
      <c r="AT16" s="171">
        <f t="shared" si="27"/>
        <v>1631.5937487592903</v>
      </c>
      <c r="BB16" s="40"/>
      <c r="BC16" s="167">
        <f t="shared" si="3"/>
        <v>27.958800173440753</v>
      </c>
      <c r="BD16" s="165">
        <f t="shared" si="4"/>
        <v>28.134066400283348</v>
      </c>
      <c r="BF16" s="14">
        <f t="shared" si="5"/>
        <v>-5.5187736759082773</v>
      </c>
      <c r="BG16" s="140">
        <f t="shared" si="6"/>
        <v>130.23882076745369</v>
      </c>
      <c r="BH16" s="170">
        <f t="shared" si="28"/>
        <v>2.6003453214087537</v>
      </c>
      <c r="BI16" s="169">
        <f t="shared" si="29"/>
        <v>48.155068370746029</v>
      </c>
      <c r="BJ16" s="169">
        <f t="shared" si="30"/>
        <v>177.08754896942906</v>
      </c>
      <c r="BL16" s="175">
        <f t="shared" si="43"/>
        <v>13</v>
      </c>
      <c r="BM16" s="180">
        <f t="shared" si="44"/>
        <v>60</v>
      </c>
      <c r="BO16" s="181">
        <f t="shared" si="32"/>
        <v>35.56302500767287</v>
      </c>
      <c r="BP16" s="181">
        <f t="shared" si="33"/>
        <v>2.1031947221111555</v>
      </c>
      <c r="BQ16" s="182">
        <f t="shared" si="34"/>
        <v>141.16424234355978</v>
      </c>
      <c r="BR16" s="183">
        <f t="shared" si="35"/>
        <v>9.1474933864904298</v>
      </c>
      <c r="BS16" s="187">
        <f t="shared" si="36"/>
        <v>76.438294152644218</v>
      </c>
      <c r="BT16" s="183">
        <f t="shared" si="37"/>
        <v>699.21879023592305</v>
      </c>
      <c r="BW16" s="53">
        <f t="shared" si="7"/>
        <v>71.12605001534574</v>
      </c>
      <c r="BY16" s="14">
        <f t="shared" si="8"/>
        <v>14.481226324091722</v>
      </c>
      <c r="BZ16" s="53">
        <f t="shared" si="9"/>
        <v>125.14364243028015</v>
      </c>
      <c r="CZ16" s="14">
        <f t="shared" si="45"/>
        <v>6.2838893005031151</v>
      </c>
      <c r="DB16" s="140">
        <f t="shared" si="46"/>
        <v>111.8014682227905</v>
      </c>
      <c r="DC16" s="40"/>
      <c r="DG16" s="88">
        <f t="shared" si="47"/>
        <v>18.851667901509344</v>
      </c>
      <c r="DH16" s="40">
        <f t="shared" si="48"/>
        <v>148.4823797570896</v>
      </c>
    </row>
    <row r="17" spans="2:112">
      <c r="B17" s="296" t="s">
        <v>190</v>
      </c>
      <c r="C17" s="297"/>
      <c r="D17" s="297"/>
      <c r="E17" s="298"/>
      <c r="G17" s="288" t="s">
        <v>205</v>
      </c>
      <c r="H17" s="288"/>
      <c r="I17" s="288"/>
      <c r="J17" s="288"/>
      <c r="K17" s="288"/>
      <c r="O17" s="112">
        <f t="shared" si="49"/>
        <v>14</v>
      </c>
      <c r="P17" s="138">
        <f t="shared" si="10"/>
        <v>5.375</v>
      </c>
      <c r="Q17" s="146"/>
      <c r="R17" s="56">
        <f t="shared" si="11"/>
        <v>14.607569371752859</v>
      </c>
      <c r="S17" s="56">
        <f t="shared" si="12"/>
        <v>0.18841119385579103</v>
      </c>
      <c r="T17" s="56">
        <f t="shared" si="13"/>
        <v>14.79598056560865</v>
      </c>
      <c r="U17" s="154">
        <f t="shared" si="0"/>
        <v>144.03448150773514</v>
      </c>
      <c r="V17" s="149">
        <f t="shared" si="14"/>
        <v>12.729579636805218</v>
      </c>
      <c r="W17" s="162">
        <f t="shared" si="15"/>
        <v>5.4928663018396948</v>
      </c>
      <c r="X17" s="4">
        <f t="shared" si="39"/>
        <v>98.884469621774855</v>
      </c>
      <c r="Z17" s="171">
        <v>14</v>
      </c>
      <c r="AA17" s="202">
        <f t="shared" si="40"/>
        <v>59</v>
      </c>
      <c r="AC17">
        <f t="shared" si="16"/>
        <v>35.417040232842886</v>
      </c>
      <c r="AD17">
        <f t="shared" si="17"/>
        <v>2.0681414767426363</v>
      </c>
      <c r="AE17" s="40">
        <f t="shared" si="18"/>
        <v>37.485181709585525</v>
      </c>
      <c r="AF17" s="88">
        <f t="shared" si="1"/>
        <v>141.34528036375826</v>
      </c>
      <c r="AG17" s="199">
        <f t="shared" si="19"/>
        <v>9.3401533174840061</v>
      </c>
      <c r="AH17" s="213">
        <f t="shared" si="20"/>
        <v>74.861596642856085</v>
      </c>
      <c r="AI17">
        <f t="shared" si="21"/>
        <v>988.84469621774895</v>
      </c>
      <c r="AK17" s="192">
        <f t="shared" si="41"/>
        <v>14</v>
      </c>
      <c r="AL17" s="202">
        <f t="shared" si="42"/>
        <v>537.5</v>
      </c>
      <c r="AM17" s="171"/>
      <c r="AN17" s="171">
        <f t="shared" si="22"/>
        <v>54.607569371752859</v>
      </c>
      <c r="AO17" s="171">
        <f t="shared" si="23"/>
        <v>18.841119385579102</v>
      </c>
      <c r="AP17" s="171">
        <f t="shared" si="24"/>
        <v>73.448688757331965</v>
      </c>
      <c r="AQ17" s="53">
        <f t="shared" si="2"/>
        <v>109.73145220028994</v>
      </c>
      <c r="AR17" s="198">
        <f t="shared" si="25"/>
        <v>0.24528025951348109</v>
      </c>
      <c r="AS17" s="211">
        <f t="shared" si="26"/>
        <v>4703.6439303255875</v>
      </c>
      <c r="AT17" s="171">
        <f t="shared" si="27"/>
        <v>1631.5937487592848</v>
      </c>
      <c r="BB17" s="40"/>
      <c r="BC17" s="167">
        <f t="shared" si="3"/>
        <v>29.215138743505719</v>
      </c>
      <c r="BD17" s="165">
        <f t="shared" si="4"/>
        <v>29.403549937361511</v>
      </c>
      <c r="BF17" s="14">
        <f t="shared" si="5"/>
        <v>-5.2046890333920359</v>
      </c>
      <c r="BG17" s="140">
        <f t="shared" si="6"/>
        <v>129.28342187289178</v>
      </c>
      <c r="BH17" s="170">
        <f t="shared" si="28"/>
        <v>2.3294912346574024</v>
      </c>
      <c r="BI17" s="169">
        <f t="shared" si="29"/>
        <v>53.754143770540672</v>
      </c>
      <c r="BJ17" s="169">
        <f t="shared" si="30"/>
        <v>177.08754896942938</v>
      </c>
      <c r="BL17" s="175">
        <f t="shared" si="43"/>
        <v>14</v>
      </c>
      <c r="BM17" s="180">
        <f t="shared" si="44"/>
        <v>63.75</v>
      </c>
      <c r="BO17" s="181">
        <f t="shared" si="32"/>
        <v>36.089603782119852</v>
      </c>
      <c r="BP17" s="181">
        <f t="shared" si="33"/>
        <v>2.2346443922431032</v>
      </c>
      <c r="BQ17" s="182">
        <f t="shared" si="34"/>
        <v>140.50621389898083</v>
      </c>
      <c r="BR17" s="183">
        <f t="shared" si="35"/>
        <v>8.4800943045607458</v>
      </c>
      <c r="BS17" s="187">
        <f t="shared" si="36"/>
        <v>82.454129060790052</v>
      </c>
      <c r="BT17" s="183">
        <f t="shared" si="37"/>
        <v>699.21879023592237</v>
      </c>
      <c r="BW17" s="53">
        <f t="shared" si="7"/>
        <v>72.179207564239704</v>
      </c>
      <c r="BY17" s="14">
        <f t="shared" si="8"/>
        <v>14.744515711315213</v>
      </c>
      <c r="BZ17" s="53">
        <f t="shared" si="9"/>
        <v>124.22232459847774</v>
      </c>
      <c r="CZ17" s="14">
        <f t="shared" si="45"/>
        <v>6.651117370750514</v>
      </c>
      <c r="DB17" s="140">
        <f t="shared" si="46"/>
        <v>110.68663904503511</v>
      </c>
      <c r="DC17" s="40"/>
      <c r="DG17" s="88">
        <f t="shared" si="47"/>
        <v>19.953352112251544</v>
      </c>
      <c r="DH17" s="40">
        <f t="shared" si="48"/>
        <v>147.36755057933419</v>
      </c>
    </row>
    <row r="18" spans="2:112">
      <c r="B18" s="9">
        <v>1</v>
      </c>
      <c r="C18" s="118"/>
      <c r="D18" s="116">
        <v>20</v>
      </c>
      <c r="E18" s="110" t="s">
        <v>7</v>
      </c>
      <c r="G18" s="285">
        <v>1</v>
      </c>
      <c r="H18" s="285"/>
      <c r="I18" s="291" t="s">
        <v>206</v>
      </c>
      <c r="J18" s="124">
        <f>(2*D18/$D$29)*((1/COS(RADIANS($D$10/2)))-1)*POWER(10,6)</f>
        <v>230.10561547074224</v>
      </c>
      <c r="K18" s="111" t="s">
        <v>30</v>
      </c>
      <c r="O18" s="112">
        <f t="shared" si="49"/>
        <v>15</v>
      </c>
      <c r="P18" s="138">
        <f t="shared" si="10"/>
        <v>5.75</v>
      </c>
      <c r="Q18" s="146"/>
      <c r="R18" s="56">
        <f t="shared" si="11"/>
        <v>15.193356893792609</v>
      </c>
      <c r="S18" s="56">
        <f t="shared" si="12"/>
        <v>0.20155616086898576</v>
      </c>
      <c r="T18" s="56">
        <f t="shared" si="13"/>
        <v>15.394913054661595</v>
      </c>
      <c r="U18" s="154">
        <f t="shared" si="0"/>
        <v>143.4355490186822</v>
      </c>
      <c r="V18" s="149">
        <f t="shared" si="14"/>
        <v>11.881395097783836</v>
      </c>
      <c r="W18" s="162">
        <f t="shared" si="15"/>
        <v>5.8849889636810646</v>
      </c>
      <c r="X18" s="4">
        <f t="shared" si="39"/>
        <v>98.884469621774898</v>
      </c>
      <c r="Z18" s="171">
        <v>15</v>
      </c>
      <c r="AA18" s="202">
        <f t="shared" si="40"/>
        <v>62.75</v>
      </c>
      <c r="AC18">
        <f t="shared" si="16"/>
        <v>35.952274603061511</v>
      </c>
      <c r="AD18">
        <f t="shared" si="17"/>
        <v>2.1995911468745839</v>
      </c>
      <c r="AE18" s="40">
        <f t="shared" si="18"/>
        <v>38.151865749936093</v>
      </c>
      <c r="AF18" s="88">
        <f t="shared" si="1"/>
        <v>140.6785963234077</v>
      </c>
      <c r="AG18" s="199">
        <f t="shared" si="19"/>
        <v>8.6500736088549388</v>
      </c>
      <c r="AH18" s="213">
        <f t="shared" si="20"/>
        <v>80.833854352423515</v>
      </c>
      <c r="AI18">
        <f t="shared" si="21"/>
        <v>988.84469621775008</v>
      </c>
      <c r="AK18" s="192">
        <f t="shared" si="41"/>
        <v>15</v>
      </c>
      <c r="AL18" s="202">
        <f t="shared" si="42"/>
        <v>575</v>
      </c>
      <c r="AM18" s="171"/>
      <c r="AN18" s="171">
        <f t="shared" si="22"/>
        <v>55.193356893792611</v>
      </c>
      <c r="AO18" s="171">
        <f t="shared" si="23"/>
        <v>20.155616086898576</v>
      </c>
      <c r="AP18" s="171">
        <f t="shared" si="24"/>
        <v>75.348972980691187</v>
      </c>
      <c r="AQ18" s="53">
        <f t="shared" si="2"/>
        <v>107.83116797693071</v>
      </c>
      <c r="AR18" s="198">
        <f t="shared" si="25"/>
        <v>0.1970826466482061</v>
      </c>
      <c r="AS18" s="211">
        <f t="shared" si="26"/>
        <v>5853.9451519983504</v>
      </c>
      <c r="AT18" s="171">
        <f t="shared" si="27"/>
        <v>1631.5937487592844</v>
      </c>
      <c r="BB18" s="40"/>
      <c r="BC18" s="167">
        <f t="shared" si="3"/>
        <v>30.386713787585219</v>
      </c>
      <c r="BD18" s="165">
        <f t="shared" si="4"/>
        <v>30.588269948454204</v>
      </c>
      <c r="BF18" s="14">
        <f t="shared" si="5"/>
        <v>-4.911795272372161</v>
      </c>
      <c r="BG18" s="140">
        <f t="shared" si="6"/>
        <v>128.39159562281895</v>
      </c>
      <c r="BH18" s="170">
        <f t="shared" si="28"/>
        <v>2.1021793620797458</v>
      </c>
      <c r="BI18" s="169">
        <f t="shared" si="29"/>
        <v>59.566661626867344</v>
      </c>
      <c r="BJ18" s="169">
        <f t="shared" si="30"/>
        <v>177.08754896942904</v>
      </c>
      <c r="BL18" s="175">
        <f t="shared" si="43"/>
        <v>15</v>
      </c>
      <c r="BM18" s="180">
        <f t="shared" si="44"/>
        <v>67.5</v>
      </c>
      <c r="BO18" s="181">
        <f t="shared" si="32"/>
        <v>36.586075456620499</v>
      </c>
      <c r="BP18" s="181">
        <f t="shared" si="33"/>
        <v>2.3660940623750504</v>
      </c>
      <c r="BQ18" s="182">
        <f t="shared" si="34"/>
        <v>139.87829255434826</v>
      </c>
      <c r="BR18" s="183">
        <f t="shared" si="35"/>
        <v>7.8886849990213896</v>
      </c>
      <c r="BS18" s="187">
        <f t="shared" si="36"/>
        <v>88.6356585822178</v>
      </c>
      <c r="BT18" s="183">
        <f t="shared" si="37"/>
        <v>699.21879023592305</v>
      </c>
      <c r="BW18" s="53">
        <f t="shared" si="7"/>
        <v>73.172150913240998</v>
      </c>
      <c r="BY18" s="14">
        <f t="shared" si="8"/>
        <v>14.992751548565536</v>
      </c>
      <c r="BZ18" s="53">
        <f t="shared" si="9"/>
        <v>123.34616741659482</v>
      </c>
      <c r="CZ18" s="14">
        <f t="shared" si="45"/>
        <v>6.9897000433601884</v>
      </c>
      <c r="DB18" s="140">
        <f t="shared" si="46"/>
        <v>109.65774606019289</v>
      </c>
      <c r="DC18" s="40"/>
      <c r="DG18" s="88">
        <f t="shared" si="47"/>
        <v>20.969100130080566</v>
      </c>
      <c r="DH18" s="40">
        <f t="shared" si="48"/>
        <v>146.33865759449199</v>
      </c>
    </row>
    <row r="19" spans="2:112">
      <c r="B19" s="9">
        <v>2</v>
      </c>
      <c r="C19" s="118"/>
      <c r="D19" s="116">
        <v>100</v>
      </c>
      <c r="E19" s="110" t="s">
        <v>7</v>
      </c>
      <c r="G19" s="285">
        <v>2</v>
      </c>
      <c r="H19" s="285"/>
      <c r="I19" s="291"/>
      <c r="J19" s="124">
        <f>(2*D19/$D$29)*((1/COS(RADIANS($D$10/2)))-1)*POWER(10,6)</f>
        <v>1150.5280773537111</v>
      </c>
      <c r="K19" s="111" t="s">
        <v>30</v>
      </c>
      <c r="O19" s="112">
        <f t="shared" si="49"/>
        <v>16</v>
      </c>
      <c r="P19" s="138">
        <f t="shared" si="10"/>
        <v>6.125</v>
      </c>
      <c r="Q19" s="146"/>
      <c r="R19" s="56">
        <f t="shared" si="11"/>
        <v>15.742121860731402</v>
      </c>
      <c r="S19" s="56">
        <f t="shared" si="12"/>
        <v>0.21470112788218049</v>
      </c>
      <c r="T19" s="56">
        <f t="shared" si="13"/>
        <v>15.956822988613583</v>
      </c>
      <c r="U19" s="154">
        <f t="shared" si="0"/>
        <v>142.8736390847302</v>
      </c>
      <c r="V19" s="149">
        <f t="shared" si="14"/>
        <v>11.137095435880127</v>
      </c>
      <c r="W19" s="162">
        <f t="shared" si="15"/>
        <v>6.2782867782856924</v>
      </c>
      <c r="X19" s="4">
        <f t="shared" si="39"/>
        <v>98.884469621774826</v>
      </c>
      <c r="Z19" s="171">
        <f>Z18+1</f>
        <v>16</v>
      </c>
      <c r="AA19" s="202">
        <f t="shared" si="40"/>
        <v>66.5</v>
      </c>
      <c r="AC19">
        <f t="shared" si="16"/>
        <v>36.456432906062091</v>
      </c>
      <c r="AD19">
        <f t="shared" si="17"/>
        <v>2.3310408170065311</v>
      </c>
      <c r="AE19" s="40">
        <f t="shared" si="18"/>
        <v>38.787473723068622</v>
      </c>
      <c r="AF19" s="88">
        <f t="shared" si="1"/>
        <v>140.04298835027518</v>
      </c>
      <c r="AG19" s="199">
        <f t="shared" si="19"/>
        <v>8.0396918746311457</v>
      </c>
      <c r="AH19" s="213">
        <f t="shared" si="20"/>
        <v>86.970844298433107</v>
      </c>
      <c r="AI19">
        <f t="shared" si="21"/>
        <v>988.84469621775088</v>
      </c>
      <c r="AK19" s="192">
        <f t="shared" si="41"/>
        <v>16</v>
      </c>
      <c r="AL19" s="202">
        <f t="shared" si="42"/>
        <v>612.5</v>
      </c>
      <c r="AM19" s="171"/>
      <c r="AN19" s="171">
        <f t="shared" si="22"/>
        <v>55.742121860731402</v>
      </c>
      <c r="AO19" s="171">
        <f t="shared" si="23"/>
        <v>21.470112788218049</v>
      </c>
      <c r="AP19" s="171">
        <f t="shared" si="24"/>
        <v>77.212234648949448</v>
      </c>
      <c r="AQ19" s="53">
        <f t="shared" si="2"/>
        <v>105.96790630867247</v>
      </c>
      <c r="AR19" s="198">
        <f t="shared" si="25"/>
        <v>0.1590322862544192</v>
      </c>
      <c r="AS19" s="211">
        <f t="shared" si="26"/>
        <v>7254.5709494710409</v>
      </c>
      <c r="AT19" s="171">
        <f t="shared" si="27"/>
        <v>1631.5937487592876</v>
      </c>
      <c r="BB19" s="40"/>
      <c r="BC19" s="167">
        <f t="shared" si="3"/>
        <v>31.484243721462803</v>
      </c>
      <c r="BD19" s="165">
        <f t="shared" si="4"/>
        <v>31.698944849344983</v>
      </c>
      <c r="BF19" s="14">
        <f t="shared" si="5"/>
        <v>-4.6374127889027648</v>
      </c>
      <c r="BG19" s="140">
        <f t="shared" si="6"/>
        <v>127.55530320539756</v>
      </c>
      <c r="BH19" s="170">
        <f t="shared" si="28"/>
        <v>1.9092163604365933</v>
      </c>
      <c r="BI19" s="169">
        <f t="shared" si="29"/>
        <v>65.587017445918576</v>
      </c>
      <c r="BJ19" s="169">
        <f t="shared" si="30"/>
        <v>177.08754896942895</v>
      </c>
      <c r="BL19" s="175">
        <f t="shared" si="43"/>
        <v>16</v>
      </c>
      <c r="BM19" s="180">
        <f t="shared" si="44"/>
        <v>71.25</v>
      </c>
      <c r="BO19" s="181">
        <f t="shared" si="32"/>
        <v>37.055697373610954</v>
      </c>
      <c r="BP19" s="181">
        <f t="shared" si="33"/>
        <v>2.4975437325069971</v>
      </c>
      <c r="BQ19" s="182">
        <f t="shared" si="34"/>
        <v>139.27722096722584</v>
      </c>
      <c r="BR19" s="183">
        <f t="shared" si="35"/>
        <v>7.3612409830887167</v>
      </c>
      <c r="BS19" s="187">
        <f t="shared" si="36"/>
        <v>94.986537167070964</v>
      </c>
      <c r="BT19" s="183">
        <f t="shared" si="37"/>
        <v>699.21879023592237</v>
      </c>
      <c r="BW19" s="53">
        <f t="shared" si="7"/>
        <v>74.111394747221908</v>
      </c>
      <c r="BY19" s="14">
        <f t="shared" si="8"/>
        <v>15.227562507060764</v>
      </c>
      <c r="BZ19" s="53">
        <f t="shared" si="9"/>
        <v>122.5102848709772</v>
      </c>
      <c r="CZ19" s="14">
        <f t="shared" si="45"/>
        <v>7.3037846858764297</v>
      </c>
      <c r="DB19" s="140">
        <f t="shared" si="46"/>
        <v>108.70234716563098</v>
      </c>
      <c r="DC19" s="40"/>
      <c r="DG19" s="88">
        <f t="shared" si="47"/>
        <v>21.911354057629289</v>
      </c>
      <c r="DH19" s="40">
        <f t="shared" si="48"/>
        <v>145.38325869993008</v>
      </c>
    </row>
    <row r="20" spans="2:112">
      <c r="B20" s="9">
        <v>3</v>
      </c>
      <c r="C20" s="118"/>
      <c r="D20" s="173">
        <v>2000</v>
      </c>
      <c r="E20" s="110" t="s">
        <v>7</v>
      </c>
      <c r="G20" s="285">
        <v>3</v>
      </c>
      <c r="H20" s="285"/>
      <c r="I20" s="291"/>
      <c r="J20" s="124">
        <f>(2*D20/$D$29)*((1/COS(RADIANS($D$10/2)))-1)*POWER(10,6)</f>
        <v>23010.561547074223</v>
      </c>
      <c r="K20" s="111" t="s">
        <v>30</v>
      </c>
      <c r="O20" s="112">
        <f t="shared" si="49"/>
        <v>17</v>
      </c>
      <c r="P20" s="138">
        <f t="shared" si="10"/>
        <v>6.5</v>
      </c>
      <c r="Q20" s="146"/>
      <c r="R20" s="56">
        <f t="shared" si="11"/>
        <v>16.25826713285711</v>
      </c>
      <c r="S20" s="56">
        <f t="shared" si="12"/>
        <v>0.22784609489537519</v>
      </c>
      <c r="T20" s="56">
        <f t="shared" si="13"/>
        <v>16.486113227752487</v>
      </c>
      <c r="U20" s="154">
        <f t="shared" si="0"/>
        <v>142.3443488455913</v>
      </c>
      <c r="V20" s="149">
        <f t="shared" si="14"/>
        <v>10.478700539806043</v>
      </c>
      <c r="W20" s="162">
        <f t="shared" si="15"/>
        <v>6.6727624057941028</v>
      </c>
      <c r="X20" s="4">
        <f t="shared" si="39"/>
        <v>98.884469621774826</v>
      </c>
      <c r="Z20" s="171">
        <f t="shared" ref="Z20:Z40" si="50">Z19+1</f>
        <v>17</v>
      </c>
      <c r="AA20" s="202">
        <f t="shared" si="40"/>
        <v>70.25</v>
      </c>
      <c r="AC20">
        <f t="shared" si="16"/>
        <v>36.932926571542353</v>
      </c>
      <c r="AD20">
        <f t="shared" si="17"/>
        <v>2.4624904871384783</v>
      </c>
      <c r="AE20" s="40">
        <f t="shared" si="18"/>
        <v>39.395417058680835</v>
      </c>
      <c r="AF20" s="88">
        <f t="shared" si="1"/>
        <v>139.43504501466296</v>
      </c>
      <c r="AG20" s="199">
        <f t="shared" si="19"/>
        <v>7.4962185143675946</v>
      </c>
      <c r="AH20" s="213">
        <f t="shared" si="20"/>
        <v>93.276201713673075</v>
      </c>
      <c r="AI20">
        <f t="shared" si="21"/>
        <v>988.84469621774986</v>
      </c>
      <c r="AK20" s="192">
        <f t="shared" si="41"/>
        <v>17</v>
      </c>
      <c r="AL20" s="202">
        <f t="shared" si="42"/>
        <v>650</v>
      </c>
      <c r="AM20" s="171"/>
      <c r="AN20" s="171">
        <f t="shared" si="22"/>
        <v>56.258267132857114</v>
      </c>
      <c r="AO20" s="171">
        <f t="shared" si="23"/>
        <v>22.784609489537523</v>
      </c>
      <c r="AP20" s="171">
        <f t="shared" si="24"/>
        <v>79.04287662239463</v>
      </c>
      <c r="AQ20" s="53">
        <f t="shared" si="2"/>
        <v>104.13726433522729</v>
      </c>
      <c r="AR20" s="198">
        <f t="shared" si="25"/>
        <v>0.12881107472677653</v>
      </c>
      <c r="AS20" s="211">
        <f t="shared" si="26"/>
        <v>8956.6134459822442</v>
      </c>
      <c r="AT20" s="171">
        <f t="shared" si="27"/>
        <v>1631.5937487592848</v>
      </c>
      <c r="BB20" s="40"/>
      <c r="BC20" s="167">
        <f t="shared" si="3"/>
        <v>32.51653426571422</v>
      </c>
      <c r="BD20" s="165">
        <f t="shared" si="4"/>
        <v>32.744380360609597</v>
      </c>
      <c r="BF20" s="14">
        <f t="shared" si="5"/>
        <v>-4.3793401528399105</v>
      </c>
      <c r="BG20" s="140">
        <f t="shared" si="6"/>
        <v>126.76794033019581</v>
      </c>
      <c r="BH20" s="170">
        <f t="shared" si="28"/>
        <v>1.7437611736847503</v>
      </c>
      <c r="BI20" s="169">
        <f t="shared" si="29"/>
        <v>71.810181709336703</v>
      </c>
      <c r="BJ20" s="169">
        <f t="shared" si="30"/>
        <v>177.08754896942918</v>
      </c>
      <c r="BL20" s="175">
        <f t="shared" si="43"/>
        <v>17</v>
      </c>
      <c r="BM20" s="180">
        <f t="shared" si="44"/>
        <v>75</v>
      </c>
      <c r="BO20" s="181">
        <f t="shared" si="32"/>
        <v>37.501225267834002</v>
      </c>
      <c r="BP20" s="181">
        <f t="shared" si="33"/>
        <v>2.6289934026389448</v>
      </c>
      <c r="BQ20" s="182">
        <f t="shared" si="34"/>
        <v>138.70024340287085</v>
      </c>
      <c r="BR20" s="183">
        <f t="shared" si="35"/>
        <v>6.888143039765759</v>
      </c>
      <c r="BS20" s="187">
        <f t="shared" si="36"/>
        <v>101.51049218915489</v>
      </c>
      <c r="BT20" s="183">
        <f t="shared" si="37"/>
        <v>699.21879023592373</v>
      </c>
      <c r="BW20" s="53">
        <f t="shared" si="7"/>
        <v>75.002450535668004</v>
      </c>
      <c r="BY20" s="14">
        <f t="shared" si="8"/>
        <v>15.450326454172288</v>
      </c>
      <c r="BZ20" s="53">
        <f t="shared" si="9"/>
        <v>121.71054335951067</v>
      </c>
      <c r="CZ20" s="14">
        <f t="shared" si="45"/>
        <v>7.5966784468963047</v>
      </c>
      <c r="DB20" s="140">
        <f t="shared" si="46"/>
        <v>107.81052091555816</v>
      </c>
      <c r="DC20" s="40"/>
      <c r="DG20" s="88">
        <f t="shared" si="47"/>
        <v>22.790035340688913</v>
      </c>
      <c r="DH20" s="40">
        <f t="shared" si="48"/>
        <v>144.49143244985726</v>
      </c>
    </row>
    <row r="21" spans="2:112">
      <c r="B21" s="296" t="s">
        <v>83</v>
      </c>
      <c r="C21" s="297"/>
      <c r="D21" s="297"/>
      <c r="E21" s="298"/>
      <c r="G21" s="292" t="s">
        <v>204</v>
      </c>
      <c r="H21" s="293"/>
      <c r="I21" s="293"/>
      <c r="J21" s="293"/>
      <c r="K21" s="294"/>
      <c r="O21" s="112">
        <f t="shared" si="49"/>
        <v>18</v>
      </c>
      <c r="P21" s="138">
        <f t="shared" si="10"/>
        <v>6.875</v>
      </c>
      <c r="Q21" s="146"/>
      <c r="R21" s="56">
        <f t="shared" si="11"/>
        <v>16.745454050046003</v>
      </c>
      <c r="S21" s="56">
        <f t="shared" si="12"/>
        <v>0.24099106190856995</v>
      </c>
      <c r="T21" s="56">
        <f t="shared" si="13"/>
        <v>16.986445111954573</v>
      </c>
      <c r="U21" s="154">
        <f t="shared" si="0"/>
        <v>141.84401696138923</v>
      </c>
      <c r="V21" s="149">
        <f t="shared" si="14"/>
        <v>9.8921532316975185</v>
      </c>
      <c r="W21" s="162">
        <f t="shared" si="15"/>
        <v>7.0684185117089564</v>
      </c>
      <c r="X21" s="4">
        <f t="shared" si="39"/>
        <v>98.884469621775082</v>
      </c>
      <c r="Z21" s="171">
        <f t="shared" si="50"/>
        <v>18</v>
      </c>
      <c r="AA21" s="202">
        <f t="shared" si="40"/>
        <v>74</v>
      </c>
      <c r="AC21">
        <f t="shared" si="16"/>
        <v>37.384634394619525</v>
      </c>
      <c r="AD21">
        <f t="shared" si="17"/>
        <v>2.5939401572704255</v>
      </c>
      <c r="AE21" s="40">
        <f t="shared" si="18"/>
        <v>39.978574551889949</v>
      </c>
      <c r="AF21" s="88">
        <f t="shared" si="1"/>
        <v>138.85188752145385</v>
      </c>
      <c r="AG21" s="199">
        <f t="shared" si="19"/>
        <v>7.0094567931850236</v>
      </c>
      <c r="AH21" s="213">
        <f t="shared" si="20"/>
        <v>99.753634392288589</v>
      </c>
      <c r="AI21">
        <f t="shared" si="21"/>
        <v>988.84469621774986</v>
      </c>
      <c r="AK21" s="192">
        <f t="shared" si="41"/>
        <v>18</v>
      </c>
      <c r="AL21" s="202">
        <f t="shared" si="42"/>
        <v>687.5</v>
      </c>
      <c r="AM21" s="171"/>
      <c r="AN21" s="171">
        <f t="shared" si="22"/>
        <v>56.745454050046007</v>
      </c>
      <c r="AO21" s="171">
        <f t="shared" si="23"/>
        <v>24.099106190856993</v>
      </c>
      <c r="AP21" s="171">
        <f t="shared" si="24"/>
        <v>80.844560240903007</v>
      </c>
      <c r="AQ21" s="53">
        <f t="shared" si="2"/>
        <v>102.33558071671891</v>
      </c>
      <c r="AR21" s="198">
        <f t="shared" si="25"/>
        <v>0.10468127962681849</v>
      </c>
      <c r="AS21" s="211">
        <f t="shared" si="26"/>
        <v>11021.177883974766</v>
      </c>
      <c r="AT21" s="171">
        <f t="shared" si="27"/>
        <v>1631.5937487592844</v>
      </c>
      <c r="BB21" s="40"/>
      <c r="BC21" s="167">
        <f t="shared" si="3"/>
        <v>33.490908100092007</v>
      </c>
      <c r="BD21" s="165">
        <f t="shared" si="4"/>
        <v>33.731899162000573</v>
      </c>
      <c r="BF21" s="14">
        <f t="shared" si="5"/>
        <v>-4.1357466942454639</v>
      </c>
      <c r="BG21" s="140">
        <f t="shared" si="6"/>
        <v>126.02401498739927</v>
      </c>
      <c r="BH21" s="170">
        <f t="shared" si="28"/>
        <v>1.6006292035861829</v>
      </c>
      <c r="BI21" s="169">
        <f t="shared" si="29"/>
        <v>78.231614454762564</v>
      </c>
      <c r="BJ21" s="169">
        <f t="shared" si="30"/>
        <v>177.08754896942881</v>
      </c>
      <c r="BL21" s="175">
        <f t="shared" si="43"/>
        <v>18</v>
      </c>
      <c r="BM21" s="180">
        <f t="shared" si="44"/>
        <v>78.75</v>
      </c>
      <c r="BO21" s="181">
        <f t="shared" si="32"/>
        <v>37.92501124923276</v>
      </c>
      <c r="BP21" s="181">
        <f t="shared" si="33"/>
        <v>2.760443072770892</v>
      </c>
      <c r="BQ21" s="182">
        <f t="shared" si="34"/>
        <v>138.14500775134013</v>
      </c>
      <c r="BR21" s="183">
        <f t="shared" si="35"/>
        <v>6.461604533232058</v>
      </c>
      <c r="BS21" s="187">
        <f t="shared" si="36"/>
        <v>108.21132532017965</v>
      </c>
      <c r="BT21" s="183">
        <f t="shared" si="37"/>
        <v>699.2187902359218</v>
      </c>
      <c r="BW21" s="53">
        <f t="shared" si="7"/>
        <v>75.85002249846552</v>
      </c>
      <c r="BY21" s="14">
        <f t="shared" si="8"/>
        <v>15.662219444871667</v>
      </c>
      <c r="BZ21" s="53">
        <f t="shared" si="9"/>
        <v>120.94341471728059</v>
      </c>
      <c r="CZ21" s="14">
        <f t="shared" si="45"/>
        <v>7.8710609303657009</v>
      </c>
      <c r="DB21" s="140">
        <f t="shared" si="46"/>
        <v>106.97422849813677</v>
      </c>
      <c r="DC21" s="40"/>
      <c r="DG21" s="88">
        <f t="shared" si="47"/>
        <v>23.613182791097103</v>
      </c>
      <c r="DH21" s="40">
        <f t="shared" si="48"/>
        <v>143.65514003243587</v>
      </c>
    </row>
    <row r="22" spans="2:112">
      <c r="B22" s="9">
        <v>1</v>
      </c>
      <c r="C22" s="304" t="s">
        <v>29</v>
      </c>
      <c r="D22" s="173">
        <v>240</v>
      </c>
      <c r="E22" s="110" t="s">
        <v>30</v>
      </c>
      <c r="G22" s="285">
        <v>1</v>
      </c>
      <c r="H22" s="285"/>
      <c r="I22" s="291" t="s">
        <v>15</v>
      </c>
      <c r="J22" s="125">
        <f>(4*$D$29*(D22/1000000))/POWER(RADIANS($D$10),2)</f>
        <v>21.009960640075164</v>
      </c>
      <c r="K22" s="110" t="s">
        <v>7</v>
      </c>
      <c r="O22" s="112">
        <f t="shared" si="49"/>
        <v>19</v>
      </c>
      <c r="P22" s="138">
        <f t="shared" si="10"/>
        <v>7.25</v>
      </c>
      <c r="Q22" s="146"/>
      <c r="R22" s="56">
        <f t="shared" si="11"/>
        <v>17.206760131419873</v>
      </c>
      <c r="S22" s="56">
        <f t="shared" si="12"/>
        <v>0.25413602892176468</v>
      </c>
      <c r="T22" s="56">
        <f t="shared" si="13"/>
        <v>17.460896160341637</v>
      </c>
      <c r="U22" s="154">
        <f t="shared" si="0"/>
        <v>141.36956591300216</v>
      </c>
      <c r="V22" s="149">
        <f t="shared" si="14"/>
        <v>9.3663047153667485</v>
      </c>
      <c r="W22" s="162">
        <f t="shared" si="15"/>
        <v>7.4652577669051903</v>
      </c>
      <c r="X22" s="4">
        <f t="shared" si="39"/>
        <v>98.884469621775096</v>
      </c>
      <c r="Z22" s="171">
        <f t="shared" si="50"/>
        <v>19</v>
      </c>
      <c r="AA22" s="202">
        <f t="shared" si="40"/>
        <v>77.75</v>
      </c>
      <c r="AC22">
        <f t="shared" si="16"/>
        <v>37.814007953977502</v>
      </c>
      <c r="AD22">
        <f t="shared" si="17"/>
        <v>2.7253898274023727</v>
      </c>
      <c r="AE22" s="40">
        <f t="shared" si="18"/>
        <v>40.539397781379876</v>
      </c>
      <c r="AF22" s="88">
        <f t="shared" si="1"/>
        <v>138.29106429196392</v>
      </c>
      <c r="AG22" s="199">
        <f t="shared" si="19"/>
        <v>6.571177547228535</v>
      </c>
      <c r="AH22" s="213">
        <f t="shared" si="20"/>
        <v>106.40692405744318</v>
      </c>
      <c r="AI22">
        <f t="shared" si="21"/>
        <v>988.84469621774974</v>
      </c>
      <c r="AK22" s="192">
        <f t="shared" si="41"/>
        <v>19</v>
      </c>
      <c r="AL22" s="202">
        <f t="shared" si="42"/>
        <v>725</v>
      </c>
      <c r="AM22" s="171"/>
      <c r="AN22" s="171">
        <f t="shared" si="22"/>
        <v>57.20676013141987</v>
      </c>
      <c r="AO22" s="171">
        <f t="shared" si="23"/>
        <v>25.413602892176467</v>
      </c>
      <c r="AP22" s="171">
        <f t="shared" si="24"/>
        <v>82.62036302359634</v>
      </c>
      <c r="AQ22" s="53">
        <f t="shared" si="2"/>
        <v>100.55977793402559</v>
      </c>
      <c r="AR22" s="198">
        <f t="shared" si="25"/>
        <v>8.5325508213837081E-2</v>
      </c>
      <c r="AS22" s="211">
        <f t="shared" si="26"/>
        <v>13521.290737559055</v>
      </c>
      <c r="AT22" s="171">
        <f t="shared" si="27"/>
        <v>1631.5937487592905</v>
      </c>
      <c r="BB22" s="40"/>
      <c r="BC22" s="167">
        <f t="shared" si="3"/>
        <v>34.413520262839747</v>
      </c>
      <c r="BD22" s="165">
        <f t="shared" si="4"/>
        <v>34.66765629176151</v>
      </c>
      <c r="BF22" s="14">
        <f t="shared" si="5"/>
        <v>-3.905093653558529</v>
      </c>
      <c r="BG22" s="140">
        <f t="shared" si="6"/>
        <v>125.31891089832529</v>
      </c>
      <c r="BH22" s="170">
        <f t="shared" si="28"/>
        <v>1.4758272735024054</v>
      </c>
      <c r="BI22" s="169">
        <f t="shared" si="29"/>
        <v>84.847196544090735</v>
      </c>
      <c r="BJ22" s="169">
        <f t="shared" si="30"/>
        <v>177.08754896942912</v>
      </c>
      <c r="BL22" s="175">
        <f t="shared" si="43"/>
        <v>19</v>
      </c>
      <c r="BM22" s="180">
        <f t="shared" si="44"/>
        <v>82.5</v>
      </c>
      <c r="BO22" s="181">
        <f t="shared" si="32"/>
        <v>38.329078970998502</v>
      </c>
      <c r="BP22" s="181">
        <f t="shared" si="33"/>
        <v>2.8918927429028396</v>
      </c>
      <c r="BQ22" s="182">
        <f t="shared" si="34"/>
        <v>137.60949035944245</v>
      </c>
      <c r="BR22" s="183">
        <f t="shared" si="35"/>
        <v>6.0752549081129859</v>
      </c>
      <c r="BS22" s="187">
        <f t="shared" si="36"/>
        <v>115.09291392895695</v>
      </c>
      <c r="BT22" s="183">
        <f t="shared" si="37"/>
        <v>699.21879023592112</v>
      </c>
      <c r="BW22" s="53">
        <f t="shared" si="7"/>
        <v>76.658157941997004</v>
      </c>
      <c r="BY22" s="14">
        <f t="shared" si="8"/>
        <v>15.864253305754538</v>
      </c>
      <c r="BZ22" s="53">
        <f t="shared" si="9"/>
        <v>120.20586346450003</v>
      </c>
      <c r="CZ22" s="14">
        <f t="shared" si="45"/>
        <v>8.1291335664285551</v>
      </c>
      <c r="DB22" s="140">
        <f t="shared" si="46"/>
        <v>106.18686562293502</v>
      </c>
      <c r="DC22" s="40"/>
      <c r="DG22" s="88">
        <f t="shared" si="47"/>
        <v>24.387400699285667</v>
      </c>
      <c r="DH22" s="40">
        <f t="shared" si="48"/>
        <v>142.86777715723412</v>
      </c>
    </row>
    <row r="23" spans="2:112">
      <c r="B23" s="9">
        <v>2</v>
      </c>
      <c r="C23" s="304"/>
      <c r="D23" s="173">
        <v>2000</v>
      </c>
      <c r="E23" s="110" t="s">
        <v>30</v>
      </c>
      <c r="G23" s="285">
        <v>2</v>
      </c>
      <c r="H23" s="285"/>
      <c r="I23" s="291"/>
      <c r="J23" s="125">
        <f>(4*$D$29*(D23/1000000))/POWER(RADIANS($D$10),2)</f>
        <v>175.0830053339597</v>
      </c>
      <c r="K23" s="110" t="s">
        <v>7</v>
      </c>
      <c r="O23" s="112">
        <f t="shared" si="49"/>
        <v>20</v>
      </c>
      <c r="P23" s="138">
        <f t="shared" si="10"/>
        <v>7.625</v>
      </c>
      <c r="Q23" s="146"/>
      <c r="R23" s="56">
        <f t="shared" si="11"/>
        <v>17.644796960376471</v>
      </c>
      <c r="S23" s="56">
        <f t="shared" si="12"/>
        <v>0.26728099593495935</v>
      </c>
      <c r="T23" s="56">
        <f t="shared" si="13"/>
        <v>17.912077956311432</v>
      </c>
      <c r="U23" s="154">
        <f t="shared" si="0"/>
        <v>140.91838411703236</v>
      </c>
      <c r="V23" s="149">
        <f t="shared" si="14"/>
        <v>8.8921994004802034</v>
      </c>
      <c r="W23" s="162">
        <f t="shared" si="15"/>
        <v>7.863282847640173</v>
      </c>
      <c r="X23" s="4">
        <f t="shared" si="39"/>
        <v>98.88446962177494</v>
      </c>
      <c r="Z23" s="171">
        <f t="shared" si="50"/>
        <v>20</v>
      </c>
      <c r="AA23" s="202">
        <f t="shared" si="40"/>
        <v>81.5</v>
      </c>
      <c r="AC23">
        <f t="shared" si="16"/>
        <v>38.22315217479953</v>
      </c>
      <c r="AD23">
        <f t="shared" si="17"/>
        <v>2.8568394975343199</v>
      </c>
      <c r="AE23" s="40">
        <f t="shared" si="18"/>
        <v>41.079991672333847</v>
      </c>
      <c r="AF23" s="88">
        <f t="shared" si="1"/>
        <v>137.75047040100995</v>
      </c>
      <c r="AG23" s="199">
        <f t="shared" si="19"/>
        <v>6.1746665165313237</v>
      </c>
      <c r="AH23" s="213">
        <f t="shared" si="20"/>
        <v>113.23992775381741</v>
      </c>
      <c r="AI23">
        <f t="shared" si="21"/>
        <v>988.84469621774986</v>
      </c>
      <c r="AK23" s="192">
        <f t="shared" si="41"/>
        <v>20</v>
      </c>
      <c r="AL23" s="202">
        <f t="shared" si="42"/>
        <v>762.5</v>
      </c>
      <c r="AM23" s="171"/>
      <c r="AN23" s="171">
        <f t="shared" si="22"/>
        <v>57.644796960376468</v>
      </c>
      <c r="AO23" s="171">
        <f t="shared" si="23"/>
        <v>26.728099593495937</v>
      </c>
      <c r="AP23" s="171">
        <f t="shared" si="24"/>
        <v>84.372896553872408</v>
      </c>
      <c r="AQ23" s="53">
        <f t="shared" si="2"/>
        <v>98.807244403749507</v>
      </c>
      <c r="AR23" s="198">
        <f t="shared" si="25"/>
        <v>6.9735225111055038E-2</v>
      </c>
      <c r="AS23" s="211">
        <f t="shared" si="26"/>
        <v>16544.164044096186</v>
      </c>
      <c r="AT23" s="171">
        <f t="shared" si="27"/>
        <v>1631.5937487592846</v>
      </c>
      <c r="BB23" s="40"/>
      <c r="BC23" s="167">
        <f t="shared" si="3"/>
        <v>35.289593920752942</v>
      </c>
      <c r="BD23" s="165">
        <f t="shared" si="4"/>
        <v>35.556874916687903</v>
      </c>
      <c r="BF23" s="14">
        <f t="shared" si="5"/>
        <v>-3.68607523908023</v>
      </c>
      <c r="BG23" s="140">
        <f t="shared" si="6"/>
        <v>124.64871068787718</v>
      </c>
      <c r="BH23" s="170">
        <f t="shared" si="28"/>
        <v>1.3662353603743835</v>
      </c>
      <c r="BI23" s="169">
        <f t="shared" si="29"/>
        <v>91.653173656458947</v>
      </c>
      <c r="BJ23" s="169">
        <f t="shared" si="30"/>
        <v>177.08754896942915</v>
      </c>
      <c r="BL23" s="175">
        <f t="shared" si="43"/>
        <v>20</v>
      </c>
      <c r="BM23" s="180">
        <f t="shared" si="44"/>
        <v>86.25</v>
      </c>
      <c r="BO23" s="181">
        <f t="shared" si="32"/>
        <v>38.715182074906231</v>
      </c>
      <c r="BP23" s="181">
        <f t="shared" si="33"/>
        <v>3.0233424130347863</v>
      </c>
      <c r="BQ23" s="182">
        <f t="shared" si="34"/>
        <v>137.09193758540277</v>
      </c>
      <c r="BR23" s="183">
        <f t="shared" si="35"/>
        <v>5.723831841185322</v>
      </c>
      <c r="BS23" s="187">
        <f t="shared" si="36"/>
        <v>122.15921250599231</v>
      </c>
      <c r="BT23" s="183">
        <f t="shared" si="37"/>
        <v>699.21879023592305</v>
      </c>
      <c r="BW23" s="53">
        <f t="shared" si="7"/>
        <v>77.430364149812462</v>
      </c>
      <c r="BY23" s="14">
        <f t="shared" si="8"/>
        <v>16.057304857708402</v>
      </c>
      <c r="BZ23" s="53">
        <f t="shared" si="9"/>
        <v>119.49525913850647</v>
      </c>
      <c r="CZ23" s="14">
        <f t="shared" si="45"/>
        <v>8.3727270250230017</v>
      </c>
      <c r="DB23" s="140">
        <f t="shared" si="46"/>
        <v>105.44294028013849</v>
      </c>
      <c r="DC23" s="40"/>
      <c r="DG23" s="88">
        <f t="shared" si="47"/>
        <v>25.118181075069007</v>
      </c>
      <c r="DH23" s="40">
        <f t="shared" si="48"/>
        <v>142.12385181443756</v>
      </c>
    </row>
    <row r="24" spans="2:112">
      <c r="B24" s="9">
        <v>3</v>
      </c>
      <c r="C24" s="304"/>
      <c r="D24" s="173">
        <v>17000</v>
      </c>
      <c r="E24" s="110" t="s">
        <v>30</v>
      </c>
      <c r="G24" s="285">
        <v>3</v>
      </c>
      <c r="H24" s="285"/>
      <c r="I24" s="291"/>
      <c r="J24" s="125">
        <f>(4*$D$29*(D24/1000000))/POWER(RADIANS($D$10),2)</f>
        <v>1488.2055453386577</v>
      </c>
      <c r="K24" s="110" t="s">
        <v>7</v>
      </c>
      <c r="O24" s="112">
        <f t="shared" si="49"/>
        <v>21</v>
      </c>
      <c r="P24" s="138">
        <f t="shared" si="10"/>
        <v>8</v>
      </c>
      <c r="Q24" s="146"/>
      <c r="R24" s="56">
        <f t="shared" si="11"/>
        <v>18.061799739838872</v>
      </c>
      <c r="S24" s="56">
        <f t="shared" si="12"/>
        <v>0.28042596294815414</v>
      </c>
      <c r="T24" s="56">
        <f t="shared" si="13"/>
        <v>18.342225702787026</v>
      </c>
      <c r="U24" s="154">
        <f t="shared" si="0"/>
        <v>140.48823637055676</v>
      </c>
      <c r="V24" s="149">
        <f t="shared" si="14"/>
        <v>8.4625608699364498</v>
      </c>
      <c r="W24" s="162">
        <f t="shared" si="15"/>
        <v>8.2624964355638664</v>
      </c>
      <c r="X24" s="4">
        <f t="shared" si="39"/>
        <v>98.884469621774869</v>
      </c>
      <c r="Z24" s="171">
        <f t="shared" si="50"/>
        <v>21</v>
      </c>
      <c r="AA24" s="202">
        <f t="shared" si="40"/>
        <v>85.25</v>
      </c>
      <c r="AC24">
        <f t="shared" si="16"/>
        <v>38.613887753290705</v>
      </c>
      <c r="AD24">
        <f t="shared" si="17"/>
        <v>2.9882891676662675</v>
      </c>
      <c r="AE24" s="40">
        <f t="shared" si="18"/>
        <v>41.602176920956971</v>
      </c>
      <c r="AF24" s="88">
        <f t="shared" si="1"/>
        <v>137.22828515238683</v>
      </c>
      <c r="AG24" s="199">
        <f t="shared" si="19"/>
        <v>5.814391150216097</v>
      </c>
      <c r="AH24" s="213">
        <f t="shared" si="20"/>
        <v>120.25657926538638</v>
      </c>
      <c r="AI24">
        <f t="shared" si="21"/>
        <v>988.84469621775088</v>
      </c>
      <c r="AK24" s="192">
        <f t="shared" si="41"/>
        <v>21</v>
      </c>
      <c r="AL24" s="202">
        <f t="shared" si="42"/>
        <v>800</v>
      </c>
      <c r="AM24" s="171"/>
      <c r="AN24" s="171">
        <f t="shared" si="22"/>
        <v>58.061799739838875</v>
      </c>
      <c r="AO24" s="171">
        <f t="shared" si="23"/>
        <v>28.042596294815411</v>
      </c>
      <c r="AP24" s="171">
        <f t="shared" si="24"/>
        <v>86.104396034654286</v>
      </c>
      <c r="AQ24" s="53">
        <f t="shared" si="2"/>
        <v>97.07574492296763</v>
      </c>
      <c r="AR24" s="198">
        <f t="shared" si="25"/>
        <v>5.7131711326967954E-2</v>
      </c>
      <c r="AS24" s="211">
        <f t="shared" si="26"/>
        <v>20193.881420539252</v>
      </c>
      <c r="AT24" s="171">
        <f t="shared" si="27"/>
        <v>1631.5937487592844</v>
      </c>
      <c r="BB24" s="40"/>
      <c r="BC24" s="167">
        <f t="shared" si="3"/>
        <v>36.123599479677743</v>
      </c>
      <c r="BD24" s="165">
        <f t="shared" si="4"/>
        <v>36.404025442625894</v>
      </c>
      <c r="BF24" s="14">
        <f t="shared" si="5"/>
        <v>-3.4775738493490298</v>
      </c>
      <c r="BG24" s="140">
        <f t="shared" si="6"/>
        <v>124.01006155167039</v>
      </c>
      <c r="BH24" s="170">
        <f t="shared" si="28"/>
        <v>1.2693841304904674</v>
      </c>
      <c r="BI24" s="169">
        <f t="shared" si="29"/>
        <v>98.646110135003283</v>
      </c>
      <c r="BJ24" s="169">
        <f t="shared" si="30"/>
        <v>177.08754896942898</v>
      </c>
      <c r="BL24" s="175">
        <f t="shared" si="43"/>
        <v>21</v>
      </c>
      <c r="BM24" s="180">
        <f t="shared" si="44"/>
        <v>90</v>
      </c>
      <c r="BO24" s="181">
        <f t="shared" si="32"/>
        <v>39.084850188786497</v>
      </c>
      <c r="BP24" s="181">
        <f t="shared" si="33"/>
        <v>3.1547920831667335</v>
      </c>
      <c r="BQ24" s="182">
        <f t="shared" si="34"/>
        <v>136.59081980139058</v>
      </c>
      <c r="BR24" s="183">
        <f t="shared" si="35"/>
        <v>5.4029503552244265</v>
      </c>
      <c r="BS24" s="187">
        <f t="shared" si="36"/>
        <v>129.41425411392285</v>
      </c>
      <c r="BT24" s="183">
        <f t="shared" si="37"/>
        <v>699.21879023592362</v>
      </c>
      <c r="BW24" s="53">
        <f t="shared" si="7"/>
        <v>78.169700377572994</v>
      </c>
      <c r="BY24" s="14">
        <f t="shared" si="8"/>
        <v>16.242138914648535</v>
      </c>
      <c r="BZ24" s="53">
        <f t="shared" si="9"/>
        <v>118.80930729755414</v>
      </c>
      <c r="CZ24" s="14">
        <f t="shared" si="45"/>
        <v>8.6033800657099366</v>
      </c>
      <c r="DB24" s="140">
        <f t="shared" si="46"/>
        <v>104.73783619106447</v>
      </c>
      <c r="DC24" s="40"/>
      <c r="DG24" s="88">
        <f t="shared" si="47"/>
        <v>25.810140197129812</v>
      </c>
      <c r="DH24" s="40">
        <f t="shared" si="48"/>
        <v>141.41874772536357</v>
      </c>
    </row>
    <row r="25" spans="2:112">
      <c r="B25" s="296" t="s">
        <v>185</v>
      </c>
      <c r="C25" s="297"/>
      <c r="D25" s="297"/>
      <c r="E25" s="298"/>
      <c r="G25" s="288" t="s">
        <v>66</v>
      </c>
      <c r="H25" s="288"/>
      <c r="I25" s="288"/>
      <c r="J25" s="288"/>
      <c r="K25" s="288"/>
      <c r="O25" s="112">
        <f t="shared" si="49"/>
        <v>22</v>
      </c>
      <c r="P25" s="138">
        <f t="shared" si="10"/>
        <v>8.375</v>
      </c>
      <c r="Q25" s="146"/>
      <c r="R25" s="56">
        <f t="shared" si="11"/>
        <v>18.459696314177656</v>
      </c>
      <c r="S25" s="56">
        <f t="shared" si="12"/>
        <v>0.29357092996134887</v>
      </c>
      <c r="T25" s="56">
        <f t="shared" si="13"/>
        <v>18.753267244139003</v>
      </c>
      <c r="U25" s="154">
        <f t="shared" si="0"/>
        <v>140.07719482920479</v>
      </c>
      <c r="V25" s="149">
        <f t="shared" si="14"/>
        <v>8.0714159455603074</v>
      </c>
      <c r="W25" s="162">
        <f t="shared" si="15"/>
        <v>8.6629012177290683</v>
      </c>
      <c r="X25" s="4">
        <f t="shared" si="39"/>
        <v>98.88446962177494</v>
      </c>
      <c r="Z25" s="171">
        <f t="shared" si="50"/>
        <v>22</v>
      </c>
      <c r="AA25" s="202">
        <f t="shared" si="40"/>
        <v>89</v>
      </c>
      <c r="AC25">
        <f t="shared" si="16"/>
        <v>38.987800132898258</v>
      </c>
      <c r="AD25">
        <f t="shared" si="17"/>
        <v>3.1197388377982143</v>
      </c>
      <c r="AE25" s="40">
        <f t="shared" si="18"/>
        <v>42.107538970696474</v>
      </c>
      <c r="AF25" s="88">
        <f t="shared" si="1"/>
        <v>136.72292310264731</v>
      </c>
      <c r="AG25" s="199">
        <f t="shared" si="19"/>
        <v>5.48575164640559</v>
      </c>
      <c r="AH25" s="213">
        <f t="shared" si="20"/>
        <v>127.46089055892068</v>
      </c>
      <c r="AI25">
        <f t="shared" si="21"/>
        <v>988.84469621774895</v>
      </c>
      <c r="AK25" s="192">
        <f t="shared" si="41"/>
        <v>22</v>
      </c>
      <c r="AL25" s="202">
        <f t="shared" si="42"/>
        <v>837.5</v>
      </c>
      <c r="AM25" s="171"/>
      <c r="AN25" s="171">
        <f t="shared" si="22"/>
        <v>58.459696314177656</v>
      </c>
      <c r="AO25" s="171">
        <f t="shared" si="23"/>
        <v>29.357092996134885</v>
      </c>
      <c r="AP25" s="171">
        <f t="shared" si="24"/>
        <v>87.816789310312544</v>
      </c>
      <c r="AQ25" s="53">
        <f t="shared" si="2"/>
        <v>95.363351647309372</v>
      </c>
      <c r="AR25" s="198">
        <f t="shared" si="25"/>
        <v>4.6909150627809482E-2</v>
      </c>
      <c r="AS25" s="211">
        <f t="shared" si="26"/>
        <v>24594.583113285185</v>
      </c>
      <c r="AT25" s="171">
        <f t="shared" si="27"/>
        <v>1631.5937487592903</v>
      </c>
      <c r="BB25" s="40"/>
      <c r="BC25" s="167">
        <f t="shared" si="3"/>
        <v>36.919392628355311</v>
      </c>
      <c r="BD25" s="165">
        <f t="shared" si="4"/>
        <v>37.212963558316659</v>
      </c>
      <c r="BF25" s="14">
        <f t="shared" si="5"/>
        <v>-3.2786255621796379</v>
      </c>
      <c r="BG25" s="140">
        <f t="shared" si="6"/>
        <v>123.40007172314903</v>
      </c>
      <c r="BH25" s="170">
        <f t="shared" si="28"/>
        <v>1.1832964814852696</v>
      </c>
      <c r="BI25" s="169">
        <f t="shared" si="29"/>
        <v>105.822850569802</v>
      </c>
      <c r="BJ25" s="169">
        <f t="shared" si="30"/>
        <v>177.08754896942915</v>
      </c>
      <c r="BL25" s="175">
        <f t="shared" si="43"/>
        <v>22</v>
      </c>
      <c r="BM25" s="180">
        <f t="shared" si="44"/>
        <v>93.75</v>
      </c>
      <c r="BO25" s="181">
        <f t="shared" si="32"/>
        <v>39.439425527995134</v>
      </c>
      <c r="BP25" s="181">
        <f t="shared" si="33"/>
        <v>3.2862417532986807</v>
      </c>
      <c r="BQ25" s="182">
        <f t="shared" si="34"/>
        <v>136.10479479204997</v>
      </c>
      <c r="BR25" s="183">
        <f t="shared" si="35"/>
        <v>5.1089273455923738</v>
      </c>
      <c r="BS25" s="187">
        <f t="shared" si="36"/>
        <v>136.8621518642577</v>
      </c>
      <c r="BT25" s="183">
        <f t="shared" si="37"/>
        <v>699.21879023592248</v>
      </c>
      <c r="BW25" s="53">
        <f t="shared" si="7"/>
        <v>78.878851055990268</v>
      </c>
      <c r="BY25" s="14">
        <f t="shared" si="8"/>
        <v>16.419426584252854</v>
      </c>
      <c r="BZ25" s="53">
        <f t="shared" si="9"/>
        <v>118.14599461860922</v>
      </c>
      <c r="CZ25" s="14">
        <f t="shared" si="45"/>
        <v>8.8223984801882356</v>
      </c>
      <c r="DB25" s="140">
        <f t="shared" si="46"/>
        <v>104.06763598061639</v>
      </c>
      <c r="DC25" s="40"/>
      <c r="DG25" s="88">
        <f t="shared" si="47"/>
        <v>26.467195440564705</v>
      </c>
      <c r="DH25" s="40">
        <f t="shared" si="48"/>
        <v>140.74854751491549</v>
      </c>
    </row>
    <row r="26" spans="2:112">
      <c r="B26" s="9">
        <v>1</v>
      </c>
      <c r="C26" s="304" t="s">
        <v>186</v>
      </c>
      <c r="D26" s="116">
        <v>20</v>
      </c>
      <c r="E26" s="110" t="s">
        <v>3</v>
      </c>
      <c r="G26" s="285">
        <v>1</v>
      </c>
      <c r="H26" s="285"/>
      <c r="I26" s="305" t="s">
        <v>46</v>
      </c>
      <c r="J26" s="126">
        <f>D26/POWER(2,0.5)</f>
        <v>14.142135623730949</v>
      </c>
      <c r="K26" s="110" t="s">
        <v>3</v>
      </c>
      <c r="O26" s="112">
        <f t="shared" si="49"/>
        <v>23</v>
      </c>
      <c r="P26" s="138">
        <f t="shared" si="10"/>
        <v>8.75</v>
      </c>
      <c r="Q26" s="146"/>
      <c r="R26" s="56">
        <f t="shared" si="11"/>
        <v>18.840161060446267</v>
      </c>
      <c r="S26" s="56">
        <f t="shared" si="12"/>
        <v>0.3067158969745436</v>
      </c>
      <c r="T26" s="56">
        <f t="shared" si="13"/>
        <v>19.146876957420812</v>
      </c>
      <c r="U26" s="154">
        <f t="shared" si="0"/>
        <v>139.68358511592299</v>
      </c>
      <c r="V26" s="149">
        <f t="shared" si="14"/>
        <v>7.7138154226186559</v>
      </c>
      <c r="W26" s="162">
        <f t="shared" si="15"/>
        <v>9.0644998866015829</v>
      </c>
      <c r="X26" s="4">
        <f t="shared" si="39"/>
        <v>98.884469621775139</v>
      </c>
      <c r="Z26" s="171">
        <f t="shared" si="50"/>
        <v>23</v>
      </c>
      <c r="AA26" s="202">
        <f t="shared" si="40"/>
        <v>92.75</v>
      </c>
      <c r="AC26">
        <f t="shared" si="16"/>
        <v>39.346278365741668</v>
      </c>
      <c r="AD26">
        <f t="shared" si="17"/>
        <v>3.2511885079301615</v>
      </c>
      <c r="AE26" s="40">
        <f t="shared" si="18"/>
        <v>42.597466873671827</v>
      </c>
      <c r="AF26" s="88">
        <f t="shared" si="1"/>
        <v>136.23299519967196</v>
      </c>
      <c r="AG26" s="199">
        <f t="shared" si="19"/>
        <v>5.1848923868292172</v>
      </c>
      <c r="AH26" s="213">
        <f t="shared" si="20"/>
        <v>134.85695325366706</v>
      </c>
      <c r="AI26">
        <f t="shared" si="21"/>
        <v>988.84469621774917</v>
      </c>
      <c r="AK26" s="192">
        <f t="shared" si="41"/>
        <v>23</v>
      </c>
      <c r="AL26" s="202">
        <f t="shared" si="42"/>
        <v>875</v>
      </c>
      <c r="AM26" s="171"/>
      <c r="AN26" s="171">
        <f t="shared" si="22"/>
        <v>58.840161060446263</v>
      </c>
      <c r="AO26" s="171">
        <f t="shared" si="23"/>
        <v>30.671589697454355</v>
      </c>
      <c r="AP26" s="171">
        <f t="shared" si="24"/>
        <v>89.511750757900614</v>
      </c>
      <c r="AQ26" s="53">
        <f t="shared" si="2"/>
        <v>93.668390199721301</v>
      </c>
      <c r="AR26" s="198">
        <f t="shared" si="25"/>
        <v>3.8593085088392591E-2</v>
      </c>
      <c r="AS26" s="211">
        <f t="shared" si="26"/>
        <v>29894.241448872013</v>
      </c>
      <c r="AT26" s="171">
        <f t="shared" si="27"/>
        <v>1631.5937487592848</v>
      </c>
      <c r="BB26" s="40"/>
      <c r="BC26" s="167">
        <f t="shared" si="3"/>
        <v>37.680322120892534</v>
      </c>
      <c r="BD26" s="165">
        <f t="shared" si="4"/>
        <v>37.987038017867079</v>
      </c>
      <c r="BF26" s="14">
        <f t="shared" si="5"/>
        <v>-3.0883931890453322</v>
      </c>
      <c r="BG26" s="140">
        <f t="shared" si="6"/>
        <v>122.8162296367329</v>
      </c>
      <c r="BH26" s="170">
        <f t="shared" si="28"/>
        <v>1.1063727456286392</v>
      </c>
      <c r="BI26" s="169">
        <f t="shared" si="29"/>
        <v>113.18048752984996</v>
      </c>
      <c r="BJ26" s="169">
        <f t="shared" si="30"/>
        <v>177.08754896942901</v>
      </c>
      <c r="BL26" s="175">
        <f t="shared" si="43"/>
        <v>23</v>
      </c>
      <c r="BM26" s="180">
        <f t="shared" si="44"/>
        <v>97.5</v>
      </c>
      <c r="BO26" s="181">
        <f t="shared" si="32"/>
        <v>39.780092313970734</v>
      </c>
      <c r="BP26" s="181">
        <f t="shared" si="33"/>
        <v>3.4176914234306284</v>
      </c>
      <c r="BQ26" s="182">
        <f t="shared" si="34"/>
        <v>135.63267833594244</v>
      </c>
      <c r="BR26" s="183">
        <f t="shared" si="35"/>
        <v>4.8386466007512068</v>
      </c>
      <c r="BS26" s="187">
        <f t="shared" si="36"/>
        <v>144.50710042088389</v>
      </c>
      <c r="BT26" s="183">
        <f t="shared" si="37"/>
        <v>699.21879023592305</v>
      </c>
      <c r="BW26" s="53">
        <f t="shared" si="7"/>
        <v>79.560184627941467</v>
      </c>
      <c r="BY26" s="14">
        <f t="shared" si="8"/>
        <v>16.589759977240654</v>
      </c>
      <c r="BZ26" s="53">
        <f t="shared" si="9"/>
        <v>117.50354476951389</v>
      </c>
      <c r="CZ26" s="14">
        <f t="shared" si="45"/>
        <v>9.0308998699194358</v>
      </c>
      <c r="DB26" s="140">
        <f t="shared" si="46"/>
        <v>103.42898684440959</v>
      </c>
      <c r="DC26" s="40"/>
      <c r="DG26" s="88">
        <f t="shared" si="47"/>
        <v>27.092699609758306</v>
      </c>
      <c r="DH26" s="40">
        <f t="shared" si="48"/>
        <v>140.10989837870869</v>
      </c>
    </row>
    <row r="27" spans="2:112">
      <c r="B27" s="9">
        <v>2</v>
      </c>
      <c r="C27" s="304"/>
      <c r="D27" s="116">
        <v>200</v>
      </c>
      <c r="E27" s="110" t="s">
        <v>3</v>
      </c>
      <c r="G27" s="285">
        <v>2</v>
      </c>
      <c r="H27" s="285"/>
      <c r="I27" s="306"/>
      <c r="J27" s="126">
        <f>D27/POWER(2,0.5)</f>
        <v>141.42135623730948</v>
      </c>
      <c r="K27" s="110" t="s">
        <v>3</v>
      </c>
      <c r="O27" s="112">
        <f t="shared" si="49"/>
        <v>24</v>
      </c>
      <c r="P27" s="138">
        <f t="shared" si="10"/>
        <v>9.125</v>
      </c>
      <c r="Q27" s="146"/>
      <c r="R27" s="56">
        <f t="shared" si="11"/>
        <v>19.204657462570246</v>
      </c>
      <c r="S27" s="56">
        <f t="shared" si="12"/>
        <v>0.31986086398773828</v>
      </c>
      <c r="T27" s="56">
        <f t="shared" si="13"/>
        <v>19.524518326557985</v>
      </c>
      <c r="U27" s="154">
        <f t="shared" si="0"/>
        <v>139.3059437467858</v>
      </c>
      <c r="V27" s="149">
        <f t="shared" si="14"/>
        <v>7.3856236643185316</v>
      </c>
      <c r="W27" s="162">
        <f t="shared" si="15"/>
        <v>9.4672951400704495</v>
      </c>
      <c r="X27" s="4">
        <f t="shared" si="39"/>
        <v>98.884469621774841</v>
      </c>
      <c r="Z27" s="171">
        <f t="shared" si="50"/>
        <v>24</v>
      </c>
      <c r="AA27" s="202">
        <f t="shared" si="40"/>
        <v>96.5</v>
      </c>
      <c r="AC27">
        <f t="shared" si="16"/>
        <v>39.690546266875856</v>
      </c>
      <c r="AD27">
        <f t="shared" si="17"/>
        <v>3.3826381780621091</v>
      </c>
      <c r="AE27" s="40">
        <f t="shared" si="18"/>
        <v>43.073184444937965</v>
      </c>
      <c r="AF27" s="88">
        <f t="shared" si="1"/>
        <v>135.75727762840583</v>
      </c>
      <c r="AG27" s="199">
        <f t="shared" si="19"/>
        <v>4.9085573375156057</v>
      </c>
      <c r="AH27" s="213">
        <f t="shared" si="20"/>
        <v>142.44894011767263</v>
      </c>
      <c r="AI27">
        <f t="shared" si="21"/>
        <v>988.84469621775088</v>
      </c>
      <c r="AK27" s="192">
        <f t="shared" si="41"/>
        <v>24</v>
      </c>
      <c r="AL27" s="202">
        <f t="shared" si="42"/>
        <v>912.5</v>
      </c>
      <c r="AM27" s="171"/>
      <c r="AN27" s="171">
        <f t="shared" si="22"/>
        <v>59.204657462570239</v>
      </c>
      <c r="AO27" s="171">
        <f t="shared" si="23"/>
        <v>31.986086398773828</v>
      </c>
      <c r="AP27" s="171">
        <f t="shared" si="24"/>
        <v>91.19074386134406</v>
      </c>
      <c r="AQ27" s="53">
        <f t="shared" si="2"/>
        <v>91.989397096277855</v>
      </c>
      <c r="AR27" s="198">
        <f t="shared" si="25"/>
        <v>3.1809719669647685E-2</v>
      </c>
      <c r="AS27" s="211">
        <f t="shared" si="26"/>
        <v>36269.134587505483</v>
      </c>
      <c r="AT27" s="171">
        <f t="shared" si="27"/>
        <v>1631.5937487592876</v>
      </c>
      <c r="BB27" s="40"/>
      <c r="BC27" s="167">
        <f t="shared" si="3"/>
        <v>38.409314925140492</v>
      </c>
      <c r="BD27" s="165">
        <f t="shared" si="4"/>
        <v>38.729175789128227</v>
      </c>
      <c r="BF27" s="14">
        <f t="shared" si="5"/>
        <v>-2.9061449879833425</v>
      </c>
      <c r="BG27" s="140">
        <f t="shared" si="6"/>
        <v>122.25634006653377</v>
      </c>
      <c r="BH27" s="170">
        <f t="shared" si="28"/>
        <v>1.0373062397168786</v>
      </c>
      <c r="BI27" s="169">
        <f t="shared" si="29"/>
        <v>120.7163342371928</v>
      </c>
      <c r="BJ27" s="169">
        <f t="shared" si="30"/>
        <v>177.08754896942943</v>
      </c>
      <c r="BL27" s="175">
        <f t="shared" si="43"/>
        <v>24</v>
      </c>
      <c r="BM27" s="180">
        <f t="shared" si="44"/>
        <v>101.25</v>
      </c>
      <c r="BO27" s="181">
        <f t="shared" si="32"/>
        <v>40.107900637734126</v>
      </c>
      <c r="BP27" s="181">
        <f t="shared" si="33"/>
        <v>3.5491410935625756</v>
      </c>
      <c r="BQ27" s="182">
        <f t="shared" si="34"/>
        <v>135.17342034204711</v>
      </c>
      <c r="BR27" s="183">
        <f t="shared" si="35"/>
        <v>4.5894538182752207</v>
      </c>
      <c r="BS27" s="187">
        <f t="shared" si="36"/>
        <v>152.35337753081473</v>
      </c>
      <c r="BT27" s="183">
        <f t="shared" si="37"/>
        <v>699.21879023592385</v>
      </c>
      <c r="BW27" s="53">
        <f t="shared" si="7"/>
        <v>80.215801275468252</v>
      </c>
      <c r="BY27" s="14">
        <f t="shared" si="8"/>
        <v>16.75366413912235</v>
      </c>
      <c r="BZ27" s="53">
        <f t="shared" si="9"/>
        <v>116.88038261373686</v>
      </c>
      <c r="CZ27" s="14">
        <f t="shared" si="45"/>
        <v>9.2298481570888278</v>
      </c>
      <c r="DB27" s="140">
        <f t="shared" si="46"/>
        <v>102.81899701588823</v>
      </c>
      <c r="DC27" s="40"/>
      <c r="DG27" s="88">
        <f t="shared" si="47"/>
        <v>27.689544471266483</v>
      </c>
      <c r="DH27" s="40">
        <f t="shared" si="48"/>
        <v>139.49990855018731</v>
      </c>
    </row>
    <row r="28" spans="2:112">
      <c r="B28" s="9">
        <v>3</v>
      </c>
      <c r="C28" s="304"/>
      <c r="D28" s="173">
        <v>330</v>
      </c>
      <c r="E28" s="110" t="s">
        <v>3</v>
      </c>
      <c r="G28" s="285">
        <v>3</v>
      </c>
      <c r="H28" s="285"/>
      <c r="I28" s="307"/>
      <c r="J28" s="126">
        <f>D28/POWER(2,0.5)</f>
        <v>233.34523779156066</v>
      </c>
      <c r="K28" s="110" t="s">
        <v>3</v>
      </c>
      <c r="O28" s="112">
        <f t="shared" si="49"/>
        <v>25</v>
      </c>
      <c r="P28" s="138">
        <f t="shared" si="10"/>
        <v>9.5</v>
      </c>
      <c r="Q28" s="146"/>
      <c r="R28" s="56">
        <f t="shared" si="11"/>
        <v>19.554472105776956</v>
      </c>
      <c r="S28" s="56">
        <f t="shared" si="12"/>
        <v>0.33300583100093301</v>
      </c>
      <c r="T28" s="56">
        <f t="shared" si="13"/>
        <v>19.887477936777888</v>
      </c>
      <c r="U28" s="154">
        <f t="shared" si="0"/>
        <v>138.94298413656591</v>
      </c>
      <c r="V28" s="149">
        <f t="shared" si="14"/>
        <v>7.0833580291874227</v>
      </c>
      <c r="W28" s="162">
        <f t="shared" si="15"/>
        <v>9.8712896814582454</v>
      </c>
      <c r="X28" s="4">
        <f t="shared" si="39"/>
        <v>98.88446962177494</v>
      </c>
      <c r="Z28" s="171">
        <f t="shared" si="50"/>
        <v>25</v>
      </c>
      <c r="AA28" s="202">
        <f t="shared" si="40"/>
        <v>100.25</v>
      </c>
      <c r="AC28">
        <f t="shared" si="16"/>
        <v>40.0216876258444</v>
      </c>
      <c r="AD28">
        <f t="shared" si="17"/>
        <v>3.5140878481940563</v>
      </c>
      <c r="AE28" s="40">
        <f t="shared" si="18"/>
        <v>43.535775474038459</v>
      </c>
      <c r="AF28" s="88">
        <f t="shared" si="1"/>
        <v>135.29468659930535</v>
      </c>
      <c r="AG28" s="199">
        <f t="shared" si="19"/>
        <v>4.6539779032537414</v>
      </c>
      <c r="AH28" s="213">
        <f t="shared" si="20"/>
        <v>150.24110659121911</v>
      </c>
      <c r="AI28">
        <f t="shared" si="21"/>
        <v>988.84469621775168</v>
      </c>
      <c r="AK28" s="192">
        <f t="shared" si="41"/>
        <v>25</v>
      </c>
      <c r="AL28" s="202">
        <f t="shared" si="42"/>
        <v>950</v>
      </c>
      <c r="AM28" s="171"/>
      <c r="AN28" s="171">
        <f t="shared" si="22"/>
        <v>59.554472105776952</v>
      </c>
      <c r="AO28" s="171">
        <f t="shared" si="23"/>
        <v>33.300583100093299</v>
      </c>
      <c r="AP28" s="171">
        <f t="shared" si="24"/>
        <v>92.855055205870258</v>
      </c>
      <c r="AQ28" s="53">
        <f t="shared" si="2"/>
        <v>90.325085751751658</v>
      </c>
      <c r="AR28" s="198">
        <f t="shared" si="25"/>
        <v>2.6262996426401893E-2</v>
      </c>
      <c r="AS28" s="211">
        <f t="shared" si="26"/>
        <v>43929.14598006264</v>
      </c>
      <c r="AT28" s="171">
        <f t="shared" si="27"/>
        <v>1631.5937487592873</v>
      </c>
      <c r="BB28" s="40"/>
      <c r="BC28" s="167">
        <f t="shared" si="3"/>
        <v>39.108944211553911</v>
      </c>
      <c r="BD28" s="165">
        <f t="shared" si="4"/>
        <v>39.441950042554843</v>
      </c>
      <c r="BF28" s="14">
        <f t="shared" si="5"/>
        <v>-2.7312376663799878</v>
      </c>
      <c r="BG28" s="140">
        <f t="shared" si="6"/>
        <v>121.71847313471049</v>
      </c>
      <c r="BH28" s="170">
        <f t="shared" si="28"/>
        <v>0.9750202683203808</v>
      </c>
      <c r="BI28" s="169">
        <f t="shared" si="29"/>
        <v>128.42790125347673</v>
      </c>
      <c r="BJ28" s="169">
        <f t="shared" si="30"/>
        <v>177.08754896942929</v>
      </c>
      <c r="BL28" s="175">
        <f t="shared" si="43"/>
        <v>25</v>
      </c>
      <c r="BM28" s="180">
        <f t="shared" si="44"/>
        <v>105</v>
      </c>
      <c r="BO28" s="181">
        <f t="shared" si="32"/>
        <v>40.423785981398765</v>
      </c>
      <c r="BP28" s="181">
        <f t="shared" si="33"/>
        <v>3.6805907636945223</v>
      </c>
      <c r="BQ28" s="182">
        <f t="shared" si="34"/>
        <v>134.72608532825052</v>
      </c>
      <c r="BR28" s="183">
        <f t="shared" si="35"/>
        <v>4.3590741174870828</v>
      </c>
      <c r="BS28" s="187">
        <f t="shared" si="36"/>
        <v>160.40534558265531</v>
      </c>
      <c r="BT28" s="183">
        <f t="shared" si="37"/>
        <v>699.21879023592373</v>
      </c>
      <c r="BW28" s="53">
        <f t="shared" si="7"/>
        <v>80.847571962797531</v>
      </c>
      <c r="BY28" s="14">
        <f t="shared" si="8"/>
        <v>16.91160681095467</v>
      </c>
      <c r="BZ28" s="53">
        <f t="shared" si="9"/>
        <v>116.27510492810792</v>
      </c>
      <c r="CZ28" s="14">
        <f t="shared" si="45"/>
        <v>9.4200805302231334</v>
      </c>
      <c r="DB28" s="140">
        <f t="shared" si="46"/>
        <v>102.23515492947212</v>
      </c>
      <c r="DC28" s="40"/>
      <c r="DG28" s="88">
        <f t="shared" si="47"/>
        <v>28.260241590669398</v>
      </c>
      <c r="DH28" s="40">
        <f t="shared" si="48"/>
        <v>138.91606646377119</v>
      </c>
    </row>
    <row r="29" spans="2:112">
      <c r="B29" s="119" t="s">
        <v>80</v>
      </c>
      <c r="C29" s="110" t="s">
        <v>81</v>
      </c>
      <c r="D29" s="116">
        <v>1500</v>
      </c>
      <c r="E29" s="110" t="s">
        <v>82</v>
      </c>
      <c r="G29" s="288" t="s">
        <v>74</v>
      </c>
      <c r="H29" s="288"/>
      <c r="I29" s="288"/>
      <c r="J29" s="288"/>
      <c r="K29" s="288"/>
      <c r="O29" s="112">
        <f t="shared" si="49"/>
        <v>26</v>
      </c>
      <c r="P29" s="138">
        <f t="shared" si="10"/>
        <v>9.875</v>
      </c>
      <c r="Q29" s="146"/>
      <c r="R29" s="56">
        <f t="shared" si="11"/>
        <v>19.890742085969958</v>
      </c>
      <c r="S29" s="56">
        <f t="shared" si="12"/>
        <v>0.34615079801412774</v>
      </c>
      <c r="T29" s="56">
        <f t="shared" si="13"/>
        <v>20.236892883984087</v>
      </c>
      <c r="U29" s="154">
        <f t="shared" si="0"/>
        <v>138.5935691893597</v>
      </c>
      <c r="V29" s="149">
        <f t="shared" si="14"/>
        <v>6.8040648846197964</v>
      </c>
      <c r="W29" s="162">
        <f t="shared" si="15"/>
        <v>10.276486219531302</v>
      </c>
      <c r="X29" s="4">
        <f t="shared" si="39"/>
        <v>98.884469621774883</v>
      </c>
      <c r="Z29" s="171">
        <f t="shared" si="50"/>
        <v>26</v>
      </c>
      <c r="AA29" s="202">
        <f t="shared" si="40"/>
        <v>104</v>
      </c>
      <c r="AC29">
        <f t="shared" si="16"/>
        <v>40.340666785975607</v>
      </c>
      <c r="AD29">
        <f t="shared" si="17"/>
        <v>3.645537518326003</v>
      </c>
      <c r="AE29" s="40">
        <f t="shared" si="18"/>
        <v>43.986204304301609</v>
      </c>
      <c r="AF29" s="88">
        <f t="shared" si="1"/>
        <v>134.8442577690422</v>
      </c>
      <c r="AG29" s="199">
        <f t="shared" si="19"/>
        <v>4.4187850443655536</v>
      </c>
      <c r="AH29" s="213">
        <f t="shared" si="20"/>
        <v>158.23779233785226</v>
      </c>
      <c r="AI29">
        <f t="shared" si="21"/>
        <v>988.84469621775168</v>
      </c>
      <c r="AK29" s="192">
        <f t="shared" si="41"/>
        <v>26</v>
      </c>
      <c r="AL29" s="202">
        <f t="shared" si="42"/>
        <v>987.5</v>
      </c>
      <c r="AM29" s="171"/>
      <c r="AN29" s="171">
        <f t="shared" si="22"/>
        <v>59.890742085969954</v>
      </c>
      <c r="AO29" s="171">
        <f t="shared" si="23"/>
        <v>34.615079801412776</v>
      </c>
      <c r="AP29" s="171">
        <f t="shared" si="24"/>
        <v>94.505821887382723</v>
      </c>
      <c r="AQ29" s="53">
        <f t="shared" si="2"/>
        <v>88.674319070239193</v>
      </c>
      <c r="AR29" s="198">
        <f t="shared" si="25"/>
        <v>2.1717305491953064E-2</v>
      </c>
      <c r="AS29" s="211">
        <f t="shared" si="26"/>
        <v>53124.039919075403</v>
      </c>
      <c r="AT29" s="171">
        <f t="shared" si="27"/>
        <v>1631.5937487592844</v>
      </c>
      <c r="BB29" s="40"/>
      <c r="BC29" s="167">
        <f t="shared" si="3"/>
        <v>39.781484171939915</v>
      </c>
      <c r="BD29" s="165">
        <f t="shared" si="4"/>
        <v>40.127634969954045</v>
      </c>
      <c r="BF29" s="14">
        <f t="shared" si="5"/>
        <v>-2.5631026762834868</v>
      </c>
      <c r="BG29" s="140">
        <f t="shared" si="6"/>
        <v>121.20092319740779</v>
      </c>
      <c r="BH29" s="170">
        <f t="shared" si="28"/>
        <v>0.91862052945616246</v>
      </c>
      <c r="BI29" s="169">
        <f t="shared" si="29"/>
        <v>136.31287645413303</v>
      </c>
      <c r="BJ29" s="169">
        <f t="shared" si="30"/>
        <v>177.08754896942915</v>
      </c>
      <c r="BL29" s="175">
        <f t="shared" si="43"/>
        <v>26</v>
      </c>
      <c r="BM29" s="180">
        <f t="shared" si="44"/>
        <v>108.75</v>
      </c>
      <c r="BO29" s="181">
        <f t="shared" si="32"/>
        <v>40.728585312533497</v>
      </c>
      <c r="BP29" s="181">
        <f t="shared" si="33"/>
        <v>3.81204043382647</v>
      </c>
      <c r="BQ29" s="182">
        <f t="shared" si="34"/>
        <v>134.28983632698385</v>
      </c>
      <c r="BR29" s="183">
        <f t="shared" si="35"/>
        <v>4.145546618497062</v>
      </c>
      <c r="BS29" s="187">
        <f t="shared" si="36"/>
        <v>168.66745319328251</v>
      </c>
      <c r="BT29" s="183">
        <f t="shared" si="37"/>
        <v>699.21879023592385</v>
      </c>
      <c r="BW29" s="53">
        <f t="shared" si="7"/>
        <v>81.457170625066993</v>
      </c>
      <c r="BY29" s="14">
        <f t="shared" si="8"/>
        <v>17.064006476522035</v>
      </c>
      <c r="BZ29" s="53">
        <f t="shared" si="9"/>
        <v>115.6864562612739</v>
      </c>
      <c r="CZ29" s="14">
        <f t="shared" si="45"/>
        <v>9.6023287312851231</v>
      </c>
      <c r="DB29" s="140">
        <f t="shared" si="46"/>
        <v>101.67526535927294</v>
      </c>
      <c r="DC29" s="40"/>
      <c r="DG29" s="88">
        <f t="shared" si="47"/>
        <v>28.806986193855369</v>
      </c>
      <c r="DH29" s="40">
        <f t="shared" si="48"/>
        <v>138.35617689357204</v>
      </c>
    </row>
    <row r="30" spans="2:112">
      <c r="B30" s="119" t="s">
        <v>187</v>
      </c>
      <c r="C30" s="30" t="s">
        <v>188</v>
      </c>
      <c r="D30" s="116">
        <v>1000</v>
      </c>
      <c r="E30" s="110" t="s">
        <v>189</v>
      </c>
      <c r="G30" s="285">
        <v>1</v>
      </c>
      <c r="H30" s="285"/>
      <c r="I30" s="291" t="s">
        <v>207</v>
      </c>
      <c r="J30" s="127">
        <f>POWER(J26,2)/$D$7</f>
        <v>2.4999999999999996</v>
      </c>
      <c r="K30" s="122" t="s">
        <v>5</v>
      </c>
      <c r="O30" s="112">
        <f t="shared" si="49"/>
        <v>27</v>
      </c>
      <c r="P30" s="138">
        <f t="shared" si="10"/>
        <v>10.25</v>
      </c>
      <c r="Q30" s="146"/>
      <c r="R30" s="56">
        <f t="shared" si="11"/>
        <v>20.214477307835462</v>
      </c>
      <c r="S30" s="56">
        <f t="shared" si="12"/>
        <v>0.35929576502732247</v>
      </c>
      <c r="T30" s="56">
        <f t="shared" si="13"/>
        <v>20.573773072862785</v>
      </c>
      <c r="U30" s="154">
        <f t="shared" si="0"/>
        <v>138.256689000481</v>
      </c>
      <c r="V30" s="149">
        <f t="shared" si="14"/>
        <v>6.5452228369624983</v>
      </c>
      <c r="W30" s="162">
        <f t="shared" si="15"/>
        <v>10.682887468510003</v>
      </c>
      <c r="X30" s="4">
        <f t="shared" si="39"/>
        <v>98.884469621774883</v>
      </c>
      <c r="Z30" s="171">
        <f t="shared" si="50"/>
        <v>27</v>
      </c>
      <c r="AA30" s="202">
        <f t="shared" si="40"/>
        <v>107.75</v>
      </c>
      <c r="AC30">
        <f t="shared" si="16"/>
        <v>40.64834557665538</v>
      </c>
      <c r="AD30">
        <f t="shared" si="17"/>
        <v>3.7769871884579507</v>
      </c>
      <c r="AE30" s="40">
        <f t="shared" si="18"/>
        <v>44.425332765113332</v>
      </c>
      <c r="AF30" s="88">
        <f t="shared" si="1"/>
        <v>134.40512930823047</v>
      </c>
      <c r="AG30" s="199">
        <f t="shared" si="19"/>
        <v>4.2009397450173545</v>
      </c>
      <c r="AH30" s="213">
        <f t="shared" si="20"/>
        <v>166.4434228234889</v>
      </c>
      <c r="AI30">
        <f t="shared" si="21"/>
        <v>988.84469621775088</v>
      </c>
      <c r="AK30" s="192">
        <f t="shared" si="41"/>
        <v>27</v>
      </c>
      <c r="AL30" s="202">
        <f t="shared" si="42"/>
        <v>1025</v>
      </c>
      <c r="AM30" s="171"/>
      <c r="AN30" s="171">
        <f t="shared" si="22"/>
        <v>60.214477307835459</v>
      </c>
      <c r="AO30" s="171">
        <f t="shared" si="23"/>
        <v>35.929576502732239</v>
      </c>
      <c r="AP30" s="171">
        <f t="shared" si="24"/>
        <v>96.144053810567698</v>
      </c>
      <c r="AQ30" s="53">
        <f t="shared" si="2"/>
        <v>87.036087147054218</v>
      </c>
      <c r="AR30" s="198">
        <f t="shared" si="25"/>
        <v>1.7984333369966656E-2</v>
      </c>
      <c r="AS30" s="211">
        <f t="shared" si="26"/>
        <v>64150.890675544069</v>
      </c>
      <c r="AT30" s="171">
        <f t="shared" si="27"/>
        <v>1631.5937487592844</v>
      </c>
      <c r="BB30" s="40"/>
      <c r="BC30" s="167">
        <f t="shared" si="3"/>
        <v>40.428954615670925</v>
      </c>
      <c r="BD30" s="165">
        <f t="shared" si="4"/>
        <v>40.788250380698244</v>
      </c>
      <c r="BF30" s="14">
        <f t="shared" si="5"/>
        <v>-2.4012350653507344</v>
      </c>
      <c r="BG30" s="140">
        <f t="shared" si="6"/>
        <v>120.70217539759633</v>
      </c>
      <c r="BH30" s="170">
        <f t="shared" si="28"/>
        <v>0.86735873566284616</v>
      </c>
      <c r="BI30" s="169">
        <f t="shared" si="29"/>
        <v>144.36910771907262</v>
      </c>
      <c r="BJ30" s="169">
        <f t="shared" si="30"/>
        <v>177.08754896942904</v>
      </c>
      <c r="BL30" s="175">
        <f t="shared" si="43"/>
        <v>27</v>
      </c>
      <c r="BM30" s="180">
        <f t="shared" si="44"/>
        <v>112.5</v>
      </c>
      <c r="BO30" s="181">
        <f t="shared" si="32"/>
        <v>41.023050448947629</v>
      </c>
      <c r="BP30" s="181">
        <f t="shared" si="33"/>
        <v>3.9434901039584171</v>
      </c>
      <c r="BQ30" s="182">
        <f t="shared" si="34"/>
        <v>133.86392152043774</v>
      </c>
      <c r="BR30" s="183">
        <f t="shared" si="35"/>
        <v>3.9471721054840447</v>
      </c>
      <c r="BS30" s="187">
        <f t="shared" si="36"/>
        <v>177.14423682323223</v>
      </c>
      <c r="BT30" s="183">
        <f t="shared" si="37"/>
        <v>699.2187902359218</v>
      </c>
      <c r="BW30" s="53">
        <f t="shared" si="7"/>
        <v>82.046100897895258</v>
      </c>
      <c r="BY30" s="14">
        <f t="shared" si="8"/>
        <v>17.211239044729101</v>
      </c>
      <c r="BZ30" s="53">
        <f t="shared" si="9"/>
        <v>115.11330888652076</v>
      </c>
      <c r="CZ30" s="14">
        <f t="shared" si="45"/>
        <v>9.7772360528884779</v>
      </c>
      <c r="DB30" s="140">
        <f t="shared" si="46"/>
        <v>101.13739842744968</v>
      </c>
      <c r="DC30" s="40"/>
      <c r="DG30" s="88">
        <f t="shared" si="47"/>
        <v>29.331708158665432</v>
      </c>
      <c r="DH30" s="40">
        <f t="shared" si="48"/>
        <v>137.81830996174878</v>
      </c>
    </row>
    <row r="31" spans="2:112">
      <c r="B31" s="299" t="s">
        <v>191</v>
      </c>
      <c r="C31" s="299"/>
      <c r="D31" s="299"/>
      <c r="E31" s="299"/>
      <c r="G31" s="285">
        <v>2</v>
      </c>
      <c r="H31" s="285"/>
      <c r="I31" s="291"/>
      <c r="J31" s="127">
        <f>POWER(J27,2)/$D$7</f>
        <v>249.99999999999991</v>
      </c>
      <c r="K31" s="122" t="s">
        <v>5</v>
      </c>
      <c r="O31" s="112">
        <f t="shared" si="49"/>
        <v>28</v>
      </c>
      <c r="P31" s="138">
        <f t="shared" si="10"/>
        <v>10.625</v>
      </c>
      <c r="Q31" s="146"/>
      <c r="R31" s="56">
        <f t="shared" si="11"/>
        <v>20.526578774446982</v>
      </c>
      <c r="S31" s="56">
        <f t="shared" si="12"/>
        <v>0.3724407320405172</v>
      </c>
      <c r="T31" s="56">
        <f t="shared" si="13"/>
        <v>20.899019506487498</v>
      </c>
      <c r="U31" s="154">
        <f t="shared" si="0"/>
        <v>137.9314425668563</v>
      </c>
      <c r="V31" s="149">
        <f t="shared" si="14"/>
        <v>6.3046664540524375</v>
      </c>
      <c r="W31" s="162">
        <f t="shared" si="15"/>
        <v>11.090496148079124</v>
      </c>
      <c r="X31" s="4">
        <f t="shared" si="39"/>
        <v>98.884469621774954</v>
      </c>
      <c r="Z31" s="171">
        <f t="shared" si="50"/>
        <v>28</v>
      </c>
      <c r="AA31" s="202">
        <f t="shared" si="40"/>
        <v>111.5</v>
      </c>
      <c r="AC31">
        <f t="shared" si="16"/>
        <v>40.945497347683585</v>
      </c>
      <c r="AD31">
        <f t="shared" si="17"/>
        <v>3.9084368585898979</v>
      </c>
      <c r="AE31" s="40">
        <f t="shared" si="18"/>
        <v>44.853934206273479</v>
      </c>
      <c r="AF31" s="88">
        <f t="shared" si="1"/>
        <v>133.97652786707033</v>
      </c>
      <c r="AG31" s="199">
        <f t="shared" si="19"/>
        <v>3.9986775126398011</v>
      </c>
      <c r="AH31" s="213">
        <f t="shared" si="20"/>
        <v>174.86251092409839</v>
      </c>
      <c r="AI31">
        <f t="shared" si="21"/>
        <v>988.84469621775179</v>
      </c>
      <c r="AK31" s="192">
        <f t="shared" si="41"/>
        <v>28</v>
      </c>
      <c r="AL31" s="202">
        <f t="shared" si="42"/>
        <v>1062.5</v>
      </c>
      <c r="AM31" s="171"/>
      <c r="AN31" s="171">
        <f t="shared" si="22"/>
        <v>60.526578774446982</v>
      </c>
      <c r="AO31" s="171">
        <f t="shared" si="23"/>
        <v>37.244073204051716</v>
      </c>
      <c r="AP31" s="171">
        <f t="shared" si="24"/>
        <v>97.770651978498705</v>
      </c>
      <c r="AQ31" s="53">
        <f t="shared" si="2"/>
        <v>85.409488979123211</v>
      </c>
      <c r="AR31" s="198">
        <f t="shared" si="25"/>
        <v>1.4912980018105908E-2</v>
      </c>
      <c r="AS31" s="211">
        <f t="shared" si="26"/>
        <v>77362.874656074579</v>
      </c>
      <c r="AT31" s="171">
        <f t="shared" si="27"/>
        <v>1631.5937487592876</v>
      </c>
      <c r="BB31" s="40"/>
      <c r="BC31" s="167">
        <f t="shared" si="3"/>
        <v>41.053157548893964</v>
      </c>
      <c r="BD31" s="165">
        <f t="shared" si="4"/>
        <v>41.42559828093448</v>
      </c>
      <c r="BF31" s="14">
        <f t="shared" si="5"/>
        <v>-2.2451843320449747</v>
      </c>
      <c r="BG31" s="140">
        <f t="shared" si="6"/>
        <v>120.22087823066587</v>
      </c>
      <c r="BH31" s="170">
        <f t="shared" si="28"/>
        <v>0.82060450816291142</v>
      </c>
      <c r="BI31" s="169">
        <f t="shared" si="29"/>
        <v>152.59458788536028</v>
      </c>
      <c r="BJ31" s="169">
        <f t="shared" si="30"/>
        <v>177.08754896942926</v>
      </c>
      <c r="BL31" s="175">
        <f t="shared" si="43"/>
        <v>28</v>
      </c>
      <c r="BM31" s="180">
        <f t="shared" si="44"/>
        <v>116.25</v>
      </c>
      <c r="BO31" s="181">
        <f t="shared" si="32"/>
        <v>41.307859231239831</v>
      </c>
      <c r="BP31" s="181">
        <f t="shared" si="33"/>
        <v>4.0749397740903648</v>
      </c>
      <c r="BQ31" s="182">
        <f t="shared" si="34"/>
        <v>133.44766306801358</v>
      </c>
      <c r="BR31" s="183">
        <f t="shared" si="35"/>
        <v>3.762470819711528</v>
      </c>
      <c r="BS31" s="187">
        <f t="shared" si="36"/>
        <v>185.84032242129931</v>
      </c>
      <c r="BT31" s="183">
        <f t="shared" si="37"/>
        <v>699.21879023592066</v>
      </c>
      <c r="BW31" s="53">
        <f t="shared" si="7"/>
        <v>82.615718462479663</v>
      </c>
      <c r="BY31" s="14">
        <f t="shared" si="8"/>
        <v>17.353643435875203</v>
      </c>
      <c r="BZ31" s="53">
        <f t="shared" si="9"/>
        <v>114.55464604295049</v>
      </c>
      <c r="CZ31" s="14">
        <f t="shared" si="45"/>
        <v>9.9453710429849789</v>
      </c>
      <c r="DB31" s="140">
        <f t="shared" si="46"/>
        <v>100.61984849014699</v>
      </c>
      <c r="DC31" s="40"/>
      <c r="DG31" s="88">
        <f t="shared" si="47"/>
        <v>29.836113128954935</v>
      </c>
      <c r="DH31" s="40">
        <f t="shared" si="48"/>
        <v>137.30076002444608</v>
      </c>
    </row>
    <row r="32" spans="2:112">
      <c r="B32" s="286" t="s">
        <v>24</v>
      </c>
      <c r="C32" s="287"/>
      <c r="D32" s="116">
        <v>0.5</v>
      </c>
      <c r="E32" s="110" t="s">
        <v>23</v>
      </c>
      <c r="G32" s="285">
        <v>3</v>
      </c>
      <c r="H32" s="285"/>
      <c r="I32" s="291"/>
      <c r="J32" s="127">
        <f>POWER(J28,2)/$D$7</f>
        <v>680.62499999999989</v>
      </c>
      <c r="K32" s="122" t="s">
        <v>5</v>
      </c>
      <c r="O32" s="112">
        <f t="shared" si="49"/>
        <v>29</v>
      </c>
      <c r="P32" s="138">
        <f t="shared" si="10"/>
        <v>11</v>
      </c>
      <c r="Q32" s="146"/>
      <c r="R32" s="56">
        <f t="shared" si="11"/>
        <v>20.827853703164504</v>
      </c>
      <c r="S32" s="56">
        <f t="shared" si="12"/>
        <v>0.38558569905371187</v>
      </c>
      <c r="T32" s="56">
        <f t="shared" si="13"/>
        <v>21.213439402218217</v>
      </c>
      <c r="U32" s="154">
        <f t="shared" si="0"/>
        <v>137.61702267112557</v>
      </c>
      <c r="V32" s="149">
        <f t="shared" si="14"/>
        <v>6.0805255899625452</v>
      </c>
      <c r="W32" s="162">
        <f t="shared" si="15"/>
        <v>11.499314983398145</v>
      </c>
      <c r="X32" s="4">
        <f t="shared" si="39"/>
        <v>98.884469621774841</v>
      </c>
      <c r="Z32" s="171">
        <f t="shared" si="50"/>
        <v>29</v>
      </c>
      <c r="AA32" s="202">
        <f t="shared" si="40"/>
        <v>115.25</v>
      </c>
      <c r="AC32">
        <f t="shared" si="16"/>
        <v>41.232818681233717</v>
      </c>
      <c r="AD32">
        <f t="shared" si="17"/>
        <v>4.0398865287218451</v>
      </c>
      <c r="AE32" s="40">
        <f t="shared" si="18"/>
        <v>45.272705209955561</v>
      </c>
      <c r="AF32" s="88">
        <f t="shared" si="1"/>
        <v>133.55775686338825</v>
      </c>
      <c r="AG32" s="199">
        <f t="shared" si="19"/>
        <v>3.8104637126499306</v>
      </c>
      <c r="AH32" s="213">
        <f t="shared" si="20"/>
        <v>183.49965856246465</v>
      </c>
      <c r="AI32">
        <f t="shared" si="21"/>
        <v>988.84469621775156</v>
      </c>
      <c r="AK32" s="192">
        <f t="shared" si="41"/>
        <v>29</v>
      </c>
      <c r="AL32" s="202">
        <f t="shared" si="42"/>
        <v>1100</v>
      </c>
      <c r="AM32" s="171"/>
      <c r="AN32" s="171">
        <f t="shared" si="22"/>
        <v>60.8278537031645</v>
      </c>
      <c r="AO32" s="171">
        <f t="shared" si="23"/>
        <v>38.558569905371193</v>
      </c>
      <c r="AP32" s="171">
        <f t="shared" si="24"/>
        <v>99.386423608535694</v>
      </c>
      <c r="AQ32" s="53">
        <f t="shared" si="2"/>
        <v>83.793717349086222</v>
      </c>
      <c r="AR32" s="198">
        <f t="shared" si="25"/>
        <v>1.2381573909710194E-2</v>
      </c>
      <c r="AS32" s="211">
        <f t="shared" si="26"/>
        <v>93179.672657325224</v>
      </c>
      <c r="AT32" s="171">
        <f t="shared" si="27"/>
        <v>1631.5937487592905</v>
      </c>
      <c r="BB32" s="40"/>
      <c r="BC32" s="167">
        <f t="shared" si="3"/>
        <v>41.655707406329007</v>
      </c>
      <c r="BD32" s="165">
        <f t="shared" si="4"/>
        <v>42.041293105382721</v>
      </c>
      <c r="BF32" s="14">
        <f t="shared" si="5"/>
        <v>-2.0945468676862138</v>
      </c>
      <c r="BG32" s="140">
        <f t="shared" si="6"/>
        <v>119.75582087057639</v>
      </c>
      <c r="BH32" s="170">
        <f t="shared" si="28"/>
        <v>0.77782344695918182</v>
      </c>
      <c r="BI32" s="169">
        <f t="shared" si="29"/>
        <v>160.98744159683238</v>
      </c>
      <c r="BJ32" s="169">
        <f t="shared" si="30"/>
        <v>177.08754896942912</v>
      </c>
      <c r="BL32" s="175">
        <f t="shared" si="43"/>
        <v>29</v>
      </c>
      <c r="BM32" s="180">
        <f t="shared" si="44"/>
        <v>120</v>
      </c>
      <c r="BO32" s="181">
        <f t="shared" si="32"/>
        <v>41.583624920952495</v>
      </c>
      <c r="BP32" s="181">
        <f t="shared" si="33"/>
        <v>4.2063894442223111</v>
      </c>
      <c r="BQ32" s="182">
        <f t="shared" si="34"/>
        <v>133.04044770816898</v>
      </c>
      <c r="BR32" s="183">
        <f t="shared" si="35"/>
        <v>3.5901481663980741</v>
      </c>
      <c r="BS32" s="187">
        <f t="shared" si="36"/>
        <v>194.76042709887201</v>
      </c>
      <c r="BT32" s="183">
        <f t="shared" si="37"/>
        <v>699.21879023592112</v>
      </c>
      <c r="BW32" s="53">
        <f t="shared" si="7"/>
        <v>83.16724984190499</v>
      </c>
      <c r="BY32" s="14">
        <f t="shared" si="8"/>
        <v>17.491526280731534</v>
      </c>
      <c r="BZ32" s="53">
        <f t="shared" si="9"/>
        <v>114.00954783824956</v>
      </c>
      <c r="CZ32" s="14">
        <f t="shared" si="45"/>
        <v>10.107238653917731</v>
      </c>
      <c r="DB32" s="140">
        <f t="shared" si="46"/>
        <v>100.12110069033554</v>
      </c>
      <c r="DC32" s="40"/>
      <c r="DG32" s="88">
        <f t="shared" si="47"/>
        <v>30.321715961753196</v>
      </c>
      <c r="DH32" s="40">
        <f t="shared" si="48"/>
        <v>136.80201222463464</v>
      </c>
    </row>
    <row r="33" spans="2:112">
      <c r="B33" s="299" t="s">
        <v>91</v>
      </c>
      <c r="C33" s="299"/>
      <c r="D33" s="299"/>
      <c r="E33" s="299"/>
      <c r="G33" s="288" t="s">
        <v>208</v>
      </c>
      <c r="H33" s="288"/>
      <c r="I33" s="288"/>
      <c r="J33" s="288"/>
      <c r="K33" s="288"/>
      <c r="O33" s="112">
        <f t="shared" si="49"/>
        <v>30</v>
      </c>
      <c r="P33" s="138">
        <f t="shared" si="10"/>
        <v>11.375</v>
      </c>
      <c r="Q33" s="146"/>
      <c r="R33" s="56">
        <f t="shared" si="11"/>
        <v>21.119028106583002</v>
      </c>
      <c r="S33" s="56">
        <f t="shared" si="12"/>
        <v>0.3987306660669066</v>
      </c>
      <c r="T33" s="56">
        <f t="shared" si="13"/>
        <v>21.517758772649909</v>
      </c>
      <c r="U33" s="154">
        <f t="shared" si="0"/>
        <v>137.3127033006939</v>
      </c>
      <c r="V33" s="149">
        <f t="shared" si="14"/>
        <v>5.8711767114464459</v>
      </c>
      <c r="W33" s="162">
        <f t="shared" si="15"/>
        <v>11.909346705111545</v>
      </c>
      <c r="X33" s="4">
        <f t="shared" si="39"/>
        <v>98.884469621775153</v>
      </c>
      <c r="Z33" s="171">
        <f t="shared" si="50"/>
        <v>30</v>
      </c>
      <c r="AA33" s="202">
        <f t="shared" si="40"/>
        <v>119</v>
      </c>
      <c r="AC33">
        <f t="shared" si="16"/>
        <v>41.510939227850614</v>
      </c>
      <c r="AD33">
        <f t="shared" si="17"/>
        <v>4.1713361988537923</v>
      </c>
      <c r="AE33" s="40">
        <f t="shared" si="18"/>
        <v>45.682275426704408</v>
      </c>
      <c r="AF33" s="88">
        <f t="shared" si="1"/>
        <v>133.14818664663937</v>
      </c>
      <c r="AG33" s="199">
        <f t="shared" si="19"/>
        <v>3.6349573483345776</v>
      </c>
      <c r="AH33" s="213">
        <f t="shared" si="20"/>
        <v>192.35955837453807</v>
      </c>
      <c r="AI33">
        <f t="shared" si="21"/>
        <v>988.84469621774826</v>
      </c>
      <c r="AK33" s="192">
        <f t="shared" si="41"/>
        <v>30</v>
      </c>
      <c r="AL33" s="202">
        <f t="shared" si="42"/>
        <v>1137.5</v>
      </c>
      <c r="AM33" s="171"/>
      <c r="AN33" s="171">
        <f t="shared" si="22"/>
        <v>61.119028106583002</v>
      </c>
      <c r="AO33" s="171">
        <f t="shared" si="23"/>
        <v>39.873066606690664</v>
      </c>
      <c r="AP33" s="171">
        <f t="shared" si="24"/>
        <v>100.99209471327367</v>
      </c>
      <c r="AQ33" s="53">
        <f t="shared" si="2"/>
        <v>82.188046244348243</v>
      </c>
      <c r="AR33" s="198">
        <f t="shared" si="25"/>
        <v>1.029182277854742E-2</v>
      </c>
      <c r="AS33" s="211">
        <f t="shared" si="26"/>
        <v>112099.77364690944</v>
      </c>
      <c r="AT33" s="171">
        <f t="shared" si="27"/>
        <v>1631.5937487592878</v>
      </c>
      <c r="BB33" s="40"/>
      <c r="BC33" s="167">
        <f t="shared" si="3"/>
        <v>42.238056213166004</v>
      </c>
      <c r="BD33" s="165">
        <f t="shared" si="4"/>
        <v>42.636786879232908</v>
      </c>
      <c r="BF33" s="14">
        <f t="shared" si="5"/>
        <v>-1.9489596659769646</v>
      </c>
      <c r="BG33" s="140">
        <f t="shared" si="6"/>
        <v>119.30591429843545</v>
      </c>
      <c r="BH33" s="170">
        <f t="shared" si="28"/>
        <v>0.73855986243889959</v>
      </c>
      <c r="BI33" s="169">
        <f t="shared" si="29"/>
        <v>169.54591375502429</v>
      </c>
      <c r="BJ33" s="169">
        <f t="shared" si="30"/>
        <v>177.08754896942932</v>
      </c>
      <c r="BL33" s="175">
        <f t="shared" si="43"/>
        <v>30</v>
      </c>
      <c r="BM33" s="180">
        <f t="shared" si="44"/>
        <v>123.75</v>
      </c>
      <c r="BO33" s="181">
        <f t="shared" si="32"/>
        <v>41.850904152112129</v>
      </c>
      <c r="BP33" s="181">
        <f t="shared" si="33"/>
        <v>4.3378391143542592</v>
      </c>
      <c r="BQ33" s="182">
        <f t="shared" si="34"/>
        <v>132.64171880687741</v>
      </c>
      <c r="BR33" s="183">
        <f t="shared" si="35"/>
        <v>3.42906665674544</v>
      </c>
      <c r="BS33" s="187">
        <f t="shared" si="36"/>
        <v>203.90936083451868</v>
      </c>
      <c r="BT33" s="183">
        <f t="shared" si="37"/>
        <v>699.21879023592248</v>
      </c>
      <c r="BW33" s="53">
        <f t="shared" si="7"/>
        <v>83.701808304224258</v>
      </c>
      <c r="BY33" s="14">
        <f t="shared" si="8"/>
        <v>17.625165896311351</v>
      </c>
      <c r="BZ33" s="53">
        <f t="shared" si="9"/>
        <v>113.47717932137817</v>
      </c>
      <c r="CZ33" s="14">
        <f t="shared" si="45"/>
        <v>10.263289387223491</v>
      </c>
      <c r="DB33" s="140">
        <f t="shared" si="46"/>
        <v>99.639803523405064</v>
      </c>
      <c r="DC33" s="40"/>
      <c r="DG33" s="88">
        <f t="shared" si="47"/>
        <v>30.789868161670473</v>
      </c>
      <c r="DH33" s="40">
        <f t="shared" si="48"/>
        <v>136.32071505770415</v>
      </c>
    </row>
    <row r="34" spans="2:112">
      <c r="B34" s="300" t="s">
        <v>192</v>
      </c>
      <c r="C34" s="301"/>
      <c r="D34" s="116">
        <v>7</v>
      </c>
      <c r="E34" s="110" t="s">
        <v>11</v>
      </c>
      <c r="G34" s="285">
        <v>1</v>
      </c>
      <c r="H34" s="285"/>
      <c r="I34" s="291" t="s">
        <v>49</v>
      </c>
      <c r="J34" s="128">
        <f>J30*$D$11</f>
        <v>0.99999999999999989</v>
      </c>
      <c r="K34" s="122" t="s">
        <v>5</v>
      </c>
      <c r="O34" s="112">
        <f t="shared" si="49"/>
        <v>31</v>
      </c>
      <c r="P34" s="138">
        <f t="shared" si="10"/>
        <v>11.75</v>
      </c>
      <c r="Q34" s="146"/>
      <c r="R34" s="56">
        <f t="shared" si="11"/>
        <v>21.400757332155102</v>
      </c>
      <c r="S34" s="56">
        <f t="shared" si="12"/>
        <v>0.41187563308010133</v>
      </c>
      <c r="T34" s="56">
        <f t="shared" si="13"/>
        <v>21.812632965235203</v>
      </c>
      <c r="U34" s="154">
        <f t="shared" si="0"/>
        <v>137.0178291081086</v>
      </c>
      <c r="V34" s="149">
        <f t="shared" si="14"/>
        <v>5.675203544850894</v>
      </c>
      <c r="W34" s="162">
        <f t="shared" si="15"/>
        <v>12.320594049359229</v>
      </c>
      <c r="X34" s="4">
        <f t="shared" si="39"/>
        <v>98.884469621775111</v>
      </c>
      <c r="Z34" s="171">
        <f t="shared" si="50"/>
        <v>31</v>
      </c>
      <c r="AA34" s="202">
        <f t="shared" si="40"/>
        <v>122.75</v>
      </c>
      <c r="AC34">
        <f t="shared" si="16"/>
        <v>41.780430015900123</v>
      </c>
      <c r="AD34">
        <f t="shared" si="17"/>
        <v>4.3027858689857394</v>
      </c>
      <c r="AE34" s="40">
        <f t="shared" si="18"/>
        <v>46.08321588488586</v>
      </c>
      <c r="AF34" s="88">
        <f t="shared" si="1"/>
        <v>132.74724618845795</v>
      </c>
      <c r="AG34" s="199">
        <f t="shared" si="19"/>
        <v>3.470981479902612</v>
      </c>
      <c r="AH34" s="213">
        <f t="shared" si="20"/>
        <v>201.44699540590526</v>
      </c>
      <c r="AI34">
        <f t="shared" si="21"/>
        <v>988.84469621775156</v>
      </c>
      <c r="AK34" s="192">
        <f t="shared" si="41"/>
        <v>31</v>
      </c>
      <c r="AL34" s="202">
        <f t="shared" si="42"/>
        <v>1175</v>
      </c>
      <c r="AM34" s="171"/>
      <c r="AN34" s="171">
        <f t="shared" si="22"/>
        <v>61.400757332155102</v>
      </c>
      <c r="AO34" s="171">
        <f t="shared" si="23"/>
        <v>41.187563308010134</v>
      </c>
      <c r="AP34" s="171">
        <f t="shared" si="24"/>
        <v>102.58832064016524</v>
      </c>
      <c r="AQ34" s="53">
        <f t="shared" si="2"/>
        <v>80.59182031745668</v>
      </c>
      <c r="AR34" s="198">
        <f t="shared" si="25"/>
        <v>8.5640856660154207E-3</v>
      </c>
      <c r="AS34" s="211">
        <f t="shared" si="26"/>
        <v>134715.02374941247</v>
      </c>
      <c r="AT34" s="171">
        <f t="shared" si="27"/>
        <v>1631.5937487592848</v>
      </c>
      <c r="BB34" s="40"/>
      <c r="BC34" s="167">
        <f t="shared" si="3"/>
        <v>42.801514664310204</v>
      </c>
      <c r="BD34" s="165">
        <f t="shared" si="4"/>
        <v>43.213390297390305</v>
      </c>
      <c r="BF34" s="14">
        <f t="shared" si="5"/>
        <v>-1.8080950531909146</v>
      </c>
      <c r="BG34" s="140">
        <f t="shared" si="6"/>
        <v>118.87017549306411</v>
      </c>
      <c r="BH34" s="170">
        <f t="shared" si="28"/>
        <v>0.702423061560291</v>
      </c>
      <c r="BI34" s="169">
        <f t="shared" si="29"/>
        <v>178.26835933011313</v>
      </c>
      <c r="BJ34" s="169">
        <f t="shared" si="30"/>
        <v>177.08754896942912</v>
      </c>
      <c r="BL34" s="175">
        <f t="shared" si="43"/>
        <v>31</v>
      </c>
      <c r="BM34" s="180">
        <f t="shared" si="44"/>
        <v>127.5</v>
      </c>
      <c r="BO34" s="181">
        <f t="shared" si="32"/>
        <v>42.110203695399477</v>
      </c>
      <c r="BP34" s="181">
        <f t="shared" si="33"/>
        <v>4.4692887844862064</v>
      </c>
      <c r="BQ34" s="182">
        <f t="shared" si="34"/>
        <v>132.25096959345811</v>
      </c>
      <c r="BR34" s="183">
        <f t="shared" si="35"/>
        <v>3.2782228014147199</v>
      </c>
      <c r="BS34" s="187">
        <f t="shared" si="36"/>
        <v>213.29202820936206</v>
      </c>
      <c r="BT34" s="183">
        <f t="shared" si="37"/>
        <v>699.21879023592237</v>
      </c>
      <c r="BW34" s="53">
        <f t="shared" si="7"/>
        <v>84.220407390798954</v>
      </c>
      <c r="BY34" s="14">
        <f t="shared" si="8"/>
        <v>17.754815667955025</v>
      </c>
      <c r="BZ34" s="53">
        <f t="shared" si="9"/>
        <v>112.95678033631519</v>
      </c>
      <c r="CZ34" s="14">
        <f t="shared" si="45"/>
        <v>10.413926851582252</v>
      </c>
      <c r="DB34" s="140">
        <f t="shared" si="46"/>
        <v>99.174746163315589</v>
      </c>
      <c r="DC34" s="40"/>
      <c r="DG34" s="88">
        <f t="shared" si="47"/>
        <v>31.241780554746754</v>
      </c>
      <c r="DH34" s="40">
        <f t="shared" si="48"/>
        <v>135.85565769761467</v>
      </c>
    </row>
    <row r="35" spans="2:112">
      <c r="B35" s="302"/>
      <c r="C35" s="303"/>
      <c r="D35" s="116">
        <f>D34*1000</f>
        <v>7000</v>
      </c>
      <c r="E35" s="110" t="s">
        <v>31</v>
      </c>
      <c r="G35" s="285">
        <v>2</v>
      </c>
      <c r="H35" s="285"/>
      <c r="I35" s="291"/>
      <c r="J35" s="128">
        <f>J31*$D$11</f>
        <v>99.999999999999972</v>
      </c>
      <c r="K35" s="122" t="s">
        <v>5</v>
      </c>
      <c r="O35" s="112">
        <f t="shared" si="49"/>
        <v>32</v>
      </c>
      <c r="P35" s="138">
        <f t="shared" si="10"/>
        <v>12.125</v>
      </c>
      <c r="Q35" s="146"/>
      <c r="R35" s="56">
        <f t="shared" si="11"/>
        <v>21.673634945486025</v>
      </c>
      <c r="S35" s="56">
        <f t="shared" si="12"/>
        <v>0.42502060009329606</v>
      </c>
      <c r="T35" s="56">
        <f t="shared" si="13"/>
        <v>22.098655545579323</v>
      </c>
      <c r="U35" s="154">
        <f t="shared" si="0"/>
        <v>136.73180652776446</v>
      </c>
      <c r="V35" s="149">
        <f t="shared" si="14"/>
        <v>5.4913650256633204</v>
      </c>
      <c r="W35" s="162">
        <f t="shared" si="15"/>
        <v>12.733059757786917</v>
      </c>
      <c r="X35" s="4">
        <f t="shared" si="39"/>
        <v>98.884469621774841</v>
      </c>
      <c r="Z35" s="171">
        <f t="shared" si="50"/>
        <v>32</v>
      </c>
      <c r="AA35" s="202">
        <f t="shared" si="40"/>
        <v>126.5</v>
      </c>
      <c r="AC35">
        <f t="shared" si="16"/>
        <v>42.041810510236736</v>
      </c>
      <c r="AD35">
        <f t="shared" si="17"/>
        <v>4.4342355391176866</v>
      </c>
      <c r="AE35" s="40">
        <f t="shared" si="18"/>
        <v>46.476046049354423</v>
      </c>
      <c r="AF35" s="88">
        <f t="shared" si="1"/>
        <v>132.35441602398936</v>
      </c>
      <c r="AG35" s="199">
        <f t="shared" si="19"/>
        <v>3.3174989050121892</v>
      </c>
      <c r="AH35" s="213">
        <f t="shared" si="20"/>
        <v>210.76684883890027</v>
      </c>
      <c r="AI35">
        <f t="shared" si="21"/>
        <v>988.84469621774815</v>
      </c>
      <c r="AK35" s="192">
        <f t="shared" si="41"/>
        <v>32</v>
      </c>
      <c r="AL35" s="202">
        <f t="shared" si="42"/>
        <v>1212.5</v>
      </c>
      <c r="AM35" s="171"/>
      <c r="AN35" s="171">
        <f t="shared" si="22"/>
        <v>61.673634945486029</v>
      </c>
      <c r="AO35" s="171">
        <f t="shared" si="23"/>
        <v>42.502060009329604</v>
      </c>
      <c r="AP35" s="171">
        <f t="shared" si="24"/>
        <v>104.17569495481564</v>
      </c>
      <c r="AQ35" s="53">
        <f t="shared" si="2"/>
        <v>79.004446002806276</v>
      </c>
      <c r="AR35" s="198">
        <f t="shared" si="25"/>
        <v>7.1336580404958742E-3</v>
      </c>
      <c r="AS35" s="211">
        <f t="shared" si="26"/>
        <v>161727.82565970536</v>
      </c>
      <c r="AT35" s="171">
        <f t="shared" si="27"/>
        <v>1631.5937487592873</v>
      </c>
      <c r="BB35" s="40"/>
      <c r="BC35" s="167">
        <f t="shared" si="3"/>
        <v>43.347269890972051</v>
      </c>
      <c r="BD35" s="165">
        <f t="shared" si="4"/>
        <v>43.772290491065348</v>
      </c>
      <c r="BF35" s="14">
        <f t="shared" si="5"/>
        <v>-1.671656246525453</v>
      </c>
      <c r="BG35" s="140">
        <f t="shared" si="6"/>
        <v>118.44771410605452</v>
      </c>
      <c r="BH35" s="170">
        <f t="shared" si="28"/>
        <v>0.66907637041873635</v>
      </c>
      <c r="BI35" s="169">
        <f t="shared" si="29"/>
        <v>187.15323433350409</v>
      </c>
      <c r="BJ35" s="169">
        <f t="shared" si="30"/>
        <v>177.08754896942915</v>
      </c>
      <c r="BL35" s="175">
        <f t="shared" si="43"/>
        <v>32</v>
      </c>
      <c r="BM35" s="180">
        <f t="shared" si="44"/>
        <v>131.25</v>
      </c>
      <c r="BO35" s="181">
        <f t="shared" si="32"/>
        <v>42.36198624155989</v>
      </c>
      <c r="BP35" s="181">
        <f t="shared" si="33"/>
        <v>4.6007384546181536</v>
      </c>
      <c r="BQ35" s="182">
        <f t="shared" si="34"/>
        <v>131.86773737716575</v>
      </c>
      <c r="BR35" s="183">
        <f t="shared" si="35"/>
        <v>3.1367279651602824</v>
      </c>
      <c r="BS35" s="187">
        <f t="shared" si="36"/>
        <v>222.91343017378725</v>
      </c>
      <c r="BT35" s="183">
        <f t="shared" si="37"/>
        <v>699.21879023592237</v>
      </c>
      <c r="BW35" s="53">
        <f t="shared" si="7"/>
        <v>84.72397248311978</v>
      </c>
      <c r="BY35" s="14">
        <f t="shared" si="8"/>
        <v>17.880706941035232</v>
      </c>
      <c r="BZ35" s="53">
        <f t="shared" si="9"/>
        <v>112.44765684694262</v>
      </c>
      <c r="CZ35" s="14">
        <f t="shared" si="45"/>
        <v>10.559514053291501</v>
      </c>
      <c r="DB35" s="140">
        <f t="shared" si="46"/>
        <v>98.724839591174657</v>
      </c>
      <c r="DC35" s="40"/>
      <c r="DG35" s="88">
        <f t="shared" si="47"/>
        <v>31.678542159874503</v>
      </c>
      <c r="DH35" s="40">
        <f t="shared" si="48"/>
        <v>135.40575112547373</v>
      </c>
    </row>
    <row r="36" spans="2:112">
      <c r="B36" s="299" t="s">
        <v>104</v>
      </c>
      <c r="C36" s="299"/>
      <c r="D36" s="299"/>
      <c r="E36" s="299"/>
      <c r="G36" s="285">
        <v>3</v>
      </c>
      <c r="H36" s="285"/>
      <c r="I36" s="291"/>
      <c r="J36" s="128">
        <f>J32*$D$11</f>
        <v>272.24999999999994</v>
      </c>
      <c r="K36" s="122" t="s">
        <v>5</v>
      </c>
      <c r="O36" s="112">
        <f t="shared" si="49"/>
        <v>33</v>
      </c>
      <c r="P36" s="138">
        <f t="shared" si="10"/>
        <v>12.5</v>
      </c>
      <c r="Q36" s="146"/>
      <c r="R36" s="56">
        <f t="shared" si="11"/>
        <v>21.938200260161128</v>
      </c>
      <c r="S36" s="56">
        <f t="shared" si="12"/>
        <v>0.43816556710649079</v>
      </c>
      <c r="T36" s="56">
        <f t="shared" si="13"/>
        <v>22.37636582726762</v>
      </c>
      <c r="U36" s="154">
        <f t="shared" ref="U36:U67" si="51">$Q$4-(R36+S36)+$Q$8+$Q$10</f>
        <v>136.45409624607618</v>
      </c>
      <c r="V36" s="149">
        <f t="shared" si="14"/>
        <v>5.3185690171406872</v>
      </c>
      <c r="W36" s="162">
        <f t="shared" si="15"/>
        <v>13.14674657755647</v>
      </c>
      <c r="X36" s="4">
        <f t="shared" si="39"/>
        <v>98.88446962177494</v>
      </c>
      <c r="Z36" s="171">
        <f t="shared" si="50"/>
        <v>33</v>
      </c>
      <c r="AA36" s="202">
        <f>AA35+3.75</f>
        <v>130.25</v>
      </c>
      <c r="AC36">
        <f t="shared" si="16"/>
        <v>42.295554639431245</v>
      </c>
      <c r="AD36">
        <f t="shared" si="17"/>
        <v>4.5656852092496338</v>
      </c>
      <c r="AE36" s="40">
        <f t="shared" si="18"/>
        <v>46.861239848680881</v>
      </c>
      <c r="AF36" s="88">
        <f t="shared" si="1"/>
        <v>131.96922222466293</v>
      </c>
      <c r="AG36" s="199">
        <f t="shared" si="19"/>
        <v>3.1735920403987148</v>
      </c>
      <c r="AH36" s="213">
        <f t="shared" si="20"/>
        <v>220.32409375090228</v>
      </c>
      <c r="AI36">
        <f t="shared" si="21"/>
        <v>988.84469621775168</v>
      </c>
      <c r="AK36" s="192">
        <f t="shared" si="41"/>
        <v>33</v>
      </c>
      <c r="AL36" s="202">
        <f t="shared" si="42"/>
        <v>1250</v>
      </c>
      <c r="AM36" s="171"/>
      <c r="AN36" s="171">
        <f t="shared" si="22"/>
        <v>61.938200260161125</v>
      </c>
      <c r="AO36" s="171">
        <f t="shared" si="23"/>
        <v>43.816556710649081</v>
      </c>
      <c r="AP36" s="171">
        <f t="shared" si="24"/>
        <v>105.75475697081021</v>
      </c>
      <c r="AQ36" s="53">
        <f t="shared" ref="AQ36:AQ57" si="52">$AM$4-(AN36+AO36)+$Q$8+$Q$10</f>
        <v>77.42538398681171</v>
      </c>
      <c r="AR36" s="198">
        <f t="shared" si="25"/>
        <v>5.9478387547271944E-3</v>
      </c>
      <c r="AS36" s="211">
        <f t="shared" si="26"/>
        <v>193971.4661854828</v>
      </c>
      <c r="AT36" s="171">
        <f t="shared" si="27"/>
        <v>1631.5937487592846</v>
      </c>
      <c r="BB36" s="40"/>
      <c r="BC36" s="167">
        <f t="shared" ref="BC36:BC67" si="53">40*LOG(P36)</f>
        <v>43.876400520322257</v>
      </c>
      <c r="BD36" s="165">
        <f t="shared" ref="BD36:BD67" si="54">BC36+S36</f>
        <v>44.314566087428744</v>
      </c>
      <c r="BF36" s="14">
        <f t="shared" ref="BF36:BF67" si="55">10*LOG10(($D$29*($D$22/1000000))/2)+$J$12+10*LOG10(P36)</f>
        <v>-1.5393735891879015</v>
      </c>
      <c r="BG36" s="140">
        <f t="shared" ref="BG36:BG67" si="56">$Q$4-(BC36+S36)+$BE$4+BF36</f>
        <v>118.03772116702868</v>
      </c>
      <c r="BH36" s="170">
        <f t="shared" si="28"/>
        <v>0.63822828205688309</v>
      </c>
      <c r="BI36" s="169">
        <f t="shared" si="29"/>
        <v>196.19908778788317</v>
      </c>
      <c r="BJ36" s="169">
        <f t="shared" si="30"/>
        <v>177.08754896942932</v>
      </c>
      <c r="BL36" s="175">
        <f t="shared" si="43"/>
        <v>33</v>
      </c>
      <c r="BM36" s="180">
        <f t="shared" si="44"/>
        <v>135</v>
      </c>
      <c r="BO36" s="181">
        <f t="shared" si="32"/>
        <v>42.606675369900124</v>
      </c>
      <c r="BP36" s="181">
        <f t="shared" si="33"/>
        <v>4.7321881247501008</v>
      </c>
      <c r="BQ36" s="182">
        <f t="shared" si="34"/>
        <v>131.49159857869358</v>
      </c>
      <c r="BR36" s="183">
        <f t="shared" si="35"/>
        <v>3.0037924123958137</v>
      </c>
      <c r="BS36" s="187">
        <f t="shared" si="36"/>
        <v>232.77866584602941</v>
      </c>
      <c r="BT36" s="183">
        <f t="shared" si="37"/>
        <v>699.21879023592373</v>
      </c>
      <c r="BW36" s="53">
        <f t="shared" si="7"/>
        <v>85.213350739800248</v>
      </c>
      <c r="BY36" s="14">
        <f t="shared" si="8"/>
        <v>18.003051505205349</v>
      </c>
      <c r="BZ36" s="53">
        <f t="shared" si="9"/>
        <v>111.94917348430033</v>
      </c>
      <c r="CZ36" s="14">
        <f t="shared" si="45"/>
        <v>10.700378666077551</v>
      </c>
      <c r="DB36" s="140">
        <f t="shared" si="46"/>
        <v>98.289100785803299</v>
      </c>
      <c r="DC36" s="40"/>
      <c r="DG36" s="88">
        <f t="shared" si="47"/>
        <v>32.10113599823265</v>
      </c>
      <c r="DH36" s="40">
        <f t="shared" si="48"/>
        <v>134.9700123201024</v>
      </c>
    </row>
    <row r="37" spans="2:112">
      <c r="B37" s="9">
        <v>1</v>
      </c>
      <c r="C37" s="291" t="s">
        <v>195</v>
      </c>
      <c r="D37" s="194">
        <v>500</v>
      </c>
      <c r="E37" s="110" t="s">
        <v>30</v>
      </c>
      <c r="G37" s="292" t="s">
        <v>215</v>
      </c>
      <c r="H37" s="293"/>
      <c r="I37" s="293"/>
      <c r="J37" s="293"/>
      <c r="K37" s="294"/>
      <c r="O37" s="112">
        <f t="shared" si="49"/>
        <v>34</v>
      </c>
      <c r="P37" s="138">
        <f t="shared" ref="P37:P69" si="57">P36+$J$45</f>
        <v>12.875</v>
      </c>
      <c r="Q37" s="146"/>
      <c r="R37" s="56">
        <f t="shared" si="11"/>
        <v>22.194944754264576</v>
      </c>
      <c r="S37" s="56">
        <f t="shared" si="12"/>
        <v>0.45131053411968547</v>
      </c>
      <c r="T37" s="56">
        <f t="shared" si="13"/>
        <v>22.64625528838426</v>
      </c>
      <c r="U37" s="154">
        <f t="shared" si="51"/>
        <v>136.18420678495954</v>
      </c>
      <c r="V37" s="149">
        <f t="shared" si="14"/>
        <v>5.1558506217992219</v>
      </c>
      <c r="W37" s="162">
        <f t="shared" si="15"/>
        <v>13.561657261356387</v>
      </c>
      <c r="X37" s="4">
        <f t="shared" si="39"/>
        <v>98.884469621775011</v>
      </c>
      <c r="Z37" s="171">
        <f t="shared" si="50"/>
        <v>34</v>
      </c>
      <c r="AA37" s="202">
        <f t="shared" si="40"/>
        <v>134</v>
      </c>
      <c r="AC37">
        <f t="shared" si="16"/>
        <v>42.542095967296156</v>
      </c>
      <c r="AD37">
        <f t="shared" si="17"/>
        <v>4.6971348793815819</v>
      </c>
      <c r="AE37" s="40">
        <f t="shared" si="18"/>
        <v>47.239230846677735</v>
      </c>
      <c r="AF37" s="88">
        <f t="shared" si="1"/>
        <v>131.59123122666605</v>
      </c>
      <c r="AG37" s="199">
        <f t="shared" si="19"/>
        <v>3.0384461816255288</v>
      </c>
      <c r="AH37" s="213">
        <f t="shared" si="20"/>
        <v>230.12380290436772</v>
      </c>
      <c r="AI37">
        <f t="shared" si="21"/>
        <v>988.84469621774906</v>
      </c>
      <c r="AK37" s="192">
        <f t="shared" si="41"/>
        <v>34</v>
      </c>
      <c r="AL37" s="202">
        <f t="shared" si="42"/>
        <v>1287.5</v>
      </c>
      <c r="AM37" s="171"/>
      <c r="AN37" s="171">
        <f t="shared" si="22"/>
        <v>62.194944754264576</v>
      </c>
      <c r="AO37" s="171">
        <f t="shared" si="23"/>
        <v>45.131053411968558</v>
      </c>
      <c r="AP37" s="171">
        <f t="shared" si="24"/>
        <v>107.32599816623313</v>
      </c>
      <c r="AQ37" s="53">
        <f t="shared" si="52"/>
        <v>75.854142791388782</v>
      </c>
      <c r="AR37" s="198">
        <f t="shared" si="25"/>
        <v>4.9636040078604483E-3</v>
      </c>
      <c r="AS37" s="211">
        <f t="shared" si="26"/>
        <v>232434.13496770366</v>
      </c>
      <c r="AT37" s="171">
        <f t="shared" si="27"/>
        <v>1631.5937487592848</v>
      </c>
      <c r="BB37" s="40"/>
      <c r="BC37" s="167">
        <f t="shared" si="53"/>
        <v>44.389889508529151</v>
      </c>
      <c r="BD37" s="165">
        <f t="shared" si="54"/>
        <v>44.841200042648836</v>
      </c>
      <c r="BF37" s="14">
        <f t="shared" si="55"/>
        <v>-1.4110013421361778</v>
      </c>
      <c r="BG37" s="140">
        <f t="shared" si="56"/>
        <v>117.63945945886032</v>
      </c>
      <c r="BH37" s="170">
        <f t="shared" si="28"/>
        <v>0.60962526858004218</v>
      </c>
      <c r="BI37" s="169">
        <f t="shared" si="29"/>
        <v>205.40455455800591</v>
      </c>
      <c r="BJ37" s="169">
        <f t="shared" si="30"/>
        <v>177.08754896942932</v>
      </c>
      <c r="BL37" s="175">
        <f t="shared" si="43"/>
        <v>34</v>
      </c>
      <c r="BM37" s="180">
        <f t="shared" si="44"/>
        <v>138.75</v>
      </c>
      <c r="BO37" s="181">
        <f t="shared" si="32"/>
        <v>42.844659835894277</v>
      </c>
      <c r="BP37" s="181">
        <f t="shared" si="33"/>
        <v>4.8636377948820479</v>
      </c>
      <c r="BQ37" s="182">
        <f t="shared" si="34"/>
        <v>131.12216444256748</v>
      </c>
      <c r="BR37" s="183">
        <f t="shared" si="35"/>
        <v>2.8787119400020496</v>
      </c>
      <c r="BS37" s="187">
        <f t="shared" si="36"/>
        <v>242.89293434320675</v>
      </c>
      <c r="BT37" s="183">
        <f t="shared" si="37"/>
        <v>699.21879023592317</v>
      </c>
      <c r="BW37" s="53">
        <f t="shared" si="7"/>
        <v>85.689319671788553</v>
      </c>
      <c r="BY37" s="14">
        <f t="shared" si="8"/>
        <v>18.122043738202425</v>
      </c>
      <c r="BZ37" s="53">
        <f t="shared" si="9"/>
        <v>111.46074711517714</v>
      </c>
      <c r="CZ37" s="14">
        <f t="shared" si="45"/>
        <v>10.836817472743013</v>
      </c>
      <c r="DB37" s="140">
        <f t="shared" si="46"/>
        <v>97.866639398793723</v>
      </c>
      <c r="DC37" s="40"/>
      <c r="DG37" s="88">
        <f t="shared" si="47"/>
        <v>32.510452418229036</v>
      </c>
      <c r="DH37" s="40">
        <f t="shared" si="48"/>
        <v>134.54755093309282</v>
      </c>
    </row>
    <row r="38" spans="2:112">
      <c r="B38" s="9">
        <v>2</v>
      </c>
      <c r="C38" s="291"/>
      <c r="D38" s="194">
        <v>5000</v>
      </c>
      <c r="E38" s="110" t="s">
        <v>30</v>
      </c>
      <c r="G38" s="295"/>
      <c r="H38" s="295"/>
      <c r="I38" s="295"/>
      <c r="J38" s="132">
        <f>20*LOG10(D32*1000000)</f>
        <v>113.97940008672037</v>
      </c>
      <c r="K38" s="122" t="s">
        <v>13</v>
      </c>
      <c r="O38" s="112">
        <f t="shared" si="49"/>
        <v>35</v>
      </c>
      <c r="P38" s="138">
        <f t="shared" si="57"/>
        <v>13.25</v>
      </c>
      <c r="Q38" s="146"/>
      <c r="R38" s="56">
        <f t="shared" si="11"/>
        <v>22.444317565456533</v>
      </c>
      <c r="S38" s="56">
        <f t="shared" si="12"/>
        <v>0.46445550113288026</v>
      </c>
      <c r="T38" s="56">
        <f t="shared" si="13"/>
        <v>22.908773066589415</v>
      </c>
      <c r="U38" s="154">
        <f t="shared" si="51"/>
        <v>135.92168900675438</v>
      </c>
      <c r="V38" s="149">
        <f t="shared" si="14"/>
        <v>5.002354175858895</v>
      </c>
      <c r="W38" s="162">
        <f t="shared" si="15"/>
        <v>13.977794567412202</v>
      </c>
      <c r="X38" s="4">
        <f t="shared" si="39"/>
        <v>98.884469621774926</v>
      </c>
      <c r="Z38" s="171">
        <f t="shared" si="50"/>
        <v>35</v>
      </c>
      <c r="AA38" s="202">
        <f t="shared" si="40"/>
        <v>137.75</v>
      </c>
      <c r="AC38">
        <f t="shared" si="16"/>
        <v>42.781832150476461</v>
      </c>
      <c r="AD38">
        <f t="shared" si="17"/>
        <v>4.8285845495135291</v>
      </c>
      <c r="AE38" s="40">
        <f t="shared" si="18"/>
        <v>47.61041669998999</v>
      </c>
      <c r="AF38" s="88">
        <f t="shared" si="1"/>
        <v>131.2200453733538</v>
      </c>
      <c r="AG38" s="199">
        <f t="shared" si="19"/>
        <v>2.9113354972134782</v>
      </c>
      <c r="AH38" s="213">
        <f t="shared" si="20"/>
        <v>240.17114856915802</v>
      </c>
      <c r="AI38">
        <f t="shared" si="21"/>
        <v>988.84469621774895</v>
      </c>
      <c r="AK38" s="192">
        <f t="shared" si="41"/>
        <v>35</v>
      </c>
      <c r="AL38" s="202">
        <f t="shared" si="42"/>
        <v>1325</v>
      </c>
      <c r="AM38" s="171"/>
      <c r="AN38" s="171">
        <f t="shared" si="22"/>
        <v>62.444317565456529</v>
      </c>
      <c r="AO38" s="171">
        <f t="shared" si="23"/>
        <v>46.445550113288022</v>
      </c>
      <c r="AP38" s="171">
        <f t="shared" si="24"/>
        <v>108.88986767874455</v>
      </c>
      <c r="AQ38" s="53">
        <f t="shared" si="52"/>
        <v>74.290273278877365</v>
      </c>
      <c r="AR38" s="198">
        <f t="shared" si="25"/>
        <v>4.145755169386269E-3</v>
      </c>
      <c r="AS38" s="211">
        <f t="shared" si="26"/>
        <v>278287.2979110505</v>
      </c>
      <c r="AT38" s="171">
        <f t="shared" si="27"/>
        <v>1631.5937487592903</v>
      </c>
      <c r="BB38" s="40"/>
      <c r="BC38" s="167">
        <f t="shared" si="53"/>
        <v>44.888635130913066</v>
      </c>
      <c r="BD38" s="165">
        <f t="shared" si="54"/>
        <v>45.353090632045948</v>
      </c>
      <c r="BF38" s="14">
        <f t="shared" si="55"/>
        <v>-1.2863149365401991</v>
      </c>
      <c r="BG38" s="140">
        <f t="shared" si="56"/>
        <v>117.2522552750592</v>
      </c>
      <c r="BH38" s="170">
        <f t="shared" si="28"/>
        <v>0.58304590674187018</v>
      </c>
      <c r="BI38" s="169">
        <f t="shared" si="29"/>
        <v>214.7683489276717</v>
      </c>
      <c r="BJ38" s="169">
        <f t="shared" si="30"/>
        <v>177.08754896942992</v>
      </c>
      <c r="BL38" s="175">
        <f t="shared" si="43"/>
        <v>35</v>
      </c>
      <c r="BM38" s="180">
        <f t="shared" si="44"/>
        <v>142.5</v>
      </c>
      <c r="BO38" s="181">
        <f t="shared" si="32"/>
        <v>43.076297286890579</v>
      </c>
      <c r="BP38" s="181">
        <f t="shared" si="33"/>
        <v>4.9950874650139943</v>
      </c>
      <c r="BQ38" s="182">
        <f t="shared" si="34"/>
        <v>130.75907732143924</v>
      </c>
      <c r="BR38" s="183">
        <f t="shared" si="35"/>
        <v>2.7608566207785565</v>
      </c>
      <c r="BS38" s="187">
        <f t="shared" si="36"/>
        <v>253.26153664537108</v>
      </c>
      <c r="BT38" s="183">
        <f t="shared" si="37"/>
        <v>699.21879023592373</v>
      </c>
      <c r="BW38" s="53">
        <f t="shared" si="7"/>
        <v>86.152594573781158</v>
      </c>
      <c r="BY38" s="14">
        <f t="shared" si="8"/>
        <v>18.237862463700576</v>
      </c>
      <c r="BZ38" s="53">
        <f t="shared" si="9"/>
        <v>110.98184126855075</v>
      </c>
      <c r="CZ38" s="14">
        <f t="shared" ref="CZ38:CZ69" si="58">10*LOG10(P36)</f>
        <v>10.969100130080564</v>
      </c>
      <c r="DB38" s="140">
        <f t="shared" ref="DB38:DB69" si="59">$CX$6+$CY$6+CZ38+$DA$6-(BC36+S36)+197</f>
        <v>97.456646459767882</v>
      </c>
      <c r="DC38" s="40"/>
      <c r="DG38" s="88">
        <f t="shared" ref="DG38:DG69" si="60">30*LOG10(P36)</f>
        <v>32.907300390241694</v>
      </c>
      <c r="DH38" s="40">
        <f t="shared" ref="DH38:DH69" si="61">$CX$6+$DC$6+$DD$6+$DE$6+$DF$6-(DG38+S36)+182</f>
        <v>134.13755799406698</v>
      </c>
    </row>
    <row r="39" spans="2:112">
      <c r="B39" s="9">
        <v>3</v>
      </c>
      <c r="C39" s="291"/>
      <c r="D39" s="194">
        <v>50000</v>
      </c>
      <c r="E39" s="110" t="s">
        <v>30</v>
      </c>
      <c r="G39" s="288" t="s">
        <v>216</v>
      </c>
      <c r="H39" s="288"/>
      <c r="I39" s="288"/>
      <c r="J39" s="133">
        <f>D5</f>
        <v>50</v>
      </c>
      <c r="K39" s="131" t="s">
        <v>217</v>
      </c>
      <c r="O39" s="112">
        <f t="shared" si="49"/>
        <v>36</v>
      </c>
      <c r="P39" s="138">
        <f t="shared" si="57"/>
        <v>13.625</v>
      </c>
      <c r="Q39" s="146"/>
      <c r="R39" s="56">
        <f t="shared" si="11"/>
        <v>22.686730218973601</v>
      </c>
      <c r="S39" s="56">
        <f t="shared" si="12"/>
        <v>0.47760046814607499</v>
      </c>
      <c r="T39" s="56">
        <f t="shared" si="13"/>
        <v>23.164330687119676</v>
      </c>
      <c r="U39" s="154">
        <f t="shared" si="51"/>
        <v>135.66613138622412</v>
      </c>
      <c r="V39" s="149">
        <f t="shared" si="14"/>
        <v>4.8573182170823239</v>
      </c>
      <c r="W39" s="162">
        <f t="shared" si="15"/>
        <v>14.395161259496955</v>
      </c>
      <c r="X39" s="4">
        <f t="shared" si="39"/>
        <v>98.884469621775054</v>
      </c>
      <c r="Z39" s="171">
        <f t="shared" si="50"/>
        <v>36</v>
      </c>
      <c r="AA39" s="202">
        <f t="shared" si="40"/>
        <v>141.5</v>
      </c>
      <c r="AC39">
        <f t="shared" si="16"/>
        <v>43.015128797206181</v>
      </c>
      <c r="AD39">
        <f t="shared" si="17"/>
        <v>4.9600342196454754</v>
      </c>
      <c r="AE39" s="40">
        <f t="shared" si="18"/>
        <v>47.975163016851653</v>
      </c>
      <c r="AF39" s="88">
        <f t="shared" si="1"/>
        <v>130.85529905649213</v>
      </c>
      <c r="AG39" s="199">
        <f t="shared" si="19"/>
        <v>2.7916112498872798</v>
      </c>
      <c r="AH39" s="213">
        <f t="shared" si="20"/>
        <v>250.47140437772447</v>
      </c>
      <c r="AI39">
        <f t="shared" si="21"/>
        <v>988.84469621774883</v>
      </c>
      <c r="AK39" s="192">
        <f t="shared" si="41"/>
        <v>36</v>
      </c>
      <c r="AL39" s="202">
        <f t="shared" si="42"/>
        <v>1362.5</v>
      </c>
      <c r="AM39" s="171"/>
      <c r="AN39" s="171">
        <f t="shared" si="22"/>
        <v>62.686730218973601</v>
      </c>
      <c r="AO39" s="171">
        <f t="shared" si="23"/>
        <v>47.760046814607499</v>
      </c>
      <c r="AP39" s="171">
        <f t="shared" si="24"/>
        <v>110.4467770335811</v>
      </c>
      <c r="AQ39" s="53">
        <f t="shared" si="52"/>
        <v>72.733363924040816</v>
      </c>
      <c r="AR39" s="198">
        <f t="shared" si="25"/>
        <v>3.4654383980555676E-3</v>
      </c>
      <c r="AS39" s="211">
        <f t="shared" si="26"/>
        <v>332919.20714464615</v>
      </c>
      <c r="AT39" s="171">
        <f t="shared" si="27"/>
        <v>1631.5937487592876</v>
      </c>
      <c r="BB39" s="40"/>
      <c r="BC39" s="167">
        <f t="shared" si="53"/>
        <v>45.373460437947202</v>
      </c>
      <c r="BD39" s="165">
        <f t="shared" si="54"/>
        <v>45.851060906093274</v>
      </c>
      <c r="BF39" s="14">
        <f t="shared" si="55"/>
        <v>-1.1651086097816652</v>
      </c>
      <c r="BG39" s="140">
        <f t="shared" si="56"/>
        <v>116.87549132777039</v>
      </c>
      <c r="BH39" s="170">
        <f t="shared" si="28"/>
        <v>0.55829604768059882</v>
      </c>
      <c r="BI39" s="169">
        <f t="shared" si="29"/>
        <v>224.28925882639689</v>
      </c>
      <c r="BJ39" s="169">
        <f t="shared" si="30"/>
        <v>177.08754896942929</v>
      </c>
      <c r="BL39" s="175">
        <f t="shared" si="43"/>
        <v>36</v>
      </c>
      <c r="BM39" s="180">
        <f t="shared" si="44"/>
        <v>146.25</v>
      </c>
      <c r="BO39" s="181">
        <f t="shared" si="32"/>
        <v>43.301917495084361</v>
      </c>
      <c r="BP39" s="181">
        <f t="shared" si="33"/>
        <v>5.1265371351459423</v>
      </c>
      <c r="BQ39" s="182">
        <f t="shared" si="34"/>
        <v>130.40200744311349</v>
      </c>
      <c r="BR39" s="183">
        <f t="shared" si="35"/>
        <v>2.6496612787054357</v>
      </c>
      <c r="BS39" s="187">
        <f t="shared" si="36"/>
        <v>263.88987749315095</v>
      </c>
      <c r="BT39" s="183">
        <f t="shared" si="37"/>
        <v>699.21879023592305</v>
      </c>
      <c r="BW39" s="53">
        <f t="shared" si="7"/>
        <v>86.603834990168721</v>
      </c>
      <c r="BY39" s="14">
        <f t="shared" si="8"/>
        <v>18.350672567797467</v>
      </c>
      <c r="BZ39" s="53">
        <f t="shared" si="9"/>
        <v>110.51196128612813</v>
      </c>
      <c r="CZ39" s="14">
        <f t="shared" si="58"/>
        <v>11.097472377132288</v>
      </c>
      <c r="DB39" s="140">
        <f t="shared" si="59"/>
        <v>97.058384751599505</v>
      </c>
      <c r="DC39" s="40"/>
      <c r="DG39" s="88">
        <f t="shared" si="60"/>
        <v>33.29241713139686</v>
      </c>
      <c r="DH39" s="40">
        <f t="shared" si="61"/>
        <v>133.7392962858986</v>
      </c>
    </row>
    <row r="40" spans="2:112">
      <c r="B40" s="296" t="s">
        <v>193</v>
      </c>
      <c r="C40" s="297"/>
      <c r="D40" s="297"/>
      <c r="E40" s="298"/>
      <c r="G40" s="286"/>
      <c r="H40" s="289"/>
      <c r="I40" s="287"/>
      <c r="J40" s="132">
        <f>J38+20*LOG10(1/D5)</f>
        <v>80</v>
      </c>
      <c r="K40" s="122" t="s">
        <v>13</v>
      </c>
      <c r="O40" s="112">
        <f t="shared" si="49"/>
        <v>37</v>
      </c>
      <c r="P40" s="138">
        <f t="shared" si="57"/>
        <v>14</v>
      </c>
      <c r="Q40" s="146"/>
      <c r="R40" s="56">
        <f t="shared" si="11"/>
        <v>22.92256071356476</v>
      </c>
      <c r="S40" s="56">
        <f t="shared" si="12"/>
        <v>0.49074543515926972</v>
      </c>
      <c r="T40" s="56">
        <f t="shared" si="13"/>
        <v>23.413306148724029</v>
      </c>
      <c r="U40" s="154">
        <f t="shared" si="51"/>
        <v>135.41715592461978</v>
      </c>
      <c r="V40" s="149">
        <f t="shared" si="14"/>
        <v>4.7200628684966448</v>
      </c>
      <c r="W40" s="162">
        <f t="shared" si="15"/>
        <v>14.81376010694167</v>
      </c>
      <c r="X40" s="4">
        <f t="shared" si="39"/>
        <v>98.884469621775011</v>
      </c>
      <c r="Z40" s="171">
        <f t="shared" si="50"/>
        <v>37</v>
      </c>
      <c r="AA40" s="202">
        <f t="shared" si="40"/>
        <v>145.25</v>
      </c>
      <c r="AC40">
        <f t="shared" si="16"/>
        <v>43.242322821247363</v>
      </c>
      <c r="AD40">
        <f t="shared" si="17"/>
        <v>5.0914838897774226</v>
      </c>
      <c r="AE40" s="40">
        <f t="shared" si="18"/>
        <v>48.333806711024785</v>
      </c>
      <c r="AF40" s="88">
        <f t="shared" si="1"/>
        <v>130.49665536231902</v>
      </c>
      <c r="AG40" s="199">
        <f t="shared" si="19"/>
        <v>2.6786918424474004</v>
      </c>
      <c r="AH40" s="213">
        <f t="shared" si="20"/>
        <v>261.0299472137408</v>
      </c>
      <c r="AI40">
        <f t="shared" si="21"/>
        <v>988.84469621775065</v>
      </c>
      <c r="AK40" s="192">
        <f t="shared" si="41"/>
        <v>37</v>
      </c>
      <c r="AL40" s="202">
        <f t="shared" si="42"/>
        <v>1400</v>
      </c>
      <c r="AM40" s="171"/>
      <c r="AN40" s="171">
        <f t="shared" si="22"/>
        <v>62.922560713564764</v>
      </c>
      <c r="AO40" s="171">
        <f t="shared" si="23"/>
        <v>49.074543515926969</v>
      </c>
      <c r="AP40" s="171">
        <f t="shared" si="24"/>
        <v>111.99710422949173</v>
      </c>
      <c r="AQ40" s="53">
        <f t="shared" si="52"/>
        <v>71.18303672813019</v>
      </c>
      <c r="AR40" s="198">
        <f t="shared" si="25"/>
        <v>2.8989573327628327E-3</v>
      </c>
      <c r="AS40" s="211">
        <f t="shared" si="26"/>
        <v>397974.46856167947</v>
      </c>
      <c r="AT40" s="171">
        <f t="shared" si="27"/>
        <v>1631.5937487592873</v>
      </c>
      <c r="BB40" s="40"/>
      <c r="BC40" s="167">
        <f t="shared" si="53"/>
        <v>45.84512142712952</v>
      </c>
      <c r="BD40" s="165">
        <f t="shared" si="54"/>
        <v>46.335866862288789</v>
      </c>
      <c r="BF40" s="14">
        <f t="shared" si="55"/>
        <v>-1.0471933624860856</v>
      </c>
      <c r="BG40" s="140">
        <f t="shared" si="56"/>
        <v>116.50860061887046</v>
      </c>
      <c r="BH40" s="170">
        <f t="shared" si="28"/>
        <v>0.53520482239852718</v>
      </c>
      <c r="BI40" s="169">
        <f t="shared" si="29"/>
        <v>233.96614062409643</v>
      </c>
      <c r="BJ40" s="169">
        <f t="shared" si="30"/>
        <v>177.08754896942946</v>
      </c>
      <c r="BL40" s="175">
        <f t="shared" si="43"/>
        <v>37</v>
      </c>
      <c r="BM40" s="180">
        <f t="shared" si="44"/>
        <v>150</v>
      </c>
      <c r="BO40" s="181">
        <f t="shared" si="32"/>
        <v>43.521825181113627</v>
      </c>
      <c r="BP40" s="181">
        <f t="shared" si="33"/>
        <v>5.2579868052778895</v>
      </c>
      <c r="BQ40" s="182">
        <f t="shared" si="34"/>
        <v>130.05065008695229</v>
      </c>
      <c r="BR40" s="183">
        <f t="shared" si="35"/>
        <v>2.5446173929478095</v>
      </c>
      <c r="BS40" s="187">
        <f t="shared" si="36"/>
        <v>274.78346731958538</v>
      </c>
      <c r="BT40" s="183">
        <f t="shared" si="37"/>
        <v>699.21879023592294</v>
      </c>
      <c r="BW40" s="53">
        <f t="shared" si="7"/>
        <v>87.043650362227254</v>
      </c>
      <c r="BY40" s="14">
        <f t="shared" si="8"/>
        <v>18.4606264108121</v>
      </c>
      <c r="BZ40" s="53">
        <f t="shared" si="9"/>
        <v>110.05065008695227</v>
      </c>
      <c r="CZ40" s="14">
        <f t="shared" si="58"/>
        <v>11.222158782728267</v>
      </c>
      <c r="DB40" s="140">
        <f t="shared" si="59"/>
        <v>96.671180567798373</v>
      </c>
      <c r="DC40" s="40"/>
      <c r="DG40" s="88">
        <f t="shared" si="60"/>
        <v>33.666476348184801</v>
      </c>
      <c r="DH40" s="40">
        <f t="shared" si="61"/>
        <v>133.35209210209746</v>
      </c>
    </row>
    <row r="41" spans="2:112">
      <c r="B41" s="286" t="s">
        <v>194</v>
      </c>
      <c r="C41" s="287"/>
      <c r="D41" s="116">
        <v>-30</v>
      </c>
      <c r="E41" s="110" t="s">
        <v>13</v>
      </c>
      <c r="G41" s="288" t="s">
        <v>216</v>
      </c>
      <c r="H41" s="288"/>
      <c r="I41" s="288"/>
      <c r="J41" s="133">
        <f>D5</f>
        <v>50</v>
      </c>
      <c r="K41" s="131" t="s">
        <v>218</v>
      </c>
      <c r="L41" s="133">
        <f>D34</f>
        <v>7</v>
      </c>
      <c r="M41" s="131" t="s">
        <v>11</v>
      </c>
      <c r="N41" s="174"/>
      <c r="O41" s="112">
        <f t="shared" si="49"/>
        <v>38</v>
      </c>
      <c r="P41" s="138">
        <f t="shared" si="57"/>
        <v>14.375</v>
      </c>
      <c r="Q41" s="146"/>
      <c r="R41" s="56">
        <f t="shared" si="11"/>
        <v>23.152157067233361</v>
      </c>
      <c r="S41" s="56">
        <f t="shared" si="12"/>
        <v>0.50389040217246439</v>
      </c>
      <c r="T41" s="56">
        <f t="shared" si="13"/>
        <v>23.656047469405827</v>
      </c>
      <c r="U41" s="154">
        <f t="shared" si="51"/>
        <v>135.17441460393798</v>
      </c>
      <c r="V41" s="149">
        <f t="shared" si="14"/>
        <v>4.5899791968372936</v>
      </c>
      <c r="W41" s="162">
        <f t="shared" si="15"/>
        <v>15.233593884645856</v>
      </c>
      <c r="X41" s="4">
        <f t="shared" si="39"/>
        <v>98.884469621775054</v>
      </c>
      <c r="Z41" s="172">
        <v>38</v>
      </c>
      <c r="AA41" s="202">
        <f t="shared" si="40"/>
        <v>149</v>
      </c>
      <c r="AC41">
        <f t="shared" si="16"/>
        <v>43.463725368245477</v>
      </c>
      <c r="AD41">
        <f t="shared" si="17"/>
        <v>5.2229335599093698</v>
      </c>
      <c r="AE41" s="40">
        <f t="shared" si="18"/>
        <v>48.686658928154849</v>
      </c>
      <c r="AF41" s="88">
        <f t="shared" si="1"/>
        <v>130.14380314518894</v>
      </c>
      <c r="AG41" s="199">
        <f t="shared" si="19"/>
        <v>2.5720543668144189</v>
      </c>
      <c r="AH41" s="213">
        <f t="shared" si="20"/>
        <v>271.85225913475927</v>
      </c>
      <c r="AI41">
        <f t="shared" si="21"/>
        <v>988.84469621774997</v>
      </c>
      <c r="AK41" s="192">
        <f t="shared" si="41"/>
        <v>38</v>
      </c>
      <c r="AL41" s="202">
        <f t="shared" si="42"/>
        <v>1437.5</v>
      </c>
      <c r="AM41" s="171"/>
      <c r="AN41" s="171">
        <f t="shared" si="22"/>
        <v>63.152157067233361</v>
      </c>
      <c r="AO41" s="171">
        <f t="shared" si="23"/>
        <v>50.389040217246439</v>
      </c>
      <c r="AP41" s="171">
        <f t="shared" si="24"/>
        <v>113.54119728447981</v>
      </c>
      <c r="AQ41" s="53">
        <f t="shared" si="52"/>
        <v>69.638943673142109</v>
      </c>
      <c r="AR41" s="198">
        <f t="shared" si="25"/>
        <v>2.4268177940886862E-3</v>
      </c>
      <c r="AS41" s="211">
        <f t="shared" si="26"/>
        <v>475400.75184033805</v>
      </c>
      <c r="AT41" s="171">
        <f t="shared" si="27"/>
        <v>1631.5937487592873</v>
      </c>
      <c r="BB41" s="40"/>
      <c r="BC41" s="167">
        <f t="shared" si="53"/>
        <v>46.304314134466722</v>
      </c>
      <c r="BD41" s="165">
        <f t="shared" si="54"/>
        <v>46.808204536639188</v>
      </c>
      <c r="BF41" s="14">
        <f t="shared" si="55"/>
        <v>-0.93239518565178514</v>
      </c>
      <c r="BG41" s="140">
        <f t="shared" si="56"/>
        <v>116.15106112135436</v>
      </c>
      <c r="BH41" s="170">
        <f t="shared" si="28"/>
        <v>0.51362132049285503</v>
      </c>
      <c r="BI41" s="169">
        <f t="shared" si="29"/>
        <v>243.79791442425193</v>
      </c>
      <c r="BJ41" s="169">
        <f t="shared" si="30"/>
        <v>177.08754896942943</v>
      </c>
      <c r="BL41" s="175">
        <f t="shared" si="43"/>
        <v>38</v>
      </c>
      <c r="BM41" s="180">
        <f t="shared" si="44"/>
        <v>153.75</v>
      </c>
      <c r="BO41" s="181">
        <f t="shared" si="32"/>
        <v>43.736302488949086</v>
      </c>
      <c r="BP41" s="181">
        <f t="shared" si="33"/>
        <v>5.3894364754098367</v>
      </c>
      <c r="BQ41" s="182">
        <f t="shared" si="34"/>
        <v>129.70472310898487</v>
      </c>
      <c r="BR41" s="183">
        <f t="shared" si="35"/>
        <v>2.4452661866708061</v>
      </c>
      <c r="BS41" s="187">
        <f t="shared" si="36"/>
        <v>285.94792421674896</v>
      </c>
      <c r="BT41" s="183">
        <f t="shared" si="37"/>
        <v>699.21879023592237</v>
      </c>
      <c r="BW41" s="53">
        <f t="shared" si="7"/>
        <v>87.472604977898172</v>
      </c>
      <c r="BY41" s="14">
        <f t="shared" si="8"/>
        <v>18.56786506472983</v>
      </c>
      <c r="BZ41" s="53">
        <f t="shared" si="9"/>
        <v>109.59748445506715</v>
      </c>
      <c r="CZ41" s="14">
        <f t="shared" si="58"/>
        <v>11.3433651094868</v>
      </c>
      <c r="DB41" s="140">
        <f t="shared" si="59"/>
        <v>96.294416620509594</v>
      </c>
      <c r="DC41" s="40"/>
      <c r="DG41" s="88">
        <f t="shared" si="60"/>
        <v>34.030095328460405</v>
      </c>
      <c r="DH41" s="40">
        <f t="shared" si="61"/>
        <v>132.97532815480866</v>
      </c>
    </row>
    <row r="42" spans="2:112">
      <c r="G42" s="286"/>
      <c r="H42" s="289"/>
      <c r="I42" s="287"/>
      <c r="J42" s="134">
        <f>J40+10*LOG10(D35)</f>
        <v>118.45098040014257</v>
      </c>
      <c r="K42" s="122" t="s">
        <v>13</v>
      </c>
      <c r="O42" s="112">
        <f t="shared" si="49"/>
        <v>39</v>
      </c>
      <c r="P42" s="138">
        <f t="shared" si="57"/>
        <v>14.75</v>
      </c>
      <c r="Q42" s="146"/>
      <c r="R42" s="56">
        <f t="shared" si="11"/>
        <v>23.375840406283636</v>
      </c>
      <c r="S42" s="56">
        <f t="shared" si="12"/>
        <v>0.51703536918565907</v>
      </c>
      <c r="T42" s="56">
        <f t="shared" si="13"/>
        <v>23.892875775469296</v>
      </c>
      <c r="U42" s="154">
        <f t="shared" si="51"/>
        <v>134.9375862978745</v>
      </c>
      <c r="V42" s="149">
        <f t="shared" si="14"/>
        <v>4.4665201942799326</v>
      </c>
      <c r="W42" s="162">
        <f t="shared" si="15"/>
        <v>15.654665373087994</v>
      </c>
      <c r="X42" s="4">
        <f t="shared" si="39"/>
        <v>98.884469621775082</v>
      </c>
      <c r="AK42" s="192">
        <f t="shared" si="41"/>
        <v>39</v>
      </c>
      <c r="AL42" s="202">
        <f t="shared" si="42"/>
        <v>1475</v>
      </c>
      <c r="AM42" s="171"/>
      <c r="AN42" s="171">
        <f t="shared" si="22"/>
        <v>63.375840406283636</v>
      </c>
      <c r="AO42" s="171">
        <f t="shared" si="23"/>
        <v>51.703536918565916</v>
      </c>
      <c r="AP42" s="171">
        <f t="shared" si="24"/>
        <v>115.07937732484956</v>
      </c>
      <c r="AQ42" s="53">
        <f t="shared" si="52"/>
        <v>68.100763632772356</v>
      </c>
      <c r="AR42" s="198">
        <f t="shared" si="25"/>
        <v>2.0329568869800387E-3</v>
      </c>
      <c r="AS42" s="211">
        <f t="shared" si="26"/>
        <v>567503.92065771262</v>
      </c>
      <c r="AT42" s="171">
        <f t="shared" si="27"/>
        <v>1631.5937487592848</v>
      </c>
      <c r="BB42" s="40"/>
      <c r="BC42" s="167">
        <f t="shared" si="53"/>
        <v>46.751680812567272</v>
      </c>
      <c r="BD42" s="165">
        <f t="shared" si="54"/>
        <v>47.268716181752929</v>
      </c>
      <c r="BF42" s="14">
        <f t="shared" si="55"/>
        <v>-0.82055351612664751</v>
      </c>
      <c r="BG42" s="140">
        <f t="shared" si="56"/>
        <v>115.80239114576575</v>
      </c>
      <c r="BH42" s="170">
        <f t="shared" si="28"/>
        <v>0.49341181454212713</v>
      </c>
      <c r="BI42" s="169">
        <f t="shared" si="29"/>
        <v>253.78355979616916</v>
      </c>
      <c r="BJ42" s="169">
        <f t="shared" si="30"/>
        <v>177.08754896942929</v>
      </c>
      <c r="BL42" s="175">
        <f t="shared" si="43"/>
        <v>39</v>
      </c>
      <c r="BM42" s="180">
        <f t="shared" si="44"/>
        <v>157.5</v>
      </c>
      <c r="BO42" s="181">
        <f t="shared" si="32"/>
        <v>43.945611162512385</v>
      </c>
      <c r="BP42" s="181">
        <f t="shared" si="33"/>
        <v>5.5208861455417839</v>
      </c>
      <c r="BQ42" s="182">
        <f t="shared" si="34"/>
        <v>129.36396476528961</v>
      </c>
      <c r="BR42" s="183">
        <f t="shared" si="35"/>
        <v>2.3511927031963444</v>
      </c>
      <c r="BS42" s="187">
        <f t="shared" si="36"/>
        <v>297.38897593777165</v>
      </c>
      <c r="BT42" s="183">
        <f t="shared" si="37"/>
        <v>699.21879023592192</v>
      </c>
      <c r="BW42" s="53">
        <f t="shared" si="7"/>
        <v>87.891222325024771</v>
      </c>
      <c r="BY42" s="14">
        <f t="shared" si="8"/>
        <v>18.672519401511479</v>
      </c>
      <c r="BZ42" s="53">
        <f t="shared" si="9"/>
        <v>109.15207177459025</v>
      </c>
      <c r="CZ42" s="14">
        <f t="shared" si="58"/>
        <v>11.46128035678238</v>
      </c>
      <c r="DB42" s="140">
        <f t="shared" si="59"/>
        <v>95.927525911609649</v>
      </c>
      <c r="DC42" s="40"/>
      <c r="DG42" s="88">
        <f t="shared" si="60"/>
        <v>34.383841070347138</v>
      </c>
      <c r="DH42" s="40">
        <f t="shared" si="61"/>
        <v>132.60843744590875</v>
      </c>
    </row>
    <row r="43" spans="2:112">
      <c r="G43" s="290" t="s">
        <v>219</v>
      </c>
      <c r="H43" s="290"/>
      <c r="I43" s="290"/>
      <c r="J43" s="128">
        <f>J42-J9</f>
        <v>94.528582859539512</v>
      </c>
      <c r="K43" s="135" t="s">
        <v>13</v>
      </c>
      <c r="O43" s="112">
        <f t="shared" si="49"/>
        <v>40</v>
      </c>
      <c r="P43" s="138">
        <f t="shared" si="57"/>
        <v>15.125</v>
      </c>
      <c r="Q43" s="146"/>
      <c r="R43" s="56">
        <f t="shared" si="11"/>
        <v>23.593907666490132</v>
      </c>
      <c r="S43" s="56">
        <f t="shared" si="12"/>
        <v>0.53018033619885385</v>
      </c>
      <c r="T43" s="56">
        <f t="shared" si="13"/>
        <v>24.124088002688985</v>
      </c>
      <c r="U43" s="154">
        <f t="shared" si="51"/>
        <v>134.70637407065482</v>
      </c>
      <c r="V43" s="149">
        <f t="shared" si="14"/>
        <v>4.3491931017329568</v>
      </c>
      <c r="W43" s="162">
        <f t="shared" si="15"/>
        <v>16.076977358336098</v>
      </c>
      <c r="X43" s="4">
        <f t="shared" si="39"/>
        <v>98.884469621775054</v>
      </c>
      <c r="AK43" s="192">
        <f t="shared" si="41"/>
        <v>40</v>
      </c>
      <c r="AL43" s="202">
        <f t="shared" si="42"/>
        <v>1512.5</v>
      </c>
      <c r="AM43" s="171"/>
      <c r="AN43" s="171">
        <f t="shared" si="22"/>
        <v>63.593907666490132</v>
      </c>
      <c r="AO43" s="171">
        <f t="shared" si="23"/>
        <v>53.018033619885387</v>
      </c>
      <c r="AP43" s="171">
        <f t="shared" si="24"/>
        <v>116.61194128637553</v>
      </c>
      <c r="AQ43" s="53">
        <f t="shared" si="52"/>
        <v>66.56819967124639</v>
      </c>
      <c r="AR43" s="198">
        <f t="shared" si="25"/>
        <v>1.7041192037740096E-3</v>
      </c>
      <c r="AS43" s="211">
        <f t="shared" si="26"/>
        <v>677013.08766089857</v>
      </c>
      <c r="AT43" s="171">
        <f t="shared" si="27"/>
        <v>1631.5937487592903</v>
      </c>
      <c r="BB43" s="40"/>
      <c r="BC43" s="167">
        <f t="shared" si="53"/>
        <v>47.187815332980264</v>
      </c>
      <c r="BD43" s="165">
        <f t="shared" si="54"/>
        <v>47.717995669179118</v>
      </c>
      <c r="BF43" s="14">
        <f t="shared" si="55"/>
        <v>-0.71151988602339955</v>
      </c>
      <c r="BG43" s="140">
        <f t="shared" si="56"/>
        <v>115.46214528844281</v>
      </c>
      <c r="BH43" s="170">
        <f t="shared" si="28"/>
        <v>0.47445742927995893</v>
      </c>
      <c r="BI43" s="169">
        <f t="shared" si="29"/>
        <v>263.92211189531378</v>
      </c>
      <c r="BJ43" s="169">
        <f t="shared" si="30"/>
        <v>177.08754896942929</v>
      </c>
      <c r="BL43" s="175">
        <f t="shared" si="43"/>
        <v>40</v>
      </c>
      <c r="BM43" s="180">
        <f t="shared" si="44"/>
        <v>161.25</v>
      </c>
      <c r="BO43" s="181">
        <f t="shared" si="32"/>
        <v>44.149994466146111</v>
      </c>
      <c r="BP43" s="181">
        <f t="shared" si="33"/>
        <v>5.6523358156737311</v>
      </c>
      <c r="BQ43" s="182">
        <f t="shared" si="34"/>
        <v>129.02813179152395</v>
      </c>
      <c r="BR43" s="183">
        <f t="shared" si="35"/>
        <v>2.2620207087710593</v>
      </c>
      <c r="BS43" s="187">
        <f t="shared" si="36"/>
        <v>309.11246193488802</v>
      </c>
      <c r="BT43" s="183">
        <f t="shared" si="37"/>
        <v>699.21879023592248</v>
      </c>
      <c r="BW43" s="53">
        <f t="shared" si="7"/>
        <v>88.299988932292223</v>
      </c>
      <c r="BY43" s="14">
        <f t="shared" si="8"/>
        <v>18.774711053328343</v>
      </c>
      <c r="BZ43" s="53">
        <f t="shared" si="9"/>
        <v>108.71404714900771</v>
      </c>
      <c r="CZ43" s="14">
        <f t="shared" si="58"/>
        <v>11.57607853361668</v>
      </c>
      <c r="DB43" s="140">
        <f t="shared" si="59"/>
        <v>95.569986414093549</v>
      </c>
      <c r="DC43" s="40"/>
      <c r="DG43" s="88">
        <f t="shared" si="60"/>
        <v>34.728235600850041</v>
      </c>
      <c r="DH43" s="40">
        <f t="shared" si="61"/>
        <v>132.25089794839263</v>
      </c>
    </row>
    <row r="44" spans="2:112">
      <c r="G44" s="288" t="s">
        <v>220</v>
      </c>
      <c r="H44" s="288"/>
      <c r="I44" s="288"/>
      <c r="J44" s="288"/>
      <c r="K44" s="288"/>
      <c r="O44" s="112">
        <f t="shared" si="49"/>
        <v>41</v>
      </c>
      <c r="P44" s="138">
        <f t="shared" si="57"/>
        <v>15.5</v>
      </c>
      <c r="Q44" s="146"/>
      <c r="R44" s="56">
        <f t="shared" si="11"/>
        <v>23.806633963405829</v>
      </c>
      <c r="S44" s="56">
        <f t="shared" si="12"/>
        <v>0.54332530321204853</v>
      </c>
      <c r="T44" s="56">
        <f t="shared" si="13"/>
        <v>24.349959266617876</v>
      </c>
      <c r="U44" s="154">
        <f t="shared" si="51"/>
        <v>134.48050280672592</v>
      </c>
      <c r="V44" s="149">
        <f t="shared" si="14"/>
        <v>4.2375528464907628</v>
      </c>
      <c r="W44" s="162">
        <f t="shared" si="15"/>
        <v>16.500532632058277</v>
      </c>
      <c r="X44" s="4">
        <f t="shared" si="39"/>
        <v>98.884469621775025</v>
      </c>
      <c r="AK44" s="192">
        <f t="shared" si="41"/>
        <v>41</v>
      </c>
      <c r="AL44" s="202">
        <f t="shared" si="42"/>
        <v>1550</v>
      </c>
      <c r="AM44" s="171"/>
      <c r="AN44" s="171">
        <f t="shared" si="22"/>
        <v>63.806633963405829</v>
      </c>
      <c r="AO44" s="171">
        <f t="shared" si="23"/>
        <v>54.332530321204857</v>
      </c>
      <c r="AP44" s="171">
        <f t="shared" si="24"/>
        <v>118.13916428461069</v>
      </c>
      <c r="AQ44" s="53">
        <f t="shared" si="52"/>
        <v>65.04097667301123</v>
      </c>
      <c r="AR44" s="198">
        <f t="shared" si="25"/>
        <v>1.4293507722436204E-3</v>
      </c>
      <c r="AS44" s="211">
        <f t="shared" si="26"/>
        <v>807157.3656327324</v>
      </c>
      <c r="AT44" s="171">
        <f t="shared" si="27"/>
        <v>1631.5937487592878</v>
      </c>
      <c r="BB44" s="40"/>
      <c r="BC44" s="167">
        <f t="shared" si="53"/>
        <v>47.613267926811659</v>
      </c>
      <c r="BD44" s="165">
        <f t="shared" si="54"/>
        <v>48.156593230023709</v>
      </c>
      <c r="BF44" s="14">
        <f t="shared" si="55"/>
        <v>-0.60515673756555088</v>
      </c>
      <c r="BG44" s="140">
        <f t="shared" si="56"/>
        <v>115.12991087605607</v>
      </c>
      <c r="BH44" s="170">
        <f t="shared" si="28"/>
        <v>0.45665217530903618</v>
      </c>
      <c r="BI44" s="169">
        <f t="shared" si="29"/>
        <v>274.21265792776933</v>
      </c>
      <c r="BJ44" s="169">
        <f t="shared" si="30"/>
        <v>177.08754896942963</v>
      </c>
      <c r="BL44" s="175">
        <f t="shared" si="43"/>
        <v>41</v>
      </c>
      <c r="BM44" s="180">
        <f t="shared" si="44"/>
        <v>165</v>
      </c>
      <c r="BO44" s="181">
        <f t="shared" si="32"/>
        <v>44.349678884278127</v>
      </c>
      <c r="BP44" s="181">
        <f t="shared" si="33"/>
        <v>5.7837854858056792</v>
      </c>
      <c r="BQ44" s="182">
        <f t="shared" si="34"/>
        <v>128.69699770326</v>
      </c>
      <c r="BR44" s="183">
        <f t="shared" si="35"/>
        <v>2.1774082904387231</v>
      </c>
      <c r="BS44" s="187">
        <f t="shared" si="36"/>
        <v>321.12433543414056</v>
      </c>
      <c r="BT44" s="183">
        <f t="shared" si="37"/>
        <v>699.21879023592305</v>
      </c>
      <c r="BW44" s="53">
        <f t="shared" si="7"/>
        <v>88.699357768556254</v>
      </c>
      <c r="BY44" s="14">
        <f t="shared" si="8"/>
        <v>18.87455326239435</v>
      </c>
      <c r="BZ44" s="53">
        <f t="shared" si="9"/>
        <v>108.28307085167773</v>
      </c>
      <c r="CZ44" s="14">
        <f t="shared" si="58"/>
        <v>11.687920203141818</v>
      </c>
      <c r="DB44" s="140">
        <f t="shared" si="59"/>
        <v>95.221316438504942</v>
      </c>
      <c r="DC44" s="40"/>
      <c r="DG44" s="88">
        <f t="shared" si="60"/>
        <v>35.063760609425451</v>
      </c>
      <c r="DH44" s="40">
        <f t="shared" si="61"/>
        <v>131.90222797280404</v>
      </c>
    </row>
    <row r="45" spans="2:112">
      <c r="G45" s="285">
        <v>1</v>
      </c>
      <c r="H45" s="285"/>
      <c r="I45" s="285"/>
      <c r="J45" s="115">
        <f>D29*(D37/1000000)/2</f>
        <v>0.375</v>
      </c>
      <c r="K45" s="111" t="s">
        <v>7</v>
      </c>
      <c r="O45" s="112">
        <f t="shared" si="49"/>
        <v>42</v>
      </c>
      <c r="P45" s="138">
        <f t="shared" si="57"/>
        <v>15.875</v>
      </c>
      <c r="Q45" s="146"/>
      <c r="R45" s="56">
        <f t="shared" si="11"/>
        <v>24.014274679280266</v>
      </c>
      <c r="S45" s="56">
        <f t="shared" si="12"/>
        <v>0.55647027022524331</v>
      </c>
      <c r="T45" s="56">
        <f t="shared" si="13"/>
        <v>24.57074494950551</v>
      </c>
      <c r="U45" s="154">
        <f t="shared" si="51"/>
        <v>134.2597171238383</v>
      </c>
      <c r="V45" s="149">
        <f t="shared" si="14"/>
        <v>4.1311964099834029</v>
      </c>
      <c r="W45" s="162">
        <f t="shared" si="15"/>
        <v>16.925333991533279</v>
      </c>
      <c r="X45" s="4">
        <f t="shared" si="39"/>
        <v>98.884469621775111</v>
      </c>
      <c r="AK45" s="192">
        <f t="shared" si="41"/>
        <v>42</v>
      </c>
      <c r="AL45" s="202">
        <f t="shared" si="42"/>
        <v>1587.5</v>
      </c>
      <c r="AM45" s="171"/>
      <c r="AN45" s="171">
        <f t="shared" si="22"/>
        <v>64.014274679280277</v>
      </c>
      <c r="AO45" s="171">
        <f t="shared" si="23"/>
        <v>55.647027022524327</v>
      </c>
      <c r="AP45" s="171">
        <f t="shared" si="24"/>
        <v>119.6613017018046</v>
      </c>
      <c r="AQ45" s="53">
        <f t="shared" si="52"/>
        <v>63.518839255817312</v>
      </c>
      <c r="AR45" s="198">
        <f t="shared" si="25"/>
        <v>1.1995875500729052E-3</v>
      </c>
      <c r="AS45" s="211">
        <f t="shared" si="26"/>
        <v>961756.4002053499</v>
      </c>
      <c r="AT45" s="171">
        <f t="shared" si="27"/>
        <v>1631.5937487592876</v>
      </c>
      <c r="BB45" s="40"/>
      <c r="BC45" s="167">
        <f t="shared" si="53"/>
        <v>48.028549358560532</v>
      </c>
      <c r="BD45" s="165">
        <f t="shared" si="54"/>
        <v>48.585019628785773</v>
      </c>
      <c r="BF45" s="14">
        <f t="shared" si="55"/>
        <v>-0.50133637962833255</v>
      </c>
      <c r="BG45" s="140">
        <f t="shared" si="56"/>
        <v>114.80530483523123</v>
      </c>
      <c r="BH45" s="170">
        <f t="shared" si="28"/>
        <v>0.43990128312903004</v>
      </c>
      <c r="BI45" s="169">
        <f t="shared" si="29"/>
        <v>284.65433392077495</v>
      </c>
      <c r="BJ45" s="169">
        <f t="shared" si="30"/>
        <v>177.08754896942935</v>
      </c>
      <c r="BL45" s="175">
        <f t="shared" si="43"/>
        <v>42</v>
      </c>
      <c r="BM45" s="180">
        <f t="shared" si="44"/>
        <v>168.75</v>
      </c>
      <c r="BO45" s="181">
        <f t="shared" si="32"/>
        <v>44.544875630061249</v>
      </c>
      <c r="BP45" s="181">
        <f t="shared" si="33"/>
        <v>5.9152351559376264</v>
      </c>
      <c r="BQ45" s="182">
        <f t="shared" si="34"/>
        <v>128.37035128734493</v>
      </c>
      <c r="BR45" s="183">
        <f t="shared" si="35"/>
        <v>2.0970440408893913</v>
      </c>
      <c r="BS45" s="187">
        <f t="shared" si="36"/>
        <v>333.43066554738323</v>
      </c>
      <c r="BT45" s="183">
        <f t="shared" si="37"/>
        <v>699.21879023592373</v>
      </c>
      <c r="BW45" s="53">
        <f t="shared" si="7"/>
        <v>89.089751260122497</v>
      </c>
      <c r="BY45" s="14">
        <f t="shared" si="8"/>
        <v>18.972151635285911</v>
      </c>
      <c r="BZ45" s="53">
        <f t="shared" si="9"/>
        <v>107.85882606287112</v>
      </c>
      <c r="CZ45" s="14">
        <f t="shared" si="58"/>
        <v>11.796953833245066</v>
      </c>
      <c r="DB45" s="140">
        <f t="shared" si="59"/>
        <v>94.881070581182001</v>
      </c>
      <c r="DC45" s="40"/>
      <c r="DG45" s="88">
        <f t="shared" si="60"/>
        <v>35.390861499735195</v>
      </c>
      <c r="DH45" s="40">
        <f t="shared" si="61"/>
        <v>131.5619821154811</v>
      </c>
    </row>
    <row r="46" spans="2:112">
      <c r="G46" s="285">
        <v>2</v>
      </c>
      <c r="H46" s="285"/>
      <c r="I46" s="285"/>
      <c r="J46" s="115">
        <f>$D$29*(D38/1000000)/2</f>
        <v>3.75</v>
      </c>
      <c r="K46" s="111" t="s">
        <v>7</v>
      </c>
      <c r="O46" s="112">
        <f t="shared" si="49"/>
        <v>43</v>
      </c>
      <c r="P46" s="138">
        <f t="shared" si="57"/>
        <v>16.25</v>
      </c>
      <c r="Q46" s="146"/>
      <c r="R46" s="56">
        <f t="shared" si="11"/>
        <v>24.217067306297864</v>
      </c>
      <c r="S46" s="56">
        <f t="shared" si="12"/>
        <v>0.5696152372384381</v>
      </c>
      <c r="T46" s="56">
        <f t="shared" si="13"/>
        <v>24.786682543536301</v>
      </c>
      <c r="U46" s="154">
        <f t="shared" si="51"/>
        <v>134.04377952980749</v>
      </c>
      <c r="V46" s="149">
        <f t="shared" si="14"/>
        <v>4.0297579753762642</v>
      </c>
      <c r="W46" s="162">
        <f t="shared" si="15"/>
        <v>17.351384239661094</v>
      </c>
      <c r="X46" s="4">
        <f t="shared" si="39"/>
        <v>98.884469621775068</v>
      </c>
      <c r="AK46" s="192">
        <f t="shared" si="41"/>
        <v>43</v>
      </c>
      <c r="AL46" s="202">
        <f t="shared" si="42"/>
        <v>1625</v>
      </c>
      <c r="AM46" s="171"/>
      <c r="AN46" s="171">
        <f t="shared" si="22"/>
        <v>64.217067306297864</v>
      </c>
      <c r="AO46" s="171">
        <f t="shared" si="23"/>
        <v>56.961523723843804</v>
      </c>
      <c r="AP46" s="171">
        <f t="shared" si="24"/>
        <v>121.17859103014166</v>
      </c>
      <c r="AQ46" s="53">
        <f t="shared" si="52"/>
        <v>62.001549927480255</v>
      </c>
      <c r="AR46" s="198">
        <f t="shared" si="25"/>
        <v>1.0073200616009356E-3</v>
      </c>
      <c r="AS46" s="211">
        <f t="shared" si="26"/>
        <v>1145327.1386809065</v>
      </c>
      <c r="AT46" s="171">
        <f t="shared" si="27"/>
        <v>1631.5937487592903</v>
      </c>
      <c r="BB46" s="40"/>
      <c r="BC46" s="167">
        <f t="shared" si="53"/>
        <v>48.434134612595727</v>
      </c>
      <c r="BD46" s="165">
        <f t="shared" si="54"/>
        <v>49.003749849834165</v>
      </c>
      <c r="BF46" s="14">
        <f t="shared" si="55"/>
        <v>-0.39994006611953381</v>
      </c>
      <c r="BG46" s="140">
        <f t="shared" si="56"/>
        <v>114.48797092769161</v>
      </c>
      <c r="BH46" s="170">
        <f t="shared" si="28"/>
        <v>0.42411978578042381</v>
      </c>
      <c r="BI46" s="169">
        <f t="shared" si="29"/>
        <v>295.24632176631582</v>
      </c>
      <c r="BJ46" s="169">
        <f t="shared" si="30"/>
        <v>177.08754896942887</v>
      </c>
      <c r="BL46" s="175">
        <f t="shared" si="43"/>
        <v>43</v>
      </c>
      <c r="BM46" s="180">
        <f t="shared" si="44"/>
        <v>172.5</v>
      </c>
      <c r="BO46" s="181">
        <f t="shared" si="32"/>
        <v>44.735781988185856</v>
      </c>
      <c r="BP46" s="181">
        <f t="shared" si="33"/>
        <v>6.0466848260695727</v>
      </c>
      <c r="BQ46" s="182">
        <f t="shared" si="34"/>
        <v>128.04799525908837</v>
      </c>
      <c r="BR46" s="183">
        <f t="shared" si="35"/>
        <v>2.0206437409623033</v>
      </c>
      <c r="BS46" s="187">
        <f t="shared" si="36"/>
        <v>346.03763942224174</v>
      </c>
      <c r="BT46" s="183">
        <f t="shared" si="37"/>
        <v>699.21879023592317</v>
      </c>
      <c r="BW46" s="53">
        <f t="shared" si="7"/>
        <v>89.471563976371712</v>
      </c>
      <c r="BY46" s="14">
        <f t="shared" si="8"/>
        <v>19.067604814348215</v>
      </c>
      <c r="BZ46" s="53">
        <f t="shared" si="9"/>
        <v>107.44101685555225</v>
      </c>
      <c r="CZ46" s="14">
        <f t="shared" si="58"/>
        <v>11.903316981702915</v>
      </c>
      <c r="DB46" s="140">
        <f t="shared" si="59"/>
        <v>94.548836168795262</v>
      </c>
      <c r="DC46" s="40"/>
      <c r="DG46" s="88">
        <f t="shared" si="60"/>
        <v>35.709950945108744</v>
      </c>
      <c r="DH46" s="40">
        <f t="shared" si="61"/>
        <v>131.22974770309435</v>
      </c>
    </row>
    <row r="47" spans="2:112">
      <c r="G47" s="285">
        <v>3</v>
      </c>
      <c r="H47" s="285"/>
      <c r="I47" s="285"/>
      <c r="J47" s="194">
        <f>$D$29*(D39/1000000)/2</f>
        <v>37.5</v>
      </c>
      <c r="K47" s="111" t="s">
        <v>7</v>
      </c>
      <c r="O47" s="112">
        <f t="shared" ref="O47:O69" si="62">1+O46</f>
        <v>44</v>
      </c>
      <c r="P47" s="138">
        <f t="shared" si="57"/>
        <v>16.625</v>
      </c>
      <c r="Q47" s="146"/>
      <c r="R47" s="56">
        <f t="shared" si="11"/>
        <v>24.415233079502844</v>
      </c>
      <c r="S47" s="56">
        <f t="shared" si="12"/>
        <v>0.58276020425163277</v>
      </c>
      <c r="T47" s="56">
        <f t="shared" si="13"/>
        <v>24.997993283754475</v>
      </c>
      <c r="U47" s="154">
        <f t="shared" si="51"/>
        <v>133.83246878958931</v>
      </c>
      <c r="V47" s="149">
        <f t="shared" si="14"/>
        <v>3.9329047318856305</v>
      </c>
      <c r="W47" s="162">
        <f t="shared" si="15"/>
        <v>17.778686184973562</v>
      </c>
      <c r="X47" s="4">
        <f t="shared" si="39"/>
        <v>98.884469621774926</v>
      </c>
      <c r="AK47" s="192">
        <f t="shared" si="41"/>
        <v>44</v>
      </c>
      <c r="AL47" s="202">
        <f t="shared" si="42"/>
        <v>1662.5</v>
      </c>
      <c r="AM47" s="171"/>
      <c r="AN47" s="171">
        <f t="shared" si="22"/>
        <v>64.41523307950284</v>
      </c>
      <c r="AO47" s="171">
        <f t="shared" si="23"/>
        <v>58.276020425163281</v>
      </c>
      <c r="AP47" s="171">
        <f t="shared" si="24"/>
        <v>122.69125350466612</v>
      </c>
      <c r="AQ47" s="53">
        <f t="shared" si="52"/>
        <v>60.488887452955794</v>
      </c>
      <c r="AR47" s="198">
        <f t="shared" si="25"/>
        <v>8.4631952356919657E-4</v>
      </c>
      <c r="AS47" s="211">
        <f t="shared" si="26"/>
        <v>1363209.7237030605</v>
      </c>
      <c r="AT47" s="171">
        <f t="shared" si="27"/>
        <v>1631.5937487592846</v>
      </c>
      <c r="BB47" s="40"/>
      <c r="BC47" s="167">
        <f t="shared" si="53"/>
        <v>48.830466159005688</v>
      </c>
      <c r="BD47" s="165">
        <f t="shared" si="54"/>
        <v>49.413226363257323</v>
      </c>
      <c r="BF47" s="14">
        <f t="shared" si="55"/>
        <v>-0.3008571795170436</v>
      </c>
      <c r="BG47" s="140">
        <f t="shared" si="56"/>
        <v>114.17757730087095</v>
      </c>
      <c r="BH47" s="170">
        <f t="shared" si="28"/>
        <v>0.40923130826479365</v>
      </c>
      <c r="BI47" s="169">
        <f t="shared" si="29"/>
        <v>305.98784650895897</v>
      </c>
      <c r="BJ47" s="169">
        <f t="shared" si="30"/>
        <v>177.08754896942915</v>
      </c>
      <c r="BL47" s="175">
        <f t="shared" si="43"/>
        <v>44</v>
      </c>
      <c r="BM47" s="180">
        <f t="shared" si="44"/>
        <v>176.25</v>
      </c>
      <c r="BO47" s="181">
        <f t="shared" si="32"/>
        <v>44.922582513268729</v>
      </c>
      <c r="BP47" s="181">
        <f t="shared" si="33"/>
        <v>6.1781344962015199</v>
      </c>
      <c r="BQ47" s="182">
        <f t="shared" si="34"/>
        <v>127.72974506387354</v>
      </c>
      <c r="BR47" s="183">
        <f t="shared" si="35"/>
        <v>1.9479474656835631</v>
      </c>
      <c r="BS47" s="187">
        <f t="shared" si="36"/>
        <v>358.95156443069436</v>
      </c>
      <c r="BT47" s="183">
        <f t="shared" si="37"/>
        <v>699.21879023592135</v>
      </c>
      <c r="BW47" s="53">
        <f t="shared" si="7"/>
        <v>89.845165026537458</v>
      </c>
      <c r="BY47" s="14">
        <f t="shared" si="8"/>
        <v>19.161005076889651</v>
      </c>
      <c r="BZ47" s="53">
        <f t="shared" si="9"/>
        <v>107.029366397796</v>
      </c>
      <c r="CZ47" s="14">
        <f t="shared" si="58"/>
        <v>12.007137339640133</v>
      </c>
      <c r="DB47" s="140">
        <f t="shared" si="59"/>
        <v>94.224230127970415</v>
      </c>
      <c r="DC47" s="40"/>
      <c r="DG47" s="88">
        <f t="shared" si="60"/>
        <v>36.021412018920401</v>
      </c>
      <c r="DH47" s="40">
        <f t="shared" si="61"/>
        <v>130.9051416622695</v>
      </c>
    </row>
    <row r="48" spans="2:112">
      <c r="O48" s="112">
        <f t="shared" si="62"/>
        <v>45</v>
      </c>
      <c r="P48" s="138">
        <f t="shared" si="57"/>
        <v>17</v>
      </c>
      <c r="Q48" s="146"/>
      <c r="R48" s="56">
        <f t="shared" si="11"/>
        <v>24.608978427565479</v>
      </c>
      <c r="S48" s="56">
        <f t="shared" si="12"/>
        <v>0.59590517126482756</v>
      </c>
      <c r="T48" s="56">
        <f t="shared" si="13"/>
        <v>25.204883598830307</v>
      </c>
      <c r="U48" s="154">
        <f t="shared" si="51"/>
        <v>133.62557847451347</v>
      </c>
      <c r="V48" s="149">
        <f t="shared" si="14"/>
        <v>3.8403332344053744</v>
      </c>
      <c r="W48" s="162">
        <f t="shared" si="15"/>
        <v>18.207242641645031</v>
      </c>
      <c r="X48" s="4">
        <f t="shared" si="39"/>
        <v>98.884469621774798</v>
      </c>
      <c r="AK48" s="192">
        <f t="shared" si="41"/>
        <v>45</v>
      </c>
      <c r="AL48" s="202">
        <f t="shared" si="42"/>
        <v>1700</v>
      </c>
      <c r="AM48" s="171"/>
      <c r="AN48" s="171">
        <f t="shared" si="22"/>
        <v>64.608978427565489</v>
      </c>
      <c r="AO48" s="171">
        <f t="shared" si="23"/>
        <v>59.590517126482744</v>
      </c>
      <c r="AP48" s="171">
        <f t="shared" si="24"/>
        <v>124.19949555404824</v>
      </c>
      <c r="AQ48" s="53">
        <f t="shared" si="52"/>
        <v>58.980645403573675</v>
      </c>
      <c r="AR48" s="198">
        <f t="shared" si="25"/>
        <v>7.1141375380220776E-4</v>
      </c>
      <c r="AS48" s="211">
        <f t="shared" si="26"/>
        <v>1621715.9110618418</v>
      </c>
      <c r="AT48" s="171">
        <f t="shared" si="27"/>
        <v>1631.5937487592876</v>
      </c>
      <c r="BB48" s="40"/>
      <c r="BC48" s="167">
        <f t="shared" si="53"/>
        <v>49.217956855130957</v>
      </c>
      <c r="BD48" s="165">
        <f t="shared" si="54"/>
        <v>49.813862026395782</v>
      </c>
      <c r="BF48" s="14">
        <f t="shared" si="55"/>
        <v>-0.20398450548572633</v>
      </c>
      <c r="BG48" s="140">
        <f t="shared" si="56"/>
        <v>113.87381431176382</v>
      </c>
      <c r="BH48" s="170">
        <f t="shared" si="28"/>
        <v>0.39516702970576711</v>
      </c>
      <c r="BI48" s="169">
        <f t="shared" si="29"/>
        <v>316.87817385277395</v>
      </c>
      <c r="BJ48" s="169">
        <f t="shared" si="30"/>
        <v>177.08754896942946</v>
      </c>
      <c r="BL48" s="175">
        <f t="shared" si="43"/>
        <v>45</v>
      </c>
      <c r="BM48" s="180">
        <f t="shared" si="44"/>
        <v>180</v>
      </c>
      <c r="BO48" s="181">
        <f t="shared" si="32"/>
        <v>45.105450102066122</v>
      </c>
      <c r="BP48" s="181">
        <f t="shared" si="33"/>
        <v>6.3095841663334671</v>
      </c>
      <c r="BQ48" s="182">
        <f t="shared" si="34"/>
        <v>127.41542780494422</v>
      </c>
      <c r="BR48" s="183">
        <f t="shared" si="35"/>
        <v>1.8787170520727214</v>
      </c>
      <c r="BS48" s="187">
        <f t="shared" si="36"/>
        <v>372.17887039695523</v>
      </c>
      <c r="BT48" s="183">
        <f t="shared" si="37"/>
        <v>699.21879023592317</v>
      </c>
      <c r="BW48" s="53">
        <f t="shared" si="7"/>
        <v>90.210900204132244</v>
      </c>
      <c r="BY48" s="14">
        <f t="shared" si="8"/>
        <v>19.252438871288348</v>
      </c>
      <c r="BZ48" s="53">
        <f t="shared" si="9"/>
        <v>106.62361534446796</v>
      </c>
      <c r="CZ48" s="14">
        <f t="shared" si="58"/>
        <v>12.108533653148932</v>
      </c>
      <c r="DB48" s="140">
        <f t="shared" si="59"/>
        <v>93.906896220430824</v>
      </c>
      <c r="DC48" s="40"/>
      <c r="DG48" s="88">
        <f t="shared" si="60"/>
        <v>36.325600959446795</v>
      </c>
      <c r="DH48" s="40">
        <f t="shared" si="61"/>
        <v>130.58780775472991</v>
      </c>
    </row>
    <row r="49" spans="15:112">
      <c r="O49" s="112">
        <f t="shared" si="62"/>
        <v>46</v>
      </c>
      <c r="P49" s="138">
        <f t="shared" si="57"/>
        <v>17.375</v>
      </c>
      <c r="Q49" s="146"/>
      <c r="R49" s="56">
        <f t="shared" si="11"/>
        <v>24.798496265243028</v>
      </c>
      <c r="S49" s="56">
        <f t="shared" si="12"/>
        <v>0.60905013827802224</v>
      </c>
      <c r="T49" s="56">
        <f t="shared" si="13"/>
        <v>25.407546403521049</v>
      </c>
      <c r="U49" s="154">
        <f t="shared" si="51"/>
        <v>133.42291566982274</v>
      </c>
      <c r="V49" s="149">
        <f t="shared" si="14"/>
        <v>3.751766234548934</v>
      </c>
      <c r="W49" s="162">
        <f t="shared" si="15"/>
        <v>18.637056429502938</v>
      </c>
      <c r="X49" s="4">
        <f t="shared" si="39"/>
        <v>98.884469621774969</v>
      </c>
      <c r="AK49" s="192">
        <f t="shared" si="41"/>
        <v>46</v>
      </c>
      <c r="AL49" s="202">
        <f t="shared" si="42"/>
        <v>1737.5</v>
      </c>
      <c r="AM49" s="171"/>
      <c r="AN49" s="171">
        <f t="shared" si="22"/>
        <v>64.798496265243031</v>
      </c>
      <c r="AO49" s="171">
        <f t="shared" si="23"/>
        <v>60.905013827802222</v>
      </c>
      <c r="AP49" s="171">
        <f t="shared" si="24"/>
        <v>125.70351009304525</v>
      </c>
      <c r="AQ49" s="53">
        <f t="shared" si="52"/>
        <v>57.476630864576663</v>
      </c>
      <c r="AR49" s="198">
        <f t="shared" si="25"/>
        <v>5.9830348181972573E-4</v>
      </c>
      <c r="AS49" s="211">
        <f t="shared" si="26"/>
        <v>1928304.0111688599</v>
      </c>
      <c r="AT49" s="171">
        <f t="shared" si="27"/>
        <v>1631.5937487592873</v>
      </c>
      <c r="BB49" s="40"/>
      <c r="BC49" s="167">
        <f t="shared" si="53"/>
        <v>49.596992530486055</v>
      </c>
      <c r="BD49" s="165">
        <f t="shared" si="54"/>
        <v>50.206042668764077</v>
      </c>
      <c r="BF49" s="14">
        <f t="shared" si="55"/>
        <v>-0.10922558664695181</v>
      </c>
      <c r="BG49" s="140">
        <f t="shared" si="56"/>
        <v>113.5763925882343</v>
      </c>
      <c r="BH49" s="170">
        <f t="shared" si="28"/>
        <v>0.38186479042698196</v>
      </c>
      <c r="BI49" s="169">
        <f t="shared" si="29"/>
        <v>327.91660786524409</v>
      </c>
      <c r="BJ49" s="169">
        <f t="shared" si="30"/>
        <v>177.08754896942929</v>
      </c>
      <c r="BL49" s="175">
        <f t="shared" si="43"/>
        <v>46</v>
      </c>
      <c r="BM49" s="180">
        <f t="shared" si="44"/>
        <v>183.75</v>
      </c>
      <c r="BO49" s="181">
        <f t="shared" si="32"/>
        <v>45.284546955124654</v>
      </c>
      <c r="BP49" s="181">
        <f t="shared" si="33"/>
        <v>6.4410338364654143</v>
      </c>
      <c r="BQ49" s="182">
        <f t="shared" si="34"/>
        <v>127.10488128175373</v>
      </c>
      <c r="BR49" s="183">
        <f t="shared" si="35"/>
        <v>1.8127338770366073</v>
      </c>
      <c r="BS49" s="187">
        <f t="shared" si="36"/>
        <v>385.7261118653451</v>
      </c>
      <c r="BT49" s="183">
        <f t="shared" si="37"/>
        <v>699.21879023592317</v>
      </c>
      <c r="BW49" s="53">
        <f t="shared" si="7"/>
        <v>90.569093910249308</v>
      </c>
      <c r="BY49" s="14">
        <f t="shared" si="8"/>
        <v>19.341987297817614</v>
      </c>
      <c r="BZ49" s="53">
        <f t="shared" si="9"/>
        <v>106.22352039474822</v>
      </c>
      <c r="CZ49" s="14">
        <f t="shared" si="58"/>
        <v>12.207616539751422</v>
      </c>
      <c r="DB49" s="140">
        <f t="shared" si="59"/>
        <v>93.596502593610154</v>
      </c>
      <c r="DC49" s="40"/>
      <c r="DG49" s="88">
        <f t="shared" si="60"/>
        <v>36.622849619254268</v>
      </c>
      <c r="DH49" s="40">
        <f t="shared" si="61"/>
        <v>130.27741412790925</v>
      </c>
    </row>
    <row r="50" spans="15:112">
      <c r="O50" s="112">
        <f t="shared" si="62"/>
        <v>47</v>
      </c>
      <c r="P50" s="138">
        <f t="shared" si="57"/>
        <v>17.75</v>
      </c>
      <c r="Q50" s="146"/>
      <c r="R50" s="56">
        <f t="shared" si="11"/>
        <v>24.983967147822259</v>
      </c>
      <c r="S50" s="56">
        <f t="shared" si="12"/>
        <v>0.62219510529121691</v>
      </c>
      <c r="T50" s="56">
        <f t="shared" si="13"/>
        <v>25.606162253113474</v>
      </c>
      <c r="U50" s="154">
        <f t="shared" si="51"/>
        <v>133.22429982023033</v>
      </c>
      <c r="V50" s="149">
        <f t="shared" si="14"/>
        <v>3.6669499133901202</v>
      </c>
      <c r="W50" s="162">
        <f t="shared" si="15"/>
        <v>19.068130374038574</v>
      </c>
      <c r="X50" s="4">
        <f t="shared" si="39"/>
        <v>98.884469621775025</v>
      </c>
      <c r="AK50" s="192">
        <f t="shared" si="41"/>
        <v>47</v>
      </c>
      <c r="AL50" s="202">
        <f t="shared" si="42"/>
        <v>1775</v>
      </c>
      <c r="AM50" s="171"/>
      <c r="AN50" s="171">
        <f t="shared" si="22"/>
        <v>64.983967147822256</v>
      </c>
      <c r="AO50" s="171">
        <f t="shared" si="23"/>
        <v>62.219510529121692</v>
      </c>
      <c r="AP50" s="171">
        <f t="shared" si="24"/>
        <v>127.20347767694395</v>
      </c>
      <c r="AQ50" s="53">
        <f t="shared" si="52"/>
        <v>55.976663280677968</v>
      </c>
      <c r="AR50" s="198">
        <f t="shared" si="25"/>
        <v>5.0341152158174692E-4</v>
      </c>
      <c r="AS50" s="211">
        <f t="shared" si="26"/>
        <v>2291785.0593968299</v>
      </c>
      <c r="AT50" s="171">
        <f t="shared" si="27"/>
        <v>1631.5937487592876</v>
      </c>
      <c r="BB50" s="40"/>
      <c r="BC50" s="167">
        <f t="shared" si="53"/>
        <v>49.967934295644518</v>
      </c>
      <c r="BD50" s="165">
        <f t="shared" si="54"/>
        <v>50.590129400935737</v>
      </c>
      <c r="BF50" s="14">
        <f t="shared" si="55"/>
        <v>-1.6490145357336061E-2</v>
      </c>
      <c r="BG50" s="140">
        <f t="shared" si="56"/>
        <v>113.28504129735224</v>
      </c>
      <c r="BH50" s="170">
        <f t="shared" si="28"/>
        <v>0.36926832109495655</v>
      </c>
      <c r="BI50" s="169">
        <f t="shared" si="29"/>
        <v>339.10248885873938</v>
      </c>
      <c r="BJ50" s="169">
        <f t="shared" si="30"/>
        <v>177.08754896942878</v>
      </c>
      <c r="BL50" s="175">
        <f t="shared" si="43"/>
        <v>47</v>
      </c>
      <c r="BM50" s="180">
        <f t="shared" si="44"/>
        <v>187.5</v>
      </c>
      <c r="BO50" s="181">
        <f t="shared" si="32"/>
        <v>45.460025441274752</v>
      </c>
      <c r="BP50" s="181">
        <f t="shared" si="33"/>
        <v>6.5724835065973615</v>
      </c>
      <c r="BQ50" s="182">
        <f t="shared" si="34"/>
        <v>126.79795312547168</v>
      </c>
      <c r="BR50" s="183">
        <f t="shared" si="35"/>
        <v>1.7497969019379758</v>
      </c>
      <c r="BS50" s="187">
        <f t="shared" si="36"/>
        <v>399.59997040885537</v>
      </c>
      <c r="BT50" s="183">
        <f t="shared" si="37"/>
        <v>699.21879023592192</v>
      </c>
      <c r="BW50" s="53">
        <f t="shared" si="7"/>
        <v>90.920050882549504</v>
      </c>
      <c r="BY50" s="14">
        <f t="shared" si="8"/>
        <v>19.429726540892663</v>
      </c>
      <c r="BZ50" s="53">
        <f t="shared" si="9"/>
        <v>105.82885299539112</v>
      </c>
      <c r="CZ50" s="14">
        <f t="shared" si="58"/>
        <v>12.304489213782739</v>
      </c>
      <c r="DB50" s="140">
        <f t="shared" si="59"/>
        <v>93.292739604503012</v>
      </c>
      <c r="DC50" s="40"/>
      <c r="DG50" s="88">
        <f t="shared" si="60"/>
        <v>36.91346764134822</v>
      </c>
      <c r="DH50" s="40">
        <f t="shared" si="61"/>
        <v>129.9736511388021</v>
      </c>
    </row>
    <row r="51" spans="15:112">
      <c r="O51" s="112">
        <f t="shared" si="62"/>
        <v>48</v>
      </c>
      <c r="P51" s="138">
        <f t="shared" si="57"/>
        <v>18.125</v>
      </c>
      <c r="Q51" s="146"/>
      <c r="R51" s="56">
        <f t="shared" si="11"/>
        <v>25.165560304860627</v>
      </c>
      <c r="S51" s="56">
        <f t="shared" si="12"/>
        <v>0.63534007230441158</v>
      </c>
      <c r="T51" s="56">
        <f t="shared" si="13"/>
        <v>25.800900377165039</v>
      </c>
      <c r="U51" s="154">
        <f t="shared" si="51"/>
        <v>133.02956169617875</v>
      </c>
      <c r="V51" s="149">
        <f t="shared" si="14"/>
        <v>3.5856514577258674</v>
      </c>
      <c r="W51" s="162">
        <f t="shared" si="15"/>
        <v>19.500467306417661</v>
      </c>
      <c r="X51" s="4">
        <f t="shared" si="39"/>
        <v>98.884469621774784</v>
      </c>
      <c r="AK51" s="192">
        <f t="shared" si="41"/>
        <v>48</v>
      </c>
      <c r="AL51" s="202">
        <f t="shared" si="42"/>
        <v>1812.5</v>
      </c>
      <c r="AM51" s="171"/>
      <c r="AN51" s="171">
        <f t="shared" si="22"/>
        <v>65.165560304860634</v>
      </c>
      <c r="AO51" s="171">
        <f t="shared" si="23"/>
        <v>63.534007230441162</v>
      </c>
      <c r="AP51" s="171">
        <f t="shared" si="24"/>
        <v>128.69956753530181</v>
      </c>
      <c r="AQ51" s="53">
        <f t="shared" si="52"/>
        <v>54.480573422320106</v>
      </c>
      <c r="AR51" s="198">
        <f t="shared" si="25"/>
        <v>4.2375872975995081E-4</v>
      </c>
      <c r="AS51" s="211">
        <f t="shared" si="26"/>
        <v>2722565.7499559294</v>
      </c>
      <c r="AT51" s="171">
        <f t="shared" si="27"/>
        <v>1631.5937487592878</v>
      </c>
      <c r="BB51" s="40"/>
      <c r="BC51" s="167">
        <f t="shared" si="53"/>
        <v>50.331120609721253</v>
      </c>
      <c r="BD51" s="165">
        <f t="shared" si="54"/>
        <v>50.966460682025662</v>
      </c>
      <c r="BF51" s="14">
        <f t="shared" si="55"/>
        <v>7.4306433161847707E-2</v>
      </c>
      <c r="BG51" s="140">
        <f t="shared" si="56"/>
        <v>112.99950659478152</v>
      </c>
      <c r="BH51" s="170">
        <f t="shared" si="28"/>
        <v>0.35732657507412963</v>
      </c>
      <c r="BI51" s="169">
        <f t="shared" si="29"/>
        <v>350.43519143240593</v>
      </c>
      <c r="BJ51" s="169">
        <f t="shared" si="30"/>
        <v>177.08754896942978</v>
      </c>
      <c r="BL51" s="175">
        <f t="shared" si="43"/>
        <v>48</v>
      </c>
      <c r="BM51" s="180">
        <f t="shared" si="44"/>
        <v>191.25</v>
      </c>
      <c r="BO51" s="181">
        <f t="shared" si="32"/>
        <v>45.632028876513104</v>
      </c>
      <c r="BP51" s="181">
        <f t="shared" si="33"/>
        <v>6.7039331767293096</v>
      </c>
      <c r="BQ51" s="182">
        <f t="shared" si="34"/>
        <v>126.49450002010138</v>
      </c>
      <c r="BR51" s="183">
        <f t="shared" si="35"/>
        <v>1.6897209472360992</v>
      </c>
      <c r="BS51" s="187">
        <f t="shared" si="36"/>
        <v>413.80725697911515</v>
      </c>
      <c r="BT51" s="183">
        <f t="shared" si="37"/>
        <v>699.21879023592237</v>
      </c>
      <c r="BW51" s="53">
        <f t="shared" si="7"/>
        <v>91.264057753026208</v>
      </c>
      <c r="BY51" s="14">
        <f t="shared" si="8"/>
        <v>19.515728258511839</v>
      </c>
      <c r="BZ51" s="53">
        <f t="shared" si="9"/>
        <v>105.43939817240165</v>
      </c>
      <c r="CZ51" s="14">
        <f t="shared" si="58"/>
        <v>12.399248132621514</v>
      </c>
      <c r="DB51" s="140">
        <f t="shared" si="59"/>
        <v>92.995317880973488</v>
      </c>
      <c r="DC51" s="40"/>
      <c r="DG51" s="88">
        <f t="shared" si="60"/>
        <v>37.19774439786454</v>
      </c>
      <c r="DH51" s="40">
        <f t="shared" si="61"/>
        <v>129.67622941527259</v>
      </c>
    </row>
    <row r="52" spans="15:112">
      <c r="O52" s="112">
        <f t="shared" si="62"/>
        <v>49</v>
      </c>
      <c r="P52" s="138">
        <f t="shared" si="57"/>
        <v>18.5</v>
      </c>
      <c r="Q52" s="146"/>
      <c r="R52" s="56">
        <f t="shared" si="11"/>
        <v>25.343434568060275</v>
      </c>
      <c r="S52" s="56">
        <f t="shared" si="12"/>
        <v>0.64848503931760637</v>
      </c>
      <c r="T52" s="56">
        <f t="shared" si="13"/>
        <v>25.991919607377881</v>
      </c>
      <c r="U52" s="154">
        <f t="shared" si="51"/>
        <v>132.83854246596593</v>
      </c>
      <c r="V52" s="149">
        <f t="shared" si="14"/>
        <v>3.5076569311177841</v>
      </c>
      <c r="W52" s="162">
        <f t="shared" si="15"/>
        <v>19.93407006349117</v>
      </c>
      <c r="X52" s="4">
        <f t="shared" si="39"/>
        <v>98.884469621775111</v>
      </c>
      <c r="AK52" s="192">
        <f t="shared" si="41"/>
        <v>49</v>
      </c>
      <c r="AL52" s="202">
        <f t="shared" si="42"/>
        <v>1850</v>
      </c>
      <c r="AM52" s="171"/>
      <c r="AN52" s="171">
        <f t="shared" si="22"/>
        <v>65.343434568060275</v>
      </c>
      <c r="AO52" s="171">
        <f t="shared" si="23"/>
        <v>64.848503931760646</v>
      </c>
      <c r="AP52" s="171">
        <f t="shared" si="24"/>
        <v>130.19193849982094</v>
      </c>
      <c r="AQ52" s="53">
        <f t="shared" si="52"/>
        <v>52.98820245780098</v>
      </c>
      <c r="AR52" s="198">
        <f t="shared" si="25"/>
        <v>3.5686183957402449E-4</v>
      </c>
      <c r="AS52" s="211">
        <f t="shared" si="26"/>
        <v>3232934.6429038849</v>
      </c>
      <c r="AT52" s="171">
        <f t="shared" si="27"/>
        <v>1631.5937487592878</v>
      </c>
      <c r="BB52" s="40"/>
      <c r="BC52" s="167">
        <f t="shared" si="53"/>
        <v>50.686869136120549</v>
      </c>
      <c r="BD52" s="165">
        <f t="shared" si="54"/>
        <v>51.335354175438155</v>
      </c>
      <c r="BF52" s="14">
        <f t="shared" si="55"/>
        <v>0.16324356476167168</v>
      </c>
      <c r="BG52" s="140">
        <f t="shared" si="56"/>
        <v>112.71955023296886</v>
      </c>
      <c r="BH52" s="170">
        <f t="shared" si="28"/>
        <v>0.34599314837422884</v>
      </c>
      <c r="BI52" s="169">
        <f t="shared" si="29"/>
        <v>361.91412265930131</v>
      </c>
      <c r="BJ52" s="169">
        <f t="shared" si="30"/>
        <v>177.08754896942966</v>
      </c>
      <c r="BL52" s="175">
        <f t="shared" si="43"/>
        <v>49</v>
      </c>
      <c r="BM52" s="180">
        <f t="shared" si="44"/>
        <v>195</v>
      </c>
      <c r="BO52" s="181">
        <f t="shared" si="32"/>
        <v>45.800692227250359</v>
      </c>
      <c r="BP52" s="181">
        <f t="shared" si="33"/>
        <v>6.8353828468612567</v>
      </c>
      <c r="BQ52" s="182">
        <f t="shared" si="34"/>
        <v>126.19438699923217</v>
      </c>
      <c r="BR52" s="183">
        <f t="shared" si="35"/>
        <v>1.6323351662277972</v>
      </c>
      <c r="BS52" s="187">
        <f t="shared" si="36"/>
        <v>428.35491429849105</v>
      </c>
      <c r="BT52" s="183">
        <f t="shared" si="37"/>
        <v>699.21879023592123</v>
      </c>
      <c r="BW52" s="53">
        <f t="shared" si="7"/>
        <v>91.601384454500717</v>
      </c>
      <c r="BY52" s="14">
        <f t="shared" si="8"/>
        <v>19.600059933880466</v>
      </c>
      <c r="BZ52" s="53">
        <f t="shared" si="9"/>
        <v>105.05495347616383</v>
      </c>
      <c r="CZ52" s="14">
        <f t="shared" si="58"/>
        <v>12.49198357391113</v>
      </c>
      <c r="DB52" s="140">
        <f t="shared" si="59"/>
        <v>92.703966590091454</v>
      </c>
      <c r="DC52" s="40"/>
      <c r="DG52" s="88">
        <f t="shared" si="60"/>
        <v>37.47595072173339</v>
      </c>
      <c r="DH52" s="40">
        <f t="shared" si="61"/>
        <v>129.38487812439053</v>
      </c>
    </row>
    <row r="53" spans="15:112">
      <c r="O53" s="112">
        <f t="shared" si="62"/>
        <v>50</v>
      </c>
      <c r="P53" s="138">
        <f t="shared" si="57"/>
        <v>18.875</v>
      </c>
      <c r="Q53" s="146"/>
      <c r="R53" s="56">
        <f t="shared" si="11"/>
        <v>25.517739206024519</v>
      </c>
      <c r="S53" s="56">
        <f t="shared" si="12"/>
        <v>0.66163000633080105</v>
      </c>
      <c r="T53" s="56">
        <f t="shared" si="13"/>
        <v>26.179369212355319</v>
      </c>
      <c r="U53" s="154">
        <f t="shared" si="51"/>
        <v>132.65109286098848</v>
      </c>
      <c r="V53" s="149">
        <f t="shared" si="14"/>
        <v>3.4327693987167454</v>
      </c>
      <c r="W53" s="162">
        <f t="shared" si="15"/>
        <v>20.368941487805987</v>
      </c>
      <c r="X53" s="4">
        <f t="shared" si="39"/>
        <v>98.884469621775111</v>
      </c>
      <c r="AK53" s="192">
        <f t="shared" si="41"/>
        <v>50</v>
      </c>
      <c r="AL53" s="202">
        <f t="shared" si="42"/>
        <v>1887.5</v>
      </c>
      <c r="AM53" s="171"/>
      <c r="AN53" s="171">
        <f t="shared" si="22"/>
        <v>65.517739206024515</v>
      </c>
      <c r="AO53" s="171">
        <f t="shared" si="23"/>
        <v>66.163000633080102</v>
      </c>
      <c r="AP53" s="171">
        <f t="shared" si="24"/>
        <v>131.6807398391046</v>
      </c>
      <c r="AQ53" s="53">
        <f t="shared" si="52"/>
        <v>51.499401118517312</v>
      </c>
      <c r="AR53" s="198">
        <f t="shared" si="25"/>
        <v>3.0064919332140083E-4</v>
      </c>
      <c r="AS53" s="211">
        <f t="shared" si="26"/>
        <v>3837399.2996413158</v>
      </c>
      <c r="AT53" s="171">
        <f t="shared" si="27"/>
        <v>1631.5937487592844</v>
      </c>
      <c r="BB53" s="40"/>
      <c r="BC53" s="167">
        <f t="shared" si="53"/>
        <v>51.035478412049038</v>
      </c>
      <c r="BD53" s="165">
        <f t="shared" si="54"/>
        <v>51.697108418379841</v>
      </c>
      <c r="BF53" s="14">
        <f t="shared" si="55"/>
        <v>0.25039588374379385</v>
      </c>
      <c r="BG53" s="140">
        <f t="shared" si="56"/>
        <v>112.44494830900929</v>
      </c>
      <c r="BH53" s="170">
        <f t="shared" si="28"/>
        <v>0.33522577419581995</v>
      </c>
      <c r="BI53" s="169">
        <f t="shared" si="29"/>
        <v>373.53872040531746</v>
      </c>
      <c r="BJ53" s="169">
        <f t="shared" si="30"/>
        <v>177.0875489694296</v>
      </c>
      <c r="BL53" s="175">
        <f t="shared" si="43"/>
        <v>50</v>
      </c>
      <c r="BM53" s="180">
        <f t="shared" si="44"/>
        <v>198.75</v>
      </c>
      <c r="BO53" s="181">
        <f t="shared" si="32"/>
        <v>45.966142746570156</v>
      </c>
      <c r="BP53" s="181">
        <f t="shared" si="33"/>
        <v>6.9668325169932039</v>
      </c>
      <c r="BQ53" s="182">
        <f t="shared" si="34"/>
        <v>125.89748680978045</v>
      </c>
      <c r="BR53" s="183">
        <f t="shared" si="35"/>
        <v>1.5774816915923904</v>
      </c>
      <c r="BS53" s="187">
        <f t="shared" si="36"/>
        <v>443.25001929505538</v>
      </c>
      <c r="BT53" s="183">
        <f t="shared" si="37"/>
        <v>699.21879023592362</v>
      </c>
      <c r="BW53" s="53">
        <f t="shared" si="7"/>
        <v>91.932285493140313</v>
      </c>
      <c r="BY53" s="14">
        <f t="shared" si="8"/>
        <v>19.682785193540365</v>
      </c>
      <c r="BZ53" s="53">
        <f t="shared" si="9"/>
        <v>104.67532802705217</v>
      </c>
      <c r="CZ53" s="14">
        <f t="shared" si="58"/>
        <v>12.582780152430313</v>
      </c>
      <c r="DB53" s="140">
        <f t="shared" si="59"/>
        <v>92.418431887520711</v>
      </c>
      <c r="DC53" s="40"/>
      <c r="DG53" s="88">
        <f t="shared" si="60"/>
        <v>37.748340457290936</v>
      </c>
      <c r="DH53" s="40">
        <f t="shared" si="61"/>
        <v>129.09934342181981</v>
      </c>
    </row>
    <row r="54" spans="15:112">
      <c r="O54" s="112">
        <f t="shared" si="62"/>
        <v>51</v>
      </c>
      <c r="P54" s="138">
        <f t="shared" si="57"/>
        <v>19.25</v>
      </c>
      <c r="Q54" s="146"/>
      <c r="R54" s="56">
        <f t="shared" si="11"/>
        <v>25.688614676890392</v>
      </c>
      <c r="S54" s="56">
        <f t="shared" si="12"/>
        <v>0.67477497334399583</v>
      </c>
      <c r="T54" s="56">
        <f t="shared" si="13"/>
        <v>26.363389650234389</v>
      </c>
      <c r="U54" s="154">
        <f t="shared" si="51"/>
        <v>132.46707242310941</v>
      </c>
      <c r="V54" s="149">
        <f t="shared" si="14"/>
        <v>3.3608072712640138</v>
      </c>
      <c r="W54" s="162">
        <f t="shared" si="15"/>
        <v>20.805084427615625</v>
      </c>
      <c r="X54" s="4">
        <f t="shared" si="39"/>
        <v>98.884469621775068</v>
      </c>
      <c r="AK54" s="192">
        <f t="shared" si="41"/>
        <v>51</v>
      </c>
      <c r="AL54" s="202">
        <f t="shared" si="42"/>
        <v>1925</v>
      </c>
      <c r="AM54" s="171"/>
      <c r="AN54" s="171">
        <f t="shared" si="22"/>
        <v>65.688614676890381</v>
      </c>
      <c r="AO54" s="171">
        <f t="shared" si="23"/>
        <v>67.477497334399587</v>
      </c>
      <c r="AP54" s="171">
        <f t="shared" si="24"/>
        <v>133.16611201128995</v>
      </c>
      <c r="AQ54" s="53">
        <f t="shared" si="52"/>
        <v>50.014028946331962</v>
      </c>
      <c r="AR54" s="198">
        <f t="shared" si="25"/>
        <v>2.5339114519778338E-4</v>
      </c>
      <c r="AS54" s="211">
        <f t="shared" si="26"/>
        <v>4553083.3486258807</v>
      </c>
      <c r="AT54" s="171">
        <f t="shared" si="27"/>
        <v>1631.5937487592846</v>
      </c>
      <c r="BB54" s="40"/>
      <c r="BC54" s="167">
        <f t="shared" si="53"/>
        <v>51.377229353780784</v>
      </c>
      <c r="BD54" s="165">
        <f t="shared" si="54"/>
        <v>52.052004327124777</v>
      </c>
      <c r="BF54" s="14">
        <f t="shared" si="55"/>
        <v>0.33583361917673038</v>
      </c>
      <c r="BG54" s="140">
        <f t="shared" si="56"/>
        <v>112.17549013569729</v>
      </c>
      <c r="BH54" s="170">
        <f t="shared" si="28"/>
        <v>0.3249858812217622</v>
      </c>
      <c r="BI54" s="169">
        <f t="shared" si="29"/>
        <v>385.3084517679136</v>
      </c>
      <c r="BJ54" s="169">
        <f t="shared" si="30"/>
        <v>177.08754896942929</v>
      </c>
      <c r="BL54" s="175">
        <f t="shared" si="43"/>
        <v>51</v>
      </c>
      <c r="BM54" s="180">
        <f t="shared" si="44"/>
        <v>202.5</v>
      </c>
      <c r="BO54" s="181">
        <f t="shared" si="32"/>
        <v>46.128500551013751</v>
      </c>
      <c r="BP54" s="181">
        <f t="shared" si="33"/>
        <v>7.0982821871251511</v>
      </c>
      <c r="BQ54" s="182">
        <f t="shared" si="34"/>
        <v>125.6036793352049</v>
      </c>
      <c r="BR54" s="183">
        <f t="shared" si="35"/>
        <v>1.5250144323396453</v>
      </c>
      <c r="BS54" s="187">
        <f t="shared" si="36"/>
        <v>458.49978558117397</v>
      </c>
      <c r="BT54" s="183">
        <f t="shared" si="37"/>
        <v>699.21879023592305</v>
      </c>
      <c r="BW54" s="53">
        <f t="shared" si="7"/>
        <v>92.257001102027502</v>
      </c>
      <c r="BY54" s="14">
        <f t="shared" si="8"/>
        <v>19.763964095762162</v>
      </c>
      <c r="BZ54" s="53">
        <f t="shared" si="9"/>
        <v>104.30034165025484</v>
      </c>
      <c r="CZ54" s="14">
        <f t="shared" si="58"/>
        <v>12.671717284030137</v>
      </c>
      <c r="DB54" s="140">
        <f t="shared" si="59"/>
        <v>92.138475525708031</v>
      </c>
      <c r="DC54" s="40"/>
      <c r="DG54" s="88">
        <f t="shared" si="60"/>
        <v>38.015151852090412</v>
      </c>
      <c r="DH54" s="40">
        <f t="shared" si="61"/>
        <v>128.81938706000713</v>
      </c>
    </row>
    <row r="55" spans="15:112">
      <c r="O55" s="112">
        <f t="shared" si="62"/>
        <v>52</v>
      </c>
      <c r="P55" s="138">
        <f t="shared" si="57"/>
        <v>19.625</v>
      </c>
      <c r="Q55" s="146"/>
      <c r="R55" s="56">
        <f t="shared" si="11"/>
        <v>25.856193308345805</v>
      </c>
      <c r="S55" s="56">
        <f t="shared" si="12"/>
        <v>0.68791994035719051</v>
      </c>
      <c r="T55" s="56">
        <f t="shared" si="13"/>
        <v>26.544113248702995</v>
      </c>
      <c r="U55" s="154">
        <f t="shared" si="51"/>
        <v>132.28634882464081</v>
      </c>
      <c r="V55" s="149">
        <f t="shared" si="14"/>
        <v>3.2916028389519512</v>
      </c>
      <c r="W55" s="162">
        <f t="shared" si="15"/>
        <v>21.242501736891054</v>
      </c>
      <c r="X55" s="4">
        <f t="shared" si="39"/>
        <v>98.884469621775125</v>
      </c>
      <c r="AK55" s="192">
        <f t="shared" si="41"/>
        <v>52</v>
      </c>
      <c r="AL55" s="202">
        <f t="shared" si="42"/>
        <v>1962.5</v>
      </c>
      <c r="AM55" s="171"/>
      <c r="AN55" s="171">
        <f t="shared" si="22"/>
        <v>65.856193308345809</v>
      </c>
      <c r="AO55" s="171">
        <f t="shared" si="23"/>
        <v>68.791994035719057</v>
      </c>
      <c r="AP55" s="171">
        <f t="shared" si="24"/>
        <v>134.64818734406487</v>
      </c>
      <c r="AQ55" s="53">
        <f t="shared" si="52"/>
        <v>48.53195361355705</v>
      </c>
      <c r="AR55" s="198">
        <f t="shared" si="25"/>
        <v>2.1364250802803481E-4</v>
      </c>
      <c r="AS55" s="211">
        <f t="shared" si="26"/>
        <v>5400194.0650213519</v>
      </c>
      <c r="AT55" s="171">
        <f t="shared" si="27"/>
        <v>1631.5937487592844</v>
      </c>
      <c r="BB55" s="40"/>
      <c r="BC55" s="167">
        <f t="shared" si="53"/>
        <v>51.71238661669161</v>
      </c>
      <c r="BD55" s="165">
        <f t="shared" si="54"/>
        <v>52.4003065570488</v>
      </c>
      <c r="BF55" s="14">
        <f t="shared" si="55"/>
        <v>0.41962293490443692</v>
      </c>
      <c r="BG55" s="140">
        <f t="shared" si="56"/>
        <v>111.91097722150097</v>
      </c>
      <c r="BH55" s="170">
        <f t="shared" si="28"/>
        <v>0.3152382065572733</v>
      </c>
      <c r="BI55" s="169">
        <f t="shared" si="29"/>
        <v>397.2228116240035</v>
      </c>
      <c r="BJ55" s="169">
        <f t="shared" si="30"/>
        <v>177.08754896942963</v>
      </c>
      <c r="BL55" s="175">
        <f t="shared" si="43"/>
        <v>52</v>
      </c>
      <c r="BM55" s="180">
        <f t="shared" si="44"/>
        <v>206.25</v>
      </c>
      <c r="BO55" s="181">
        <f t="shared" si="32"/>
        <v>46.287879144439252</v>
      </c>
      <c r="BP55" s="181">
        <f t="shared" si="33"/>
        <v>7.2297318572570974</v>
      </c>
      <c r="BQ55" s="182">
        <f t="shared" si="34"/>
        <v>125.31285107164746</v>
      </c>
      <c r="BR55" s="183">
        <f t="shared" si="35"/>
        <v>1.4747980020183853</v>
      </c>
      <c r="BS55" s="187">
        <f t="shared" si="36"/>
        <v>474.11156597648261</v>
      </c>
      <c r="BT55" s="183">
        <f t="shared" si="37"/>
        <v>699.21879023592442</v>
      </c>
      <c r="BW55" s="53">
        <f t="shared" si="7"/>
        <v>92.575758288878504</v>
      </c>
      <c r="BY55" s="14">
        <f t="shared" si="8"/>
        <v>19.843653392474913</v>
      </c>
      <c r="BZ55" s="53">
        <f t="shared" si="9"/>
        <v>103.92982408998463</v>
      </c>
      <c r="CZ55" s="14">
        <f t="shared" si="58"/>
        <v>12.758869603012259</v>
      </c>
      <c r="DB55" s="140">
        <f t="shared" si="59"/>
        <v>91.86387360174848</v>
      </c>
      <c r="DC55" s="40"/>
      <c r="DG55" s="88">
        <f t="shared" si="60"/>
        <v>38.27660880903678</v>
      </c>
      <c r="DH55" s="40">
        <f t="shared" si="61"/>
        <v>128.54478513604755</v>
      </c>
    </row>
    <row r="56" spans="15:112">
      <c r="O56" s="12">
        <f t="shared" si="62"/>
        <v>53</v>
      </c>
      <c r="P56" s="138">
        <f t="shared" si="57"/>
        <v>20</v>
      </c>
      <c r="Q56" s="146"/>
      <c r="R56" s="11">
        <f t="shared" si="11"/>
        <v>26.020599913279625</v>
      </c>
      <c r="S56" s="11">
        <f t="shared" si="12"/>
        <v>0.70106490737038529</v>
      </c>
      <c r="T56" s="11">
        <f t="shared" si="13"/>
        <v>26.721664820650009</v>
      </c>
      <c r="U56" s="154">
        <f t="shared" si="51"/>
        <v>132.10879725269379</v>
      </c>
      <c r="V56" s="163">
        <f t="shared" si="14"/>
        <v>3.2250009702254432</v>
      </c>
      <c r="W56" s="162">
        <f t="shared" si="15"/>
        <v>21.681196275331491</v>
      </c>
      <c r="X56" s="164">
        <f t="shared" si="39"/>
        <v>98.884469621775096</v>
      </c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92">
        <f t="shared" si="41"/>
        <v>53</v>
      </c>
      <c r="AL56" s="202">
        <f t="shared" si="42"/>
        <v>2000</v>
      </c>
      <c r="AM56" s="23"/>
      <c r="AN56" s="171">
        <f t="shared" si="22"/>
        <v>66.020599913279625</v>
      </c>
      <c r="AO56" s="171">
        <f t="shared" si="23"/>
        <v>70.106490737038527</v>
      </c>
      <c r="AP56" s="171">
        <f t="shared" si="24"/>
        <v>136.12709065031817</v>
      </c>
      <c r="AQ56" s="53">
        <f t="shared" si="52"/>
        <v>47.053050307303749</v>
      </c>
      <c r="AR56" s="198">
        <f t="shared" si="25"/>
        <v>1.8019490300451107E-4</v>
      </c>
      <c r="AS56" s="211">
        <f t="shared" si="26"/>
        <v>6402572.9066287065</v>
      </c>
      <c r="AT56" s="171">
        <f t="shared" si="27"/>
        <v>1631.5937487592848</v>
      </c>
      <c r="AU56" s="153"/>
      <c r="AV56" s="153"/>
      <c r="AW56" s="153"/>
      <c r="AX56" s="153"/>
      <c r="AY56" s="153"/>
      <c r="AZ56" s="153"/>
      <c r="BA56" s="153"/>
      <c r="BB56" s="40"/>
      <c r="BC56" s="167">
        <f t="shared" si="53"/>
        <v>52.04119982655925</v>
      </c>
      <c r="BD56" s="165">
        <f t="shared" si="54"/>
        <v>52.742264733929638</v>
      </c>
      <c r="BE56" s="153"/>
      <c r="BF56" s="166">
        <f t="shared" si="55"/>
        <v>0.50182623737134691</v>
      </c>
      <c r="BG56" s="140">
        <f t="shared" si="56"/>
        <v>111.65122234708704</v>
      </c>
      <c r="BH56" s="170">
        <f t="shared" si="28"/>
        <v>0.30595045566495788</v>
      </c>
      <c r="BI56" s="169">
        <f t="shared" si="29"/>
        <v>409.28132127743862</v>
      </c>
      <c r="BJ56" s="169">
        <f t="shared" si="30"/>
        <v>177.08754896942946</v>
      </c>
      <c r="BL56" s="175">
        <f t="shared" si="43"/>
        <v>53</v>
      </c>
      <c r="BM56" s="180">
        <f t="shared" si="44"/>
        <v>210</v>
      </c>
      <c r="BO56" s="181">
        <f t="shared" si="32"/>
        <v>46.444385894678383</v>
      </c>
      <c r="BP56" s="181">
        <f t="shared" si="33"/>
        <v>7.3611815273890446</v>
      </c>
      <c r="BQ56" s="182">
        <f t="shared" si="34"/>
        <v>125.02489465127638</v>
      </c>
      <c r="BR56" s="183">
        <f t="shared" si="35"/>
        <v>1.4267067617777591</v>
      </c>
      <c r="BS56" s="187">
        <f t="shared" si="36"/>
        <v>490.09285507601896</v>
      </c>
      <c r="BT56" s="183">
        <f t="shared" si="37"/>
        <v>699.21879023592362</v>
      </c>
      <c r="BW56" s="53">
        <f t="shared" si="7"/>
        <v>92.888771789356767</v>
      </c>
      <c r="BY56" s="14">
        <f t="shared" si="8"/>
        <v>19.921906767594479</v>
      </c>
      <c r="BZ56" s="53">
        <f t="shared" si="9"/>
        <v>103.56361429449399</v>
      </c>
      <c r="CZ56" s="14">
        <f t="shared" si="58"/>
        <v>12.844307338445196</v>
      </c>
      <c r="DB56" s="140">
        <f t="shared" si="59"/>
        <v>91.594415428436477</v>
      </c>
      <c r="DC56" s="40"/>
      <c r="DG56" s="88">
        <f t="shared" si="60"/>
        <v>38.532922015335586</v>
      </c>
      <c r="DH56" s="40">
        <f t="shared" si="61"/>
        <v>128.27532696273556</v>
      </c>
    </row>
    <row r="57" spans="15:112">
      <c r="O57" s="112">
        <f t="shared" si="62"/>
        <v>54</v>
      </c>
      <c r="P57" s="138">
        <f t="shared" si="57"/>
        <v>20.375</v>
      </c>
      <c r="Q57" s="146"/>
      <c r="R57" s="56">
        <f t="shared" si="11"/>
        <v>26.181952348240284</v>
      </c>
      <c r="S57" s="56">
        <f t="shared" si="12"/>
        <v>0.71420987438357997</v>
      </c>
      <c r="T57" s="56">
        <f t="shared" si="13"/>
        <v>26.896162222623865</v>
      </c>
      <c r="U57" s="154">
        <f t="shared" si="51"/>
        <v>131.93429985071992</v>
      </c>
      <c r="V57" s="149">
        <f t="shared" si="14"/>
        <v>3.1608579542739985</v>
      </c>
      <c r="W57" s="162">
        <f t="shared" si="15"/>
        <v>22.121170908375142</v>
      </c>
      <c r="X57" s="4">
        <f t="shared" si="39"/>
        <v>98.884469621774841</v>
      </c>
      <c r="AK57" s="192">
        <f t="shared" si="41"/>
        <v>54</v>
      </c>
      <c r="AL57" s="202">
        <f t="shared" si="42"/>
        <v>2037.5</v>
      </c>
      <c r="AM57" s="171"/>
      <c r="AN57" s="171">
        <f t="shared" si="22"/>
        <v>66.181952348240287</v>
      </c>
      <c r="AO57" s="171">
        <f t="shared" si="23"/>
        <v>71.420987438357997</v>
      </c>
      <c r="AP57" s="171">
        <f t="shared" si="24"/>
        <v>137.60293978659828</v>
      </c>
      <c r="AQ57" s="53">
        <f t="shared" si="52"/>
        <v>45.577201171023631</v>
      </c>
      <c r="AR57" s="198">
        <f t="shared" si="25"/>
        <v>1.5203726397423748E-4</v>
      </c>
      <c r="AS57" s="211">
        <f t="shared" si="26"/>
        <v>7588343.6318925684</v>
      </c>
      <c r="AT57" s="171">
        <f t="shared" si="27"/>
        <v>1631.5937487592907</v>
      </c>
      <c r="BB57" s="40"/>
      <c r="BC57" s="167">
        <f t="shared" si="53"/>
        <v>52.363904696480567</v>
      </c>
      <c r="BD57" s="165">
        <f t="shared" si="54"/>
        <v>53.078114570864145</v>
      </c>
      <c r="BF57" s="14">
        <f t="shared" si="55"/>
        <v>0.58250245485167618</v>
      </c>
      <c r="BG57" s="140">
        <f t="shared" si="56"/>
        <v>111.39604872763287</v>
      </c>
      <c r="BH57" s="170">
        <f t="shared" si="28"/>
        <v>0.29709300283352125</v>
      </c>
      <c r="BI57" s="169">
        <f t="shared" si="29"/>
        <v>421.48352719756429</v>
      </c>
      <c r="BJ57" s="169">
        <f t="shared" si="30"/>
        <v>177.08754896942963</v>
      </c>
      <c r="BL57" s="175">
        <f t="shared" si="43"/>
        <v>54</v>
      </c>
      <c r="BM57" s="180">
        <f t="shared" si="44"/>
        <v>213.75</v>
      </c>
      <c r="BO57" s="181">
        <f t="shared" si="32"/>
        <v>46.598122468004206</v>
      </c>
      <c r="BP57" s="181">
        <f t="shared" si="33"/>
        <v>7.4926311975209927</v>
      </c>
      <c r="BQ57" s="182">
        <f t="shared" si="34"/>
        <v>124.7397084078186</v>
      </c>
      <c r="BR57" s="183">
        <f t="shared" si="35"/>
        <v>1.3806239641763034</v>
      </c>
      <c r="BS57" s="187">
        <f t="shared" si="36"/>
        <v>506.45129186431677</v>
      </c>
      <c r="BT57" s="183">
        <f t="shared" si="37"/>
        <v>699.21879023592305</v>
      </c>
      <c r="BW57" s="53">
        <f t="shared" si="7"/>
        <v>93.196244936008412</v>
      </c>
      <c r="BY57" s="14">
        <f t="shared" si="8"/>
        <v>19.99877505425739</v>
      </c>
      <c r="BZ57" s="53">
        <f t="shared" si="9"/>
        <v>103.20155976437331</v>
      </c>
      <c r="CZ57" s="14">
        <f t="shared" si="58"/>
        <v>12.928096654172903</v>
      </c>
      <c r="DB57" s="140">
        <f t="shared" si="59"/>
        <v>91.32990251424016</v>
      </c>
      <c r="DG57" s="88">
        <f t="shared" si="60"/>
        <v>38.784289962518706</v>
      </c>
      <c r="DH57" s="40">
        <f t="shared" si="61"/>
        <v>128.01081404853926</v>
      </c>
    </row>
    <row r="58" spans="15:112">
      <c r="O58" s="112">
        <f t="shared" si="62"/>
        <v>55</v>
      </c>
      <c r="P58" s="138">
        <f t="shared" si="57"/>
        <v>20.75</v>
      </c>
      <c r="Q58" s="146"/>
      <c r="R58" s="56">
        <f t="shared" si="11"/>
        <v>26.340362020962228</v>
      </c>
      <c r="S58" s="56">
        <f t="shared" si="12"/>
        <v>0.72735484139677475</v>
      </c>
      <c r="T58" s="56">
        <f t="shared" si="13"/>
        <v>27.067716862359003</v>
      </c>
      <c r="U58" s="154">
        <f t="shared" si="51"/>
        <v>131.7627452109848</v>
      </c>
      <c r="V58" s="149">
        <f t="shared" si="14"/>
        <v>3.0990404690367428</v>
      </c>
      <c r="W58" s="162">
        <f t="shared" si="15"/>
        <v>22.562428507210083</v>
      </c>
      <c r="X58" s="4">
        <f t="shared" si="39"/>
        <v>98.884469621775082</v>
      </c>
      <c r="BB58" s="40"/>
      <c r="BC58" s="167">
        <f t="shared" si="53"/>
        <v>52.680724041924456</v>
      </c>
      <c r="BD58" s="165">
        <f t="shared" si="54"/>
        <v>53.408078883321231</v>
      </c>
      <c r="BF58" s="14">
        <f t="shared" si="55"/>
        <v>0.66170729121264849</v>
      </c>
      <c r="BG58" s="140">
        <f t="shared" si="56"/>
        <v>111.14528925153675</v>
      </c>
      <c r="BH58" s="170">
        <f t="shared" si="28"/>
        <v>0.28863862670736828</v>
      </c>
      <c r="BI58" s="169">
        <f t="shared" si="29"/>
        <v>433.82899984117648</v>
      </c>
      <c r="BJ58" s="169">
        <f t="shared" si="30"/>
        <v>177.08754896942932</v>
      </c>
      <c r="BL58" s="175">
        <f t="shared" si="43"/>
        <v>55</v>
      </c>
      <c r="BM58" s="180">
        <f t="shared" si="44"/>
        <v>217.5</v>
      </c>
      <c r="BO58" s="181">
        <f t="shared" si="32"/>
        <v>46.749185225813122</v>
      </c>
      <c r="BP58" s="181">
        <f t="shared" si="33"/>
        <v>7.6240808676529399</v>
      </c>
      <c r="BQ58" s="182">
        <f t="shared" si="34"/>
        <v>124.45719597987772</v>
      </c>
      <c r="BR58" s="183">
        <f t="shared" si="35"/>
        <v>1.3364409855792758</v>
      </c>
      <c r="BS58" s="187">
        <f t="shared" si="36"/>
        <v>523.19466237624238</v>
      </c>
      <c r="BT58" s="183">
        <f t="shared" si="37"/>
        <v>699.2187902359218</v>
      </c>
      <c r="BW58" s="53">
        <f t="shared" si="7"/>
        <v>93.498370451626243</v>
      </c>
      <c r="BY58" s="14">
        <f t="shared" si="8"/>
        <v>20.074306433161848</v>
      </c>
      <c r="BZ58" s="53">
        <f t="shared" si="9"/>
        <v>102.843515957528</v>
      </c>
      <c r="CZ58" s="14">
        <f t="shared" si="58"/>
        <v>13.010299956639813</v>
      </c>
      <c r="DB58" s="140">
        <f t="shared" si="59"/>
        <v>91.070147639826232</v>
      </c>
      <c r="DG58" s="88">
        <f t="shared" si="60"/>
        <v>39.030899869919438</v>
      </c>
      <c r="DH58" s="40">
        <f t="shared" si="61"/>
        <v>127.75105917412532</v>
      </c>
    </row>
    <row r="59" spans="15:112">
      <c r="O59" s="112">
        <f t="shared" si="62"/>
        <v>56</v>
      </c>
      <c r="P59" s="138">
        <f t="shared" si="57"/>
        <v>21.125</v>
      </c>
      <c r="Q59" s="146"/>
      <c r="R59" s="56">
        <f t="shared" si="11"/>
        <v>26.495934352434599</v>
      </c>
      <c r="S59" s="56">
        <f t="shared" si="12"/>
        <v>0.74049980840996954</v>
      </c>
      <c r="T59" s="56">
        <f t="shared" si="13"/>
        <v>27.236434160844567</v>
      </c>
      <c r="U59" s="154">
        <f t="shared" si="51"/>
        <v>131.59402791249923</v>
      </c>
      <c r="V59" s="149">
        <f t="shared" si="14"/>
        <v>3.0394246591239544</v>
      </c>
      <c r="W59" s="162">
        <f t="shared" si="15"/>
        <v>23.004971948785073</v>
      </c>
      <c r="X59" s="4">
        <f t="shared" si="39"/>
        <v>98.884469621774926</v>
      </c>
      <c r="BB59" s="40"/>
      <c r="BC59" s="167">
        <f t="shared" si="53"/>
        <v>52.991868704869198</v>
      </c>
      <c r="BD59" s="165">
        <f t="shared" si="54"/>
        <v>53.73236851327917</v>
      </c>
      <c r="BF59" s="14">
        <f t="shared" si="55"/>
        <v>0.73949345694883384</v>
      </c>
      <c r="BG59" s="140">
        <f t="shared" si="56"/>
        <v>110.89878578731499</v>
      </c>
      <c r="BH59" s="170">
        <f t="shared" si="28"/>
        <v>0.2805622762268265</v>
      </c>
      <c r="BI59" s="169">
        <f t="shared" si="29"/>
        <v>446.31733255097896</v>
      </c>
      <c r="BJ59" s="169">
        <f t="shared" si="30"/>
        <v>177.08754896942915</v>
      </c>
      <c r="BL59" s="175">
        <f t="shared" si="43"/>
        <v>56</v>
      </c>
      <c r="BM59" s="180">
        <f t="shared" si="44"/>
        <v>221.25</v>
      </c>
      <c r="BO59" s="181">
        <f t="shared" si="32"/>
        <v>46.897665587397263</v>
      </c>
      <c r="BP59" s="181">
        <f t="shared" si="33"/>
        <v>7.7555305377848871</v>
      </c>
      <c r="BQ59" s="182">
        <f t="shared" si="34"/>
        <v>124.17726594816165</v>
      </c>
      <c r="BR59" s="183">
        <f t="shared" si="35"/>
        <v>1.29405663663353</v>
      </c>
      <c r="BS59" s="187">
        <f t="shared" si="36"/>
        <v>540.33090240542344</v>
      </c>
      <c r="BT59" s="183">
        <f t="shared" si="37"/>
        <v>699.21879023592237</v>
      </c>
      <c r="BW59" s="53">
        <f t="shared" si="7"/>
        <v>93.795331174794526</v>
      </c>
      <c r="BY59" s="14">
        <f t="shared" si="8"/>
        <v>20.148546613953918</v>
      </c>
      <c r="BZ59" s="53">
        <f t="shared" si="9"/>
        <v>102.48934574501982</v>
      </c>
      <c r="CZ59" s="14">
        <f t="shared" si="58"/>
        <v>13.090976174120142</v>
      </c>
      <c r="DB59" s="140">
        <f t="shared" si="59"/>
        <v>90.814974020372063</v>
      </c>
      <c r="DG59" s="88">
        <f t="shared" si="60"/>
        <v>39.272928522360424</v>
      </c>
      <c r="DH59" s="40">
        <f t="shared" si="61"/>
        <v>127.49588555467115</v>
      </c>
    </row>
    <row r="60" spans="15:112">
      <c r="O60" s="112">
        <f t="shared" si="62"/>
        <v>57</v>
      </c>
      <c r="P60" s="138">
        <f t="shared" si="57"/>
        <v>21.5</v>
      </c>
      <c r="Q60" s="146"/>
      <c r="R60" s="56">
        <f t="shared" si="11"/>
        <v>26.64876919831211</v>
      </c>
      <c r="S60" s="56">
        <f t="shared" si="12"/>
        <v>0.7536447754231641</v>
      </c>
      <c r="T60" s="56">
        <f t="shared" si="13"/>
        <v>27.402413973735275</v>
      </c>
      <c r="U60" s="154">
        <f t="shared" si="51"/>
        <v>131.42804809960853</v>
      </c>
      <c r="V60" s="149">
        <f t="shared" si="14"/>
        <v>2.9818953102353478</v>
      </c>
      <c r="W60" s="162">
        <f t="shared" si="15"/>
        <v>23.44880411582044</v>
      </c>
      <c r="X60" s="4">
        <f t="shared" si="39"/>
        <v>98.884469621775054</v>
      </c>
      <c r="BB60" s="40"/>
      <c r="BC60" s="167">
        <f t="shared" si="53"/>
        <v>53.297538396624219</v>
      </c>
      <c r="BD60" s="165">
        <f t="shared" si="54"/>
        <v>54.051183172047381</v>
      </c>
      <c r="BF60" s="14">
        <f t="shared" si="55"/>
        <v>0.81591087988758915</v>
      </c>
      <c r="BG60" s="140">
        <f t="shared" si="56"/>
        <v>110.65638855148552</v>
      </c>
      <c r="BH60" s="170">
        <f t="shared" si="28"/>
        <v>0.27284086301543292</v>
      </c>
      <c r="BI60" s="169">
        <f t="shared" si="29"/>
        <v>458.94814052433645</v>
      </c>
      <c r="BJ60" s="169">
        <f t="shared" si="30"/>
        <v>177.08754896942912</v>
      </c>
      <c r="BL60" s="175">
        <f t="shared" si="43"/>
        <v>57</v>
      </c>
      <c r="BM60" s="180">
        <f t="shared" si="44"/>
        <v>225</v>
      </c>
      <c r="BO60" s="181">
        <f t="shared" si="32"/>
        <v>47.043650362227254</v>
      </c>
      <c r="BP60" s="181">
        <f t="shared" si="33"/>
        <v>7.8869802079168343</v>
      </c>
      <c r="BQ60" s="182">
        <f t="shared" si="34"/>
        <v>123.89983150319972</v>
      </c>
      <c r="BR60" s="183">
        <f t="shared" si="35"/>
        <v>1.2533765417106673</v>
      </c>
      <c r="BS60" s="187">
        <f t="shared" si="36"/>
        <v>557.86810026107321</v>
      </c>
      <c r="BT60" s="183">
        <f t="shared" si="37"/>
        <v>699.21879023592373</v>
      </c>
      <c r="BW60" s="53">
        <f t="shared" si="7"/>
        <v>94.087300724454508</v>
      </c>
      <c r="BY60" s="14">
        <f t="shared" si="8"/>
        <v>20.221539001368914</v>
      </c>
      <c r="BZ60" s="53">
        <f t="shared" si="9"/>
        <v>102.13891891264289</v>
      </c>
      <c r="CZ60" s="14">
        <f t="shared" si="58"/>
        <v>13.170181010481114</v>
      </c>
      <c r="DB60" s="140">
        <f t="shared" si="59"/>
        <v>90.564214544275941</v>
      </c>
      <c r="DG60" s="88">
        <f t="shared" si="60"/>
        <v>39.510543031443341</v>
      </c>
      <c r="DH60" s="40">
        <f t="shared" si="61"/>
        <v>127.24512607857503</v>
      </c>
    </row>
    <row r="61" spans="15:112">
      <c r="O61" s="112">
        <f t="shared" si="62"/>
        <v>58</v>
      </c>
      <c r="P61" s="138">
        <f t="shared" si="57"/>
        <v>21.875</v>
      </c>
      <c r="Q61" s="146"/>
      <c r="R61" s="56">
        <f t="shared" si="11"/>
        <v>26.798961233887017</v>
      </c>
      <c r="S61" s="56">
        <f t="shared" si="12"/>
        <v>0.76678974243635889</v>
      </c>
      <c r="T61" s="56">
        <f t="shared" si="13"/>
        <v>27.565750976323375</v>
      </c>
      <c r="U61" s="154">
        <f t="shared" si="51"/>
        <v>131.26471109702041</v>
      </c>
      <c r="V61" s="149">
        <f t="shared" si="14"/>
        <v>2.9263451084951635</v>
      </c>
      <c r="W61" s="162">
        <f t="shared" si="15"/>
        <v>23.893927896818894</v>
      </c>
      <c r="X61" s="4">
        <f t="shared" si="39"/>
        <v>98.884469621774784</v>
      </c>
      <c r="BB61" s="40"/>
      <c r="BC61" s="167">
        <f t="shared" si="53"/>
        <v>53.597922467774033</v>
      </c>
      <c r="BD61" s="165">
        <f t="shared" si="54"/>
        <v>54.364712210210392</v>
      </c>
      <c r="BF61" s="14">
        <f t="shared" si="55"/>
        <v>0.89100689767504271</v>
      </c>
      <c r="BG61" s="140">
        <f t="shared" si="56"/>
        <v>110.41795553110997</v>
      </c>
      <c r="BH61" s="170">
        <f t="shared" si="28"/>
        <v>0.26545307682612113</v>
      </c>
      <c r="BI61" s="169">
        <f t="shared" si="29"/>
        <v>471.72105984671026</v>
      </c>
      <c r="BJ61" s="169">
        <f t="shared" si="30"/>
        <v>177.08754896942904</v>
      </c>
      <c r="BL61" s="175">
        <f t="shared" si="43"/>
        <v>58</v>
      </c>
      <c r="BM61" s="180">
        <f t="shared" si="44"/>
        <v>228.75</v>
      </c>
      <c r="BO61" s="181">
        <f t="shared" si="32"/>
        <v>47.18722205476972</v>
      </c>
      <c r="BP61" s="181">
        <f t="shared" si="33"/>
        <v>8.0184298780487815</v>
      </c>
      <c r="BQ61" s="182">
        <f t="shared" si="34"/>
        <v>123.62481014052531</v>
      </c>
      <c r="BR61" s="183">
        <f t="shared" si="35"/>
        <v>1.2143125794038443</v>
      </c>
      <c r="BS61" s="187">
        <f t="shared" si="36"/>
        <v>575.81449957407085</v>
      </c>
      <c r="BT61" s="183">
        <f t="shared" si="37"/>
        <v>699.21879023592373</v>
      </c>
      <c r="BW61" s="53">
        <f t="shared" si="7"/>
        <v>94.374444109539439</v>
      </c>
      <c r="BY61" s="14">
        <f t="shared" si="8"/>
        <v>20.293324847640147</v>
      </c>
      <c r="BZ61" s="53">
        <f t="shared" si="9"/>
        <v>101.79211170369726</v>
      </c>
      <c r="CZ61" s="14">
        <f t="shared" si="58"/>
        <v>13.247967176217299</v>
      </c>
      <c r="DB61" s="140">
        <f t="shared" si="59"/>
        <v>90.317711080054181</v>
      </c>
      <c r="DG61" s="88">
        <f t="shared" si="60"/>
        <v>39.743901528651897</v>
      </c>
      <c r="DH61" s="40">
        <f t="shared" si="61"/>
        <v>126.99862261435328</v>
      </c>
    </row>
    <row r="62" spans="15:112">
      <c r="O62" s="112">
        <f t="shared" si="62"/>
        <v>59</v>
      </c>
      <c r="P62" s="138">
        <f t="shared" si="57"/>
        <v>22.25</v>
      </c>
      <c r="Q62" s="146"/>
      <c r="R62" s="56">
        <f t="shared" si="11"/>
        <v>26.946600306339008</v>
      </c>
      <c r="S62" s="56">
        <f t="shared" si="12"/>
        <v>0.77993470944955356</v>
      </c>
      <c r="T62" s="56">
        <f t="shared" si="13"/>
        <v>27.72653501578856</v>
      </c>
      <c r="U62" s="154">
        <f t="shared" si="51"/>
        <v>131.10392705755524</v>
      </c>
      <c r="V62" s="149">
        <f t="shared" si="14"/>
        <v>2.8726739746860988</v>
      </c>
      <c r="W62" s="162">
        <f t="shared" si="15"/>
        <v>24.340346186076587</v>
      </c>
      <c r="X62" s="4">
        <f t="shared" si="39"/>
        <v>98.884469621774997</v>
      </c>
      <c r="BB62" s="40"/>
      <c r="BC62" s="167">
        <f t="shared" si="53"/>
        <v>53.893200612678015</v>
      </c>
      <c r="BD62" s="165">
        <f t="shared" si="54"/>
        <v>54.673135322127571</v>
      </c>
      <c r="BF62" s="14">
        <f t="shared" si="55"/>
        <v>0.96482643390103817</v>
      </c>
      <c r="BG62" s="140">
        <f t="shared" si="56"/>
        <v>110.1833519554188</v>
      </c>
      <c r="BH62" s="170">
        <f t="shared" si="28"/>
        <v>0.25837922114171125</v>
      </c>
      <c r="BI62" s="169">
        <f t="shared" si="29"/>
        <v>484.63574658470714</v>
      </c>
      <c r="BJ62" s="169">
        <f t="shared" si="30"/>
        <v>177.08754896942946</v>
      </c>
      <c r="BL62" s="175">
        <f t="shared" si="43"/>
        <v>59</v>
      </c>
      <c r="BM62" s="180">
        <f t="shared" si="44"/>
        <v>232.5</v>
      </c>
      <c r="BO62" s="181">
        <f t="shared" si="32"/>
        <v>47.328459144519456</v>
      </c>
      <c r="BP62" s="181">
        <f t="shared" si="33"/>
        <v>8.1498795481807296</v>
      </c>
      <c r="BQ62" s="182">
        <f t="shared" si="34"/>
        <v>123.3521233806436</v>
      </c>
      <c r="BR62" s="183">
        <f t="shared" si="35"/>
        <v>1.176782377184836</v>
      </c>
      <c r="BS62" s="187">
        <f t="shared" si="36"/>
        <v>594.17850215316082</v>
      </c>
      <c r="BT62" s="183">
        <f t="shared" si="37"/>
        <v>699.2187902359218</v>
      </c>
      <c r="BW62" s="53">
        <f t="shared" si="7"/>
        <v>94.656918289038913</v>
      </c>
      <c r="BY62" s="14">
        <f t="shared" si="8"/>
        <v>20.363943392515015</v>
      </c>
      <c r="BZ62" s="53">
        <f t="shared" si="9"/>
        <v>101.44880639894069</v>
      </c>
      <c r="CZ62" s="14">
        <f t="shared" si="58"/>
        <v>13.324384599156055</v>
      </c>
      <c r="DB62" s="140">
        <f t="shared" si="59"/>
        <v>90.075313844224723</v>
      </c>
      <c r="DG62" s="88">
        <f t="shared" si="60"/>
        <v>39.973153797468164</v>
      </c>
      <c r="DH62" s="40">
        <f t="shared" si="61"/>
        <v>126.75622537852382</v>
      </c>
    </row>
    <row r="63" spans="15:112">
      <c r="O63" s="112">
        <f t="shared" si="62"/>
        <v>60</v>
      </c>
      <c r="P63" s="138">
        <f t="shared" si="57"/>
        <v>22.625</v>
      </c>
      <c r="Q63" s="146"/>
      <c r="R63" s="56">
        <f t="shared" si="11"/>
        <v>27.091771757544819</v>
      </c>
      <c r="S63" s="56">
        <f t="shared" si="12"/>
        <v>0.79307967646274835</v>
      </c>
      <c r="T63" s="56">
        <f t="shared" si="13"/>
        <v>27.884851434007569</v>
      </c>
      <c r="U63" s="154">
        <f t="shared" si="51"/>
        <v>130.94561063933622</v>
      </c>
      <c r="V63" s="149">
        <f t="shared" si="14"/>
        <v>2.8207884646918822</v>
      </c>
      <c r="W63" s="162">
        <f t="shared" si="15"/>
        <v>24.78806188369386</v>
      </c>
      <c r="X63" s="4">
        <f t="shared" si="39"/>
        <v>98.884469621774883</v>
      </c>
      <c r="BB63" s="40"/>
      <c r="BC63" s="167">
        <f t="shared" si="53"/>
        <v>54.183543515089639</v>
      </c>
      <c r="BD63" s="165">
        <f t="shared" si="54"/>
        <v>54.976623191552385</v>
      </c>
      <c r="BF63" s="14">
        <f t="shared" si="55"/>
        <v>1.0374121595039441</v>
      </c>
      <c r="BG63" s="140">
        <f t="shared" si="56"/>
        <v>109.95244981159688</v>
      </c>
      <c r="BH63" s="170">
        <f t="shared" si="28"/>
        <v>0.25160106643284086</v>
      </c>
      <c r="BI63" s="169">
        <f t="shared" si="29"/>
        <v>497.69187593412931</v>
      </c>
      <c r="BJ63" s="169">
        <f t="shared" si="30"/>
        <v>177.08754896942904</v>
      </c>
      <c r="BL63" s="175">
        <f t="shared" si="43"/>
        <v>60</v>
      </c>
      <c r="BM63" s="180">
        <f t="shared" si="44"/>
        <v>236.25</v>
      </c>
      <c r="BO63" s="181">
        <f t="shared" si="32"/>
        <v>47.467436343626012</v>
      </c>
      <c r="BP63" s="181">
        <f t="shared" si="33"/>
        <v>8.2813292183126759</v>
      </c>
      <c r="BQ63" s="182">
        <f t="shared" si="34"/>
        <v>123.08169651140511</v>
      </c>
      <c r="BR63" s="183">
        <f t="shared" si="35"/>
        <v>1.1407088542033523</v>
      </c>
      <c r="BS63" s="187">
        <f t="shared" si="36"/>
        <v>612.96867089213856</v>
      </c>
      <c r="BT63" s="183">
        <f t="shared" si="37"/>
        <v>699.21879023592317</v>
      </c>
      <c r="BW63" s="53">
        <f t="shared" si="7"/>
        <v>94.934872687252025</v>
      </c>
      <c r="BY63" s="14">
        <f t="shared" si="8"/>
        <v>20.433431992068293</v>
      </c>
      <c r="BZ63" s="53">
        <f t="shared" si="9"/>
        <v>101.10889093014892</v>
      </c>
      <c r="CZ63" s="14">
        <f t="shared" si="58"/>
        <v>13.399480616943508</v>
      </c>
      <c r="DB63" s="140">
        <f t="shared" si="59"/>
        <v>89.836880823849171</v>
      </c>
      <c r="DG63" s="88">
        <f t="shared" si="60"/>
        <v>40.198441850830527</v>
      </c>
      <c r="DH63" s="40">
        <f t="shared" si="61"/>
        <v>126.51779235814826</v>
      </c>
    </row>
    <row r="64" spans="15:112">
      <c r="O64" s="112">
        <f t="shared" si="62"/>
        <v>61</v>
      </c>
      <c r="P64" s="138">
        <f t="shared" si="57"/>
        <v>23</v>
      </c>
      <c r="Q64" s="146"/>
      <c r="R64" s="56">
        <f t="shared" si="11"/>
        <v>27.234556720351858</v>
      </c>
      <c r="S64" s="56">
        <f t="shared" si="12"/>
        <v>0.80622464347594303</v>
      </c>
      <c r="T64" s="56">
        <f t="shared" si="13"/>
        <v>28.040781363827801</v>
      </c>
      <c r="U64" s="154">
        <f t="shared" si="51"/>
        <v>130.78968070951601</v>
      </c>
      <c r="V64" s="149">
        <f t="shared" si="14"/>
        <v>2.7706012285923545</v>
      </c>
      <c r="W64" s="162">
        <f t="shared" si="15"/>
        <v>25.237077895586268</v>
      </c>
      <c r="X64" s="4">
        <f t="shared" si="39"/>
        <v>98.884469621775011</v>
      </c>
      <c r="BB64" s="40"/>
      <c r="BC64" s="167">
        <f t="shared" si="53"/>
        <v>54.469113440703715</v>
      </c>
      <c r="BD64" s="165">
        <f t="shared" si="54"/>
        <v>55.275338084179658</v>
      </c>
      <c r="BF64" s="14">
        <f t="shared" si="55"/>
        <v>1.1088046409074632</v>
      </c>
      <c r="BG64" s="140">
        <f t="shared" si="56"/>
        <v>109.72512740037314</v>
      </c>
      <c r="BH64" s="170">
        <f t="shared" si="28"/>
        <v>0.2451017189212909</v>
      </c>
      <c r="BI64" s="169">
        <f t="shared" si="29"/>
        <v>510.88914141887312</v>
      </c>
      <c r="BJ64" s="169">
        <f t="shared" si="30"/>
        <v>177.08754896942935</v>
      </c>
      <c r="BL64" s="175">
        <f t="shared" si="43"/>
        <v>61</v>
      </c>
      <c r="BM64" s="180">
        <f t="shared" si="44"/>
        <v>240</v>
      </c>
      <c r="BO64" s="181">
        <f t="shared" si="32"/>
        <v>47.60422483423212</v>
      </c>
      <c r="BP64" s="181">
        <f t="shared" si="33"/>
        <v>8.4127788884446222</v>
      </c>
      <c r="BQ64" s="182">
        <f t="shared" si="34"/>
        <v>122.81345835066705</v>
      </c>
      <c r="BR64" s="183">
        <f t="shared" si="35"/>
        <v>1.1060198069627891</v>
      </c>
      <c r="BS64" s="187">
        <f t="shared" si="36"/>
        <v>632.19373272891755</v>
      </c>
      <c r="BT64" s="183">
        <f t="shared" si="37"/>
        <v>699.21879023592248</v>
      </c>
      <c r="BW64" s="53">
        <f t="shared" si="7"/>
        <v>95.20844966846424</v>
      </c>
      <c r="BY64" s="14">
        <f t="shared" si="8"/>
        <v>20.501826237371347</v>
      </c>
      <c r="BZ64" s="53">
        <f t="shared" si="9"/>
        <v>100.77225852410781</v>
      </c>
      <c r="CZ64" s="14">
        <f t="shared" si="58"/>
        <v>13.473300153169504</v>
      </c>
      <c r="DB64" s="140">
        <f t="shared" si="59"/>
        <v>89.602277248157989</v>
      </c>
      <c r="DG64" s="88">
        <f t="shared" si="60"/>
        <v>40.419900459508511</v>
      </c>
      <c r="DH64" s="40">
        <f t="shared" si="61"/>
        <v>126.28318878245707</v>
      </c>
    </row>
    <row r="65" spans="15:112">
      <c r="O65" s="112">
        <f t="shared" si="62"/>
        <v>62</v>
      </c>
      <c r="P65" s="138">
        <f t="shared" si="57"/>
        <v>23.375</v>
      </c>
      <c r="Q65" s="146"/>
      <c r="R65" s="56">
        <f t="shared" si="11"/>
        <v>27.375032390891111</v>
      </c>
      <c r="S65" s="56">
        <f t="shared" si="12"/>
        <v>0.81936961048913781</v>
      </c>
      <c r="T65" s="56">
        <f t="shared" si="13"/>
        <v>28.194402001380247</v>
      </c>
      <c r="U65" s="154">
        <f t="shared" si="51"/>
        <v>130.63606007196356</v>
      </c>
      <c r="V65" s="149">
        <f t="shared" si="14"/>
        <v>2.7220305218241188</v>
      </c>
      <c r="W65" s="162">
        <f t="shared" si="15"/>
        <v>25.687397133495569</v>
      </c>
      <c r="X65" s="4">
        <f t="shared" si="39"/>
        <v>98.884469621775082</v>
      </c>
      <c r="BB65" s="40"/>
      <c r="BC65" s="167">
        <f t="shared" si="53"/>
        <v>54.750064781782221</v>
      </c>
      <c r="BD65" s="165">
        <f t="shared" si="54"/>
        <v>55.569434392271361</v>
      </c>
      <c r="BF65" s="14">
        <f t="shared" si="55"/>
        <v>1.1790424761770897</v>
      </c>
      <c r="BG65" s="140">
        <f t="shared" si="56"/>
        <v>109.50126892755107</v>
      </c>
      <c r="BH65" s="170">
        <f t="shared" si="28"/>
        <v>0.23886550298908357</v>
      </c>
      <c r="BI65" s="169">
        <f t="shared" si="29"/>
        <v>524.22725413686578</v>
      </c>
      <c r="BJ65" s="169">
        <f t="shared" si="30"/>
        <v>177.08754896942978</v>
      </c>
      <c r="BL65" s="175">
        <f t="shared" si="43"/>
        <v>62</v>
      </c>
      <c r="BM65" s="180">
        <f t="shared" si="44"/>
        <v>243.75</v>
      </c>
      <c r="BO65" s="181">
        <f t="shared" si="32"/>
        <v>47.738892487411491</v>
      </c>
      <c r="BP65" s="181">
        <f t="shared" si="33"/>
        <v>8.5442285585765703</v>
      </c>
      <c r="BQ65" s="182">
        <f t="shared" si="34"/>
        <v>122.54734102735574</v>
      </c>
      <c r="BR65" s="183">
        <f t="shared" si="35"/>
        <v>1.0726475332548235</v>
      </c>
      <c r="BS65" s="187">
        <f t="shared" si="36"/>
        <v>651.86258165739264</v>
      </c>
      <c r="BT65" s="183">
        <f t="shared" si="37"/>
        <v>699.21879023592317</v>
      </c>
      <c r="BW65" s="53">
        <f t="shared" si="7"/>
        <v>95.477784974822981</v>
      </c>
      <c r="BY65" s="14">
        <f t="shared" si="8"/>
        <v>20.569160063961032</v>
      </c>
      <c r="BZ65" s="53">
        <f t="shared" si="9"/>
        <v>100.4388073742068</v>
      </c>
      <c r="CZ65" s="14">
        <f t="shared" si="58"/>
        <v>13.54588587877241</v>
      </c>
      <c r="DB65" s="140">
        <f t="shared" si="59"/>
        <v>89.371375104336082</v>
      </c>
      <c r="DG65" s="88">
        <f t="shared" si="60"/>
        <v>40.637657636317229</v>
      </c>
      <c r="DH65" s="40">
        <f t="shared" si="61"/>
        <v>126.05228663863517</v>
      </c>
    </row>
    <row r="66" spans="15:112">
      <c r="O66" s="112">
        <f t="shared" si="62"/>
        <v>63</v>
      </c>
      <c r="P66" s="138">
        <f t="shared" si="57"/>
        <v>23.75</v>
      </c>
      <c r="Q66" s="146"/>
      <c r="R66" s="56">
        <f t="shared" si="11"/>
        <v>27.513272279217706</v>
      </c>
      <c r="S66" s="56">
        <f t="shared" si="12"/>
        <v>0.83251457750233249</v>
      </c>
      <c r="T66" s="56">
        <f t="shared" si="13"/>
        <v>28.345786856720039</v>
      </c>
      <c r="U66" s="154">
        <f t="shared" si="51"/>
        <v>130.48467521662377</v>
      </c>
      <c r="V66" s="149">
        <f t="shared" si="14"/>
        <v>2.6749997626523974</v>
      </c>
      <c r="W66" s="162">
        <f t="shared" si="15"/>
        <v>26.139022515000629</v>
      </c>
      <c r="X66" s="4">
        <f t="shared" si="39"/>
        <v>98.884469621775139</v>
      </c>
      <c r="BB66" s="40"/>
      <c r="BC66" s="167">
        <f t="shared" si="53"/>
        <v>55.026544558435411</v>
      </c>
      <c r="BD66" s="165">
        <f t="shared" si="54"/>
        <v>55.859059135937741</v>
      </c>
      <c r="BF66" s="14">
        <f t="shared" si="55"/>
        <v>1.2481624203403872</v>
      </c>
      <c r="BG66" s="140">
        <f t="shared" si="56"/>
        <v>109.28076412804798</v>
      </c>
      <c r="BH66" s="170">
        <f t="shared" si="28"/>
        <v>0.23287785562250765</v>
      </c>
      <c r="BI66" s="169">
        <f t="shared" si="29"/>
        <v>537.70594204958729</v>
      </c>
      <c r="BJ66" s="169">
        <f t="shared" si="30"/>
        <v>177.08754896942929</v>
      </c>
      <c r="BL66" s="175">
        <f t="shared" si="43"/>
        <v>63</v>
      </c>
      <c r="BM66" s="180">
        <f t="shared" si="44"/>
        <v>247.5</v>
      </c>
      <c r="BO66" s="181">
        <f t="shared" si="32"/>
        <v>47.871504065391754</v>
      </c>
      <c r="BP66" s="181">
        <f t="shared" si="33"/>
        <v>8.6756782287085183</v>
      </c>
      <c r="BQ66" s="182">
        <f t="shared" si="34"/>
        <v>122.28327977924351</v>
      </c>
      <c r="BR66" s="183">
        <f t="shared" si="35"/>
        <v>1.040528490294824</v>
      </c>
      <c r="BS66" s="187">
        <f t="shared" si="36"/>
        <v>671.9842817930006</v>
      </c>
      <c r="BT66" s="183">
        <f t="shared" si="37"/>
        <v>699.21879023592248</v>
      </c>
      <c r="BW66" s="53">
        <f t="shared" si="7"/>
        <v>95.743008130783508</v>
      </c>
      <c r="BY66" s="14">
        <f t="shared" si="8"/>
        <v>20.635465852951164</v>
      </c>
      <c r="BZ66" s="53">
        <f t="shared" si="9"/>
        <v>100.10844033710447</v>
      </c>
      <c r="CZ66" s="14">
        <f t="shared" si="58"/>
        <v>13.617278360175929</v>
      </c>
      <c r="DB66" s="140">
        <f t="shared" si="59"/>
        <v>89.144052693112329</v>
      </c>
      <c r="DG66" s="88">
        <f t="shared" si="60"/>
        <v>40.851835080527785</v>
      </c>
      <c r="DH66" s="40">
        <f t="shared" si="61"/>
        <v>125.82496422741141</v>
      </c>
    </row>
    <row r="67" spans="15:112">
      <c r="O67" s="112">
        <f t="shared" si="62"/>
        <v>64</v>
      </c>
      <c r="P67" s="138">
        <f t="shared" si="57"/>
        <v>24.125</v>
      </c>
      <c r="Q67" s="146"/>
      <c r="R67" s="56">
        <f t="shared" si="11"/>
        <v>27.649346440316602</v>
      </c>
      <c r="S67" s="56">
        <f t="shared" si="12"/>
        <v>0.84565954451552727</v>
      </c>
      <c r="T67" s="56">
        <f t="shared" si="13"/>
        <v>28.49500598483213</v>
      </c>
      <c r="U67" s="154">
        <f t="shared" si="51"/>
        <v>130.33545608851168</v>
      </c>
      <c r="V67" s="149">
        <f t="shared" si="14"/>
        <v>2.6294371309148779</v>
      </c>
      <c r="W67" s="162">
        <f t="shared" si="15"/>
        <v>26.591956963528514</v>
      </c>
      <c r="X67" s="4">
        <f t="shared" si="39"/>
        <v>98.884469621775082</v>
      </c>
      <c r="BB67" s="40"/>
      <c r="BC67" s="167">
        <f t="shared" si="53"/>
        <v>55.298692880633205</v>
      </c>
      <c r="BD67" s="165">
        <f t="shared" si="54"/>
        <v>56.144352425148732</v>
      </c>
      <c r="BF67" s="14">
        <f t="shared" si="55"/>
        <v>1.3161995008898355</v>
      </c>
      <c r="BG67" s="140">
        <f t="shared" si="56"/>
        <v>109.06350791938644</v>
      </c>
      <c r="BH67" s="170">
        <f t="shared" si="28"/>
        <v>0.22712523149231842</v>
      </c>
      <c r="BI67" s="169">
        <f t="shared" si="29"/>
        <v>551.32494931204303</v>
      </c>
      <c r="BJ67" s="169">
        <f t="shared" si="30"/>
        <v>177.08754896942963</v>
      </c>
      <c r="BL67" s="175">
        <f t="shared" si="43"/>
        <v>64</v>
      </c>
      <c r="BM67" s="180">
        <f t="shared" si="44"/>
        <v>251.25</v>
      </c>
      <c r="BO67" s="181">
        <f t="shared" si="32"/>
        <v>48.002121408570908</v>
      </c>
      <c r="BP67" s="181">
        <f t="shared" si="33"/>
        <v>8.8071278988404647</v>
      </c>
      <c r="BQ67" s="182">
        <f t="shared" si="34"/>
        <v>122.02121276593243</v>
      </c>
      <c r="BR67" s="183">
        <f t="shared" si="35"/>
        <v>1.0096029834847176</v>
      </c>
      <c r="BS67" s="187">
        <f t="shared" si="36"/>
        <v>692.56807049293616</v>
      </c>
      <c r="BT67" s="183">
        <f t="shared" si="37"/>
        <v>699.21879023592248</v>
      </c>
      <c r="BW67" s="53">
        <f t="shared" si="7"/>
        <v>96.004242817141815</v>
      </c>
      <c r="BY67" s="14">
        <f t="shared" si="8"/>
        <v>20.700774524540741</v>
      </c>
      <c r="BZ67" s="53">
        <f t="shared" si="9"/>
        <v>99.781064652203781</v>
      </c>
      <c r="CZ67" s="14">
        <f t="shared" si="58"/>
        <v>13.687516195445555</v>
      </c>
      <c r="DB67" s="140">
        <f t="shared" si="59"/>
        <v>88.920194220290256</v>
      </c>
      <c r="DG67" s="88">
        <f t="shared" si="60"/>
        <v>41.062548586336668</v>
      </c>
      <c r="DH67" s="40">
        <f t="shared" si="61"/>
        <v>125.60110575458934</v>
      </c>
    </row>
    <row r="68" spans="15:112">
      <c r="O68" s="112">
        <f t="shared" si="62"/>
        <v>65</v>
      </c>
      <c r="P68" s="138">
        <f t="shared" si="57"/>
        <v>24.5</v>
      </c>
      <c r="Q68" s="146"/>
      <c r="R68" s="56">
        <f t="shared" si="11"/>
        <v>27.783321687290648</v>
      </c>
      <c r="S68" s="56">
        <f t="shared" si="12"/>
        <v>0.85880451152872195</v>
      </c>
      <c r="T68" s="56">
        <f t="shared" si="13"/>
        <v>28.642126198819369</v>
      </c>
      <c r="U68" s="154">
        <f t="shared" ref="U68:U88" si="63">$Q$4-(R68+S68)+$Q$8+$Q$10</f>
        <v>130.18833587452443</v>
      </c>
      <c r="V68" s="149">
        <f t="shared" si="14"/>
        <v>2.585275203615649</v>
      </c>
      <c r="W68" s="162">
        <f t="shared" si="15"/>
        <v>27.046203408365432</v>
      </c>
      <c r="X68" s="4">
        <f t="shared" si="39"/>
        <v>98.884469621774926</v>
      </c>
      <c r="BB68" s="40"/>
      <c r="BC68" s="167">
        <f t="shared" ref="BC68:BC88" si="64">40*LOG(P68)</f>
        <v>55.566643374581297</v>
      </c>
      <c r="BD68" s="165">
        <f t="shared" ref="BD68:BD88" si="65">BC68+S68</f>
        <v>56.425447886110021</v>
      </c>
      <c r="BF68" s="14">
        <f t="shared" ref="BF68:BF88" si="66">10*LOG10(($D$29*($D$22/1000000))/2)+$J$12+10*LOG10(P68)</f>
        <v>1.3831871243768585</v>
      </c>
      <c r="BG68" s="140">
        <f t="shared" ref="BG68:BG88" si="67">$Q$4-(BC68+S68)+$BE$4+BF68</f>
        <v>108.84940008191217</v>
      </c>
      <c r="BH68" s="170">
        <f t="shared" si="28"/>
        <v>0.22159501745276991</v>
      </c>
      <c r="BI68" s="169">
        <f t="shared" si="29"/>
        <v>565.08403564027435</v>
      </c>
      <c r="BJ68" s="169">
        <f t="shared" si="30"/>
        <v>177.08754896942929</v>
      </c>
      <c r="BL68" s="175">
        <f t="shared" si="43"/>
        <v>65</v>
      </c>
      <c r="BM68" s="180">
        <f t="shared" si="44"/>
        <v>255</v>
      </c>
      <c r="BO68" s="181">
        <f t="shared" si="32"/>
        <v>48.130803608679102</v>
      </c>
      <c r="BP68" s="181">
        <f t="shared" si="33"/>
        <v>8.9385775689724127</v>
      </c>
      <c r="BQ68" s="182">
        <f t="shared" si="34"/>
        <v>121.76108089569229</v>
      </c>
      <c r="BR68" s="183">
        <f t="shared" si="35"/>
        <v>0.9798148826502453</v>
      </c>
      <c r="BS68" s="187">
        <f t="shared" si="36"/>
        <v>713.62336153197248</v>
      </c>
      <c r="BT68" s="183">
        <f t="shared" si="37"/>
        <v>699.21879023592317</v>
      </c>
      <c r="BW68" s="53">
        <f t="shared" ref="BW68:BW131" si="68">40*LOG10(BM68)</f>
        <v>96.261607217358204</v>
      </c>
      <c r="BY68" s="14">
        <f t="shared" ref="BY68:BY131" si="69">10*LOG10(($D$29*($D$23/1000000))/2)+$J$12+10*LOG10(BM68)</f>
        <v>20.765115624594838</v>
      </c>
      <c r="BZ68" s="53">
        <f t="shared" ref="BZ68:BZ131" si="70">$BN$4-(BW68+BP68)+$BX$4+BY68</f>
        <v>99.456591681909543</v>
      </c>
      <c r="CZ68" s="14">
        <f t="shared" si="58"/>
        <v>13.756636139608853</v>
      </c>
      <c r="DB68" s="140">
        <f t="shared" si="59"/>
        <v>88.699689420787166</v>
      </c>
      <c r="DG68" s="88">
        <f t="shared" si="60"/>
        <v>41.26990841882656</v>
      </c>
      <c r="DH68" s="40">
        <f t="shared" si="61"/>
        <v>125.38060095508627</v>
      </c>
    </row>
    <row r="69" spans="15:112">
      <c r="O69" s="112">
        <f t="shared" si="62"/>
        <v>66</v>
      </c>
      <c r="P69" s="138">
        <f t="shared" si="57"/>
        <v>24.875</v>
      </c>
      <c r="Q69" s="146"/>
      <c r="R69" s="56">
        <f t="shared" ref="R69:R88" si="71">20*LOG(P69)</f>
        <v>27.915261788355259</v>
      </c>
      <c r="S69" s="56">
        <f t="shared" ref="S69:S88" si="72">2*$J$6*(P69/1000)</f>
        <v>0.87194947854191673</v>
      </c>
      <c r="T69" s="56">
        <f t="shared" ref="T69:T88" si="73">R69+S69</f>
        <v>28.787211266897177</v>
      </c>
      <c r="U69" s="154">
        <f t="shared" si="63"/>
        <v>130.04325080644662</v>
      </c>
      <c r="V69" s="149">
        <f t="shared" ref="V69:V88" si="74">POWER(10,(U69+$D$16)*0.05)*1000</f>
        <v>2.542450623480482</v>
      </c>
      <c r="W69" s="162">
        <f t="shared" ref="W69:W88" si="75">POWER(10,0.05*T69)</f>
        <v>27.501764784667834</v>
      </c>
      <c r="X69" s="4">
        <f t="shared" si="39"/>
        <v>98.884469621775054</v>
      </c>
      <c r="BB69" s="40"/>
      <c r="BC69" s="167">
        <f t="shared" si="64"/>
        <v>55.830523576710519</v>
      </c>
      <c r="BD69" s="165">
        <f t="shared" si="65"/>
        <v>56.702473055252433</v>
      </c>
      <c r="BF69" s="14">
        <f t="shared" si="66"/>
        <v>1.4491571749091641</v>
      </c>
      <c r="BG69" s="140">
        <f t="shared" si="67"/>
        <v>108.63834496330206</v>
      </c>
      <c r="BH69" s="170">
        <f t="shared" ref="BH69:BH88" si="76">POWER(10,(BG69+$D$16)*0.05)*1000</f>
        <v>0.21627545539764476</v>
      </c>
      <c r="BI69" s="169">
        <f t="shared" ref="BI69:BI88" si="77">POWER(10,0.05*(BD69-BF69))</f>
        <v>578.98297571381238</v>
      </c>
      <c r="BJ69" s="169">
        <f t="shared" ref="BJ69:BJ88" si="78">BH69*POWER(2,0.5)*BI69</f>
        <v>177.08754896942932</v>
      </c>
      <c r="BL69" s="175">
        <f t="shared" si="43"/>
        <v>66</v>
      </c>
      <c r="BM69" s="180">
        <f t="shared" si="44"/>
        <v>258.75</v>
      </c>
      <c r="BO69" s="181">
        <f t="shared" ref="BO69:BO132" si="79">20*LOG10(BM69)</f>
        <v>48.257607169299483</v>
      </c>
      <c r="BP69" s="181">
        <f t="shared" ref="BP69:BP132" si="80">2*$J$6*(BM69/1000)</f>
        <v>9.070027239104359</v>
      </c>
      <c r="BQ69" s="182">
        <f t="shared" ref="BQ69:BQ132" si="81">$BN$4-(BO69+BP69)+$BN$8+$BN$10</f>
        <v>121.50282766493996</v>
      </c>
      <c r="BR69" s="183">
        <f t="shared" ref="BR69:BR132" si="82">POWER(10,(BQ69+$D$16)*0.05)*1000</f>
        <v>0.95111136296522192</v>
      </c>
      <c r="BS69" s="187">
        <f t="shared" ref="BS69:BS132" si="83">POWER(10,0.05*(BO69+BP69))</f>
        <v>735.15974833484347</v>
      </c>
      <c r="BT69" s="183">
        <f t="shared" ref="BT69:BT132" si="84">BR69*BS69</f>
        <v>699.21879023592248</v>
      </c>
      <c r="BW69" s="53">
        <f t="shared" si="68"/>
        <v>96.515214338598966</v>
      </c>
      <c r="BY69" s="14">
        <f t="shared" si="69"/>
        <v>20.828517404905028</v>
      </c>
      <c r="BZ69" s="53">
        <f t="shared" si="70"/>
        <v>99.134936670847026</v>
      </c>
      <c r="CZ69" s="14">
        <f t="shared" si="58"/>
        <v>13.824673220158301</v>
      </c>
      <c r="DB69" s="140">
        <f t="shared" si="59"/>
        <v>88.482433212125628</v>
      </c>
      <c r="DG69" s="88">
        <f t="shared" si="60"/>
        <v>41.474019660474902</v>
      </c>
      <c r="DH69" s="40">
        <f t="shared" si="61"/>
        <v>125.16334474642471</v>
      </c>
    </row>
    <row r="70" spans="15:112">
      <c r="O70" s="112">
        <f t="shared" ref="O70:O88" si="85">1+O69</f>
        <v>67</v>
      </c>
      <c r="P70" s="138">
        <f t="shared" ref="P70:P88" si="86">P69+$J$45</f>
        <v>25.25</v>
      </c>
      <c r="Q70" s="146"/>
      <c r="R70" s="56">
        <f t="shared" si="71"/>
        <v>28.045227649093604</v>
      </c>
      <c r="S70" s="56">
        <f t="shared" si="72"/>
        <v>0.88509444555511141</v>
      </c>
      <c r="T70" s="56">
        <f t="shared" si="73"/>
        <v>28.930322094648716</v>
      </c>
      <c r="U70" s="154">
        <f t="shared" si="63"/>
        <v>129.90013997869508</v>
      </c>
      <c r="V70" s="149">
        <f t="shared" si="74"/>
        <v>2.5009037970467514</v>
      </c>
      <c r="W70" s="162">
        <f t="shared" si="75"/>
        <v>27.95864403347343</v>
      </c>
      <c r="X70" s="4">
        <f t="shared" ref="X70:X88" si="87">V70*POWER(2,0.5)*W70</f>
        <v>98.884469621774926</v>
      </c>
      <c r="BB70" s="40"/>
      <c r="BC70" s="167">
        <f t="shared" si="64"/>
        <v>56.090455298187209</v>
      </c>
      <c r="BD70" s="165">
        <f t="shared" si="65"/>
        <v>56.97554974374232</v>
      </c>
      <c r="BF70" s="14">
        <f t="shared" si="66"/>
        <v>1.5141401052783365</v>
      </c>
      <c r="BG70" s="140">
        <f t="shared" si="67"/>
        <v>108.43025120518132</v>
      </c>
      <c r="BH70" s="170">
        <f t="shared" si="76"/>
        <v>0.21115557254505074</v>
      </c>
      <c r="BI70" s="169">
        <f t="shared" si="77"/>
        <v>593.02155861063932</v>
      </c>
      <c r="BJ70" s="169">
        <f t="shared" si="78"/>
        <v>177.08754896942881</v>
      </c>
      <c r="BL70" s="175">
        <f t="shared" ref="BL70:BL133" si="88">BL69+1</f>
        <v>67</v>
      </c>
      <c r="BM70" s="180">
        <f t="shared" ref="BM70:BM133" si="89">BM69+$J$46</f>
        <v>262.5</v>
      </c>
      <c r="BO70" s="181">
        <f t="shared" si="79"/>
        <v>48.382586154839515</v>
      </c>
      <c r="BP70" s="181">
        <f t="shared" si="80"/>
        <v>9.2014769092363071</v>
      </c>
      <c r="BQ70" s="182">
        <f t="shared" si="81"/>
        <v>121.24639900926798</v>
      </c>
      <c r="BR70" s="183">
        <f t="shared" si="82"/>
        <v>0.92344266809389308</v>
      </c>
      <c r="BS70" s="187">
        <f t="shared" si="83"/>
        <v>757.18700726619284</v>
      </c>
      <c r="BT70" s="183">
        <f t="shared" si="84"/>
        <v>699.21879023592317</v>
      </c>
      <c r="BW70" s="53">
        <f t="shared" si="68"/>
        <v>96.765172309679031</v>
      </c>
      <c r="BY70" s="14">
        <f t="shared" si="69"/>
        <v>20.891006897675044</v>
      </c>
      <c r="BZ70" s="53">
        <f t="shared" si="70"/>
        <v>98.816018522405031</v>
      </c>
      <c r="CZ70" s="14">
        <f t="shared" ref="CZ70:CZ90" si="90">10*LOG10(P68)</f>
        <v>13.891660843645324</v>
      </c>
      <c r="DB70" s="140">
        <f t="shared" ref="DB70:DB90" si="91">$CX$6+$CY$6+CZ70+$DA$6-(BC68+S68)+197</f>
        <v>88.268325374651369</v>
      </c>
      <c r="DG70" s="88">
        <f t="shared" ref="DG70:DG90" si="92">30*LOG10(P68)</f>
        <v>41.674982530935971</v>
      </c>
      <c r="DH70" s="40">
        <f t="shared" ref="DH70:DH90" si="93">$CX$6+$DC$6+$DD$6+$DE$6+$DF$6-(DG70+S68)+182</f>
        <v>124.94923690895045</v>
      </c>
    </row>
    <row r="71" spans="15:112">
      <c r="O71" s="112">
        <f t="shared" si="85"/>
        <v>68</v>
      </c>
      <c r="P71" s="138">
        <f t="shared" si="86"/>
        <v>25.625</v>
      </c>
      <c r="Q71" s="146"/>
      <c r="R71" s="56">
        <f t="shared" si="71"/>
        <v>28.173277481276212</v>
      </c>
      <c r="S71" s="56">
        <f t="shared" si="72"/>
        <v>0.89823941256830608</v>
      </c>
      <c r="T71" s="56">
        <f t="shared" si="73"/>
        <v>29.071516893844517</v>
      </c>
      <c r="U71" s="154">
        <f t="shared" si="63"/>
        <v>129.75894517949928</v>
      </c>
      <c r="V71" s="149">
        <f t="shared" si="74"/>
        <v>2.4605786192626184</v>
      </c>
      <c r="W71" s="162">
        <f t="shared" si="75"/>
        <v>28.416844101712272</v>
      </c>
      <c r="X71" s="4">
        <f t="shared" si="87"/>
        <v>98.884469621775011</v>
      </c>
      <c r="BB71" s="40"/>
      <c r="BC71" s="167">
        <f t="shared" si="64"/>
        <v>56.346554962552425</v>
      </c>
      <c r="BD71" s="165">
        <f t="shared" si="65"/>
        <v>57.244794375120733</v>
      </c>
      <c r="BF71" s="14">
        <f t="shared" si="66"/>
        <v>1.5781650213696405</v>
      </c>
      <c r="BG71" s="140">
        <f t="shared" si="67"/>
        <v>108.22503148989423</v>
      </c>
      <c r="BH71" s="170">
        <f t="shared" si="76"/>
        <v>0.20622511833790691</v>
      </c>
      <c r="BI71" s="169">
        <f t="shared" si="77"/>
        <v>607.19958727244568</v>
      </c>
      <c r="BJ71" s="169">
        <f t="shared" si="78"/>
        <v>177.08754896942943</v>
      </c>
      <c r="BK71" t="s">
        <v>238</v>
      </c>
      <c r="BL71" s="175">
        <f t="shared" si="88"/>
        <v>68</v>
      </c>
      <c r="BM71" s="180">
        <f t="shared" si="89"/>
        <v>266.25</v>
      </c>
      <c r="BO71" s="181">
        <f t="shared" si="79"/>
        <v>48.505792328935883</v>
      </c>
      <c r="BP71" s="181">
        <f t="shared" si="80"/>
        <v>9.3329265793682534</v>
      </c>
      <c r="BQ71" s="182">
        <f t="shared" si="81"/>
        <v>120.99174316503965</v>
      </c>
      <c r="BR71" s="183">
        <f t="shared" si="82"/>
        <v>0.89676189336069267</v>
      </c>
      <c r="BS71" s="187">
        <f t="shared" si="83"/>
        <v>779.7151009790789</v>
      </c>
      <c r="BT71" s="183">
        <f t="shared" si="84"/>
        <v>699.21879023592248</v>
      </c>
      <c r="BW71" s="53">
        <f t="shared" si="68"/>
        <v>97.011584657871765</v>
      </c>
      <c r="BY71" s="14">
        <f t="shared" si="69"/>
        <v>20.952609984723228</v>
      </c>
      <c r="BZ71" s="53">
        <f t="shared" si="70"/>
        <v>98.499759591128537</v>
      </c>
      <c r="CZ71" s="14">
        <f t="shared" si="90"/>
        <v>13.95763089417763</v>
      </c>
      <c r="DB71" s="140">
        <f t="shared" si="91"/>
        <v>88.057270256041249</v>
      </c>
      <c r="DG71" s="88">
        <f t="shared" si="92"/>
        <v>41.872892682532893</v>
      </c>
      <c r="DH71" s="40">
        <f t="shared" si="93"/>
        <v>124.73818179034035</v>
      </c>
    </row>
    <row r="72" spans="15:112">
      <c r="O72" s="112">
        <f t="shared" si="85"/>
        <v>69</v>
      </c>
      <c r="P72" s="138">
        <f t="shared" si="86"/>
        <v>26</v>
      </c>
      <c r="Q72" s="146"/>
      <c r="R72" s="56">
        <f t="shared" si="71"/>
        <v>28.29946695941636</v>
      </c>
      <c r="S72" s="56">
        <f t="shared" si="72"/>
        <v>0.91138437958150076</v>
      </c>
      <c r="T72" s="56">
        <f t="shared" si="73"/>
        <v>29.210851338997863</v>
      </c>
      <c r="U72" s="154">
        <f t="shared" si="63"/>
        <v>129.61961073434594</v>
      </c>
      <c r="V72" s="149">
        <f t="shared" si="74"/>
        <v>2.4214222219188724</v>
      </c>
      <c r="W72" s="162">
        <f t="shared" si="75"/>
        <v>28.876367942217954</v>
      </c>
      <c r="X72" s="4">
        <f t="shared" si="87"/>
        <v>98.884469621775054</v>
      </c>
      <c r="BB72" s="40"/>
      <c r="BC72" s="167">
        <f t="shared" si="64"/>
        <v>56.598933918832721</v>
      </c>
      <c r="BD72" s="165">
        <f t="shared" si="65"/>
        <v>57.510318298414219</v>
      </c>
      <c r="BF72" s="14">
        <f t="shared" si="66"/>
        <v>1.6412597604397146</v>
      </c>
      <c r="BG72" s="140">
        <f t="shared" si="67"/>
        <v>108.02260230567083</v>
      </c>
      <c r="BH72" s="170">
        <f t="shared" si="76"/>
        <v>0.20147450724637939</v>
      </c>
      <c r="BI72" s="169">
        <f t="shared" si="77"/>
        <v>621.51687799816432</v>
      </c>
      <c r="BJ72" s="169">
        <f t="shared" si="78"/>
        <v>177.08754896942929</v>
      </c>
      <c r="BL72" s="175">
        <f t="shared" si="88"/>
        <v>69</v>
      </c>
      <c r="BM72" s="180">
        <f t="shared" si="89"/>
        <v>270</v>
      </c>
      <c r="BO72" s="181">
        <f t="shared" si="79"/>
        <v>48.627275283179749</v>
      </c>
      <c r="BP72" s="181">
        <f t="shared" si="80"/>
        <v>9.4643762495002015</v>
      </c>
      <c r="BQ72" s="182">
        <f t="shared" si="81"/>
        <v>120.73881054066385</v>
      </c>
      <c r="BR72" s="183">
        <f t="shared" si="82"/>
        <v>0.87102478700015229</v>
      </c>
      <c r="BS72" s="187">
        <f t="shared" si="83"/>
        <v>802.75418182307078</v>
      </c>
      <c r="BT72" s="183">
        <f t="shared" si="84"/>
        <v>699.2187902359218</v>
      </c>
      <c r="BW72" s="53">
        <f t="shared" si="68"/>
        <v>97.254550566359498</v>
      </c>
      <c r="BY72" s="14">
        <f t="shared" si="69"/>
        <v>21.013351461845161</v>
      </c>
      <c r="BZ72" s="53">
        <f t="shared" si="70"/>
        <v>98.186085489630784</v>
      </c>
      <c r="CZ72" s="14">
        <f t="shared" si="90"/>
        <v>14.022613824546802</v>
      </c>
      <c r="DB72" s="140">
        <f t="shared" si="91"/>
        <v>87.849176497920539</v>
      </c>
      <c r="DG72" s="88">
        <f t="shared" si="92"/>
        <v>42.067841473640406</v>
      </c>
      <c r="DH72" s="40">
        <f t="shared" si="93"/>
        <v>124.53008803221962</v>
      </c>
    </row>
    <row r="73" spans="15:112">
      <c r="O73" s="112">
        <f t="shared" si="85"/>
        <v>70</v>
      </c>
      <c r="P73" s="138">
        <f t="shared" si="86"/>
        <v>26.375</v>
      </c>
      <c r="Q73" s="146"/>
      <c r="R73" s="56">
        <f t="shared" si="71"/>
        <v>28.423849366114982</v>
      </c>
      <c r="S73" s="56">
        <f t="shared" si="72"/>
        <v>0.92452934659469554</v>
      </c>
      <c r="T73" s="56">
        <f t="shared" si="73"/>
        <v>29.348378712709678</v>
      </c>
      <c r="U73" s="154">
        <f t="shared" si="63"/>
        <v>129.48208336063411</v>
      </c>
      <c r="V73" s="149">
        <f t="shared" si="74"/>
        <v>2.3833847435416495</v>
      </c>
      <c r="W73" s="162">
        <f t="shared" si="75"/>
        <v>29.33721851373857</v>
      </c>
      <c r="X73" s="4">
        <f t="shared" si="87"/>
        <v>98.884469621774826</v>
      </c>
      <c r="BB73" s="40"/>
      <c r="BC73" s="167">
        <f t="shared" si="64"/>
        <v>56.847698732229965</v>
      </c>
      <c r="BD73" s="165">
        <f t="shared" si="65"/>
        <v>57.772228078824661</v>
      </c>
      <c r="BF73" s="14">
        <f t="shared" si="66"/>
        <v>1.7034509637890256</v>
      </c>
      <c r="BG73" s="140">
        <f t="shared" si="67"/>
        <v>107.82288372860968</v>
      </c>
      <c r="BH73" s="170">
        <f t="shared" si="76"/>
        <v>0.19689476684459115</v>
      </c>
      <c r="BI73" s="169">
        <f t="shared" si="77"/>
        <v>635.97325996390759</v>
      </c>
      <c r="BJ73" s="169">
        <f t="shared" si="78"/>
        <v>177.08754896942912</v>
      </c>
      <c r="BL73" s="175">
        <f t="shared" si="88"/>
        <v>70</v>
      </c>
      <c r="BM73" s="180">
        <f t="shared" si="89"/>
        <v>273.75</v>
      </c>
      <c r="BO73" s="181">
        <f t="shared" si="79"/>
        <v>48.747082556963491</v>
      </c>
      <c r="BP73" s="181">
        <f t="shared" si="80"/>
        <v>9.5958259196321478</v>
      </c>
      <c r="BQ73" s="182">
        <f t="shared" si="81"/>
        <v>120.48755359674817</v>
      </c>
      <c r="BR73" s="183">
        <f t="shared" si="82"/>
        <v>0.84618956775306708</v>
      </c>
      <c r="BS73" s="187">
        <f t="shared" si="83"/>
        <v>826.31459531295934</v>
      </c>
      <c r="BT73" s="183">
        <f t="shared" si="84"/>
        <v>699.21879023592362</v>
      </c>
      <c r="BW73" s="53">
        <f t="shared" si="68"/>
        <v>97.494165113926982</v>
      </c>
      <c r="BY73" s="14">
        <f t="shared" si="69"/>
        <v>21.073255098737032</v>
      </c>
      <c r="BZ73" s="53">
        <f t="shared" si="70"/>
        <v>97.874924908823232</v>
      </c>
      <c r="CZ73" s="14">
        <f t="shared" si="90"/>
        <v>14.086638740638106</v>
      </c>
      <c r="DB73" s="140">
        <f t="shared" si="91"/>
        <v>87.643956782633438</v>
      </c>
      <c r="DG73" s="88">
        <f t="shared" si="92"/>
        <v>42.259916221914317</v>
      </c>
      <c r="DH73" s="40">
        <f t="shared" si="93"/>
        <v>124.32486831693252</v>
      </c>
    </row>
    <row r="74" spans="15:112">
      <c r="O74" s="112">
        <f t="shared" si="85"/>
        <v>71</v>
      </c>
      <c r="P74" s="138">
        <f t="shared" si="86"/>
        <v>26.75</v>
      </c>
      <c r="Q74" s="146"/>
      <c r="R74" s="56">
        <f t="shared" si="71"/>
        <v>28.546475727144944</v>
      </c>
      <c r="S74" s="56">
        <f t="shared" si="72"/>
        <v>0.93767431360789033</v>
      </c>
      <c r="T74" s="56">
        <f t="shared" si="73"/>
        <v>29.484150040752834</v>
      </c>
      <c r="U74" s="154">
        <f t="shared" si="63"/>
        <v>129.34631203259096</v>
      </c>
      <c r="V74" s="149">
        <f t="shared" si="74"/>
        <v>2.346419118639945</v>
      </c>
      <c r="W74" s="162">
        <f t="shared" si="75"/>
        <v>29.79939878094795</v>
      </c>
      <c r="X74" s="4">
        <f t="shared" si="87"/>
        <v>98.884469621774841</v>
      </c>
      <c r="BB74" s="40"/>
      <c r="BC74" s="167">
        <f t="shared" si="64"/>
        <v>57.092951454289889</v>
      </c>
      <c r="BD74" s="165">
        <f t="shared" si="65"/>
        <v>58.030625767897781</v>
      </c>
      <c r="BF74" s="14">
        <f t="shared" si="66"/>
        <v>1.7647641443040065</v>
      </c>
      <c r="BG74" s="140">
        <f t="shared" si="67"/>
        <v>107.62579922005155</v>
      </c>
      <c r="BH74" s="170">
        <f t="shared" si="76"/>
        <v>0.19247749060846575</v>
      </c>
      <c r="BI74" s="169">
        <f t="shared" si="77"/>
        <v>650.56857476757182</v>
      </c>
      <c r="BJ74" s="169">
        <f t="shared" si="78"/>
        <v>177.08754896942929</v>
      </c>
      <c r="BL74" s="175">
        <f t="shared" si="88"/>
        <v>71</v>
      </c>
      <c r="BM74" s="180">
        <f t="shared" si="89"/>
        <v>277.5</v>
      </c>
      <c r="BO74" s="181">
        <f t="shared" si="79"/>
        <v>48.865259749173902</v>
      </c>
      <c r="BP74" s="181">
        <f t="shared" si="80"/>
        <v>9.7272755897640959</v>
      </c>
      <c r="BQ74" s="182">
        <f t="shared" si="81"/>
        <v>120.23792673440579</v>
      </c>
      <c r="BR74" s="183">
        <f t="shared" si="82"/>
        <v>0.822216757262487</v>
      </c>
      <c r="BS74" s="187">
        <f t="shared" si="83"/>
        <v>850.40688365914752</v>
      </c>
      <c r="BT74" s="183">
        <f t="shared" si="84"/>
        <v>699.21879023592135</v>
      </c>
      <c r="BW74" s="53">
        <f t="shared" si="68"/>
        <v>97.730519498347803</v>
      </c>
      <c r="BY74" s="14">
        <f t="shared" si="69"/>
        <v>21.132343694842238</v>
      </c>
      <c r="BZ74" s="53">
        <f t="shared" si="70"/>
        <v>97.566209450375666</v>
      </c>
      <c r="CZ74" s="14">
        <f t="shared" si="90"/>
        <v>14.14973347970818</v>
      </c>
      <c r="DB74" s="140">
        <f t="shared" si="91"/>
        <v>87.441527598410019</v>
      </c>
      <c r="DG74" s="88">
        <f t="shared" si="92"/>
        <v>42.449200439124539</v>
      </c>
      <c r="DH74" s="40">
        <f t="shared" si="93"/>
        <v>124.1224391327091</v>
      </c>
    </row>
    <row r="75" spans="15:112">
      <c r="O75" s="112">
        <f t="shared" si="85"/>
        <v>72</v>
      </c>
      <c r="P75" s="138">
        <f t="shared" si="86"/>
        <v>27.125</v>
      </c>
      <c r="Q75" s="146"/>
      <c r="R75" s="56">
        <f t="shared" si="71"/>
        <v>28.667394937131721</v>
      </c>
      <c r="S75" s="56">
        <f t="shared" si="72"/>
        <v>0.95081928062108501</v>
      </c>
      <c r="T75" s="56">
        <f t="shared" si="73"/>
        <v>29.618214217752808</v>
      </c>
      <c r="U75" s="154">
        <f t="shared" si="63"/>
        <v>129.21224785559099</v>
      </c>
      <c r="V75" s="149">
        <f t="shared" si="74"/>
        <v>2.3104808844348486</v>
      </c>
      <c r="W75" s="162">
        <f t="shared" si="75"/>
        <v>30.262911714456934</v>
      </c>
      <c r="X75" s="4">
        <f t="shared" si="87"/>
        <v>98.884469621774912</v>
      </c>
      <c r="BB75" s="40"/>
      <c r="BC75" s="167">
        <f t="shared" si="64"/>
        <v>57.334789874263443</v>
      </c>
      <c r="BD75" s="165">
        <f t="shared" si="65"/>
        <v>58.285609154884526</v>
      </c>
      <c r="BF75" s="14">
        <f t="shared" si="66"/>
        <v>1.8252237492973951</v>
      </c>
      <c r="BG75" s="140">
        <f t="shared" si="67"/>
        <v>107.43127543805819</v>
      </c>
      <c r="BH75" s="170">
        <f t="shared" si="76"/>
        <v>0.18821479494640855</v>
      </c>
      <c r="BI75" s="169">
        <f t="shared" si="77"/>
        <v>665.30267599655383</v>
      </c>
      <c r="BJ75" s="169">
        <f t="shared" si="78"/>
        <v>177.08754896942932</v>
      </c>
      <c r="BL75" s="175">
        <f t="shared" si="88"/>
        <v>72</v>
      </c>
      <c r="BM75" s="180">
        <f t="shared" si="89"/>
        <v>281.25</v>
      </c>
      <c r="BO75" s="181">
        <f t="shared" si="79"/>
        <v>48.981850622388379</v>
      </c>
      <c r="BP75" s="181">
        <f t="shared" si="80"/>
        <v>9.8587252598960422</v>
      </c>
      <c r="BQ75" s="182">
        <f t="shared" si="81"/>
        <v>119.98988619105938</v>
      </c>
      <c r="BR75" s="183">
        <f t="shared" si="82"/>
        <v>0.79906902588811612</v>
      </c>
      <c r="BS75" s="187">
        <f t="shared" si="83"/>
        <v>875.04178936079325</v>
      </c>
      <c r="BT75" s="183">
        <f t="shared" si="84"/>
        <v>699.21879023592317</v>
      </c>
      <c r="BW75" s="53">
        <f t="shared" si="68"/>
        <v>97.963701244776757</v>
      </c>
      <c r="BY75" s="14">
        <f t="shared" si="69"/>
        <v>21.190639131449476</v>
      </c>
      <c r="BZ75" s="53">
        <f t="shared" si="70"/>
        <v>97.259873470421994</v>
      </c>
      <c r="CZ75" s="14">
        <f t="shared" si="90"/>
        <v>14.211924683057491</v>
      </c>
      <c r="DB75" s="140">
        <f t="shared" si="91"/>
        <v>87.241809021348885</v>
      </c>
      <c r="DG75" s="88">
        <f t="shared" si="92"/>
        <v>42.635774049172475</v>
      </c>
      <c r="DH75" s="40">
        <f t="shared" si="93"/>
        <v>123.92272055564797</v>
      </c>
    </row>
    <row r="76" spans="15:112">
      <c r="O76" s="112">
        <f t="shared" si="85"/>
        <v>73</v>
      </c>
      <c r="P76" s="138">
        <f t="shared" si="86"/>
        <v>27.5</v>
      </c>
      <c r="Q76" s="146"/>
      <c r="R76" s="56">
        <f t="shared" si="71"/>
        <v>28.786653876605254</v>
      </c>
      <c r="S76" s="56">
        <f t="shared" si="72"/>
        <v>0.96396424763427979</v>
      </c>
      <c r="T76" s="56">
        <f t="shared" si="73"/>
        <v>29.750618124239534</v>
      </c>
      <c r="U76" s="154">
        <f t="shared" si="63"/>
        <v>129.07984394910426</v>
      </c>
      <c r="V76" s="149">
        <f t="shared" si="74"/>
        <v>2.2755280034019227</v>
      </c>
      <c r="W76" s="162">
        <f t="shared" si="75"/>
        <v>30.727760290824254</v>
      </c>
      <c r="X76" s="4">
        <f t="shared" si="87"/>
        <v>98.884469621774912</v>
      </c>
      <c r="BB76" s="40"/>
      <c r="BC76" s="167">
        <f t="shared" si="64"/>
        <v>57.573307753210507</v>
      </c>
      <c r="BD76" s="165">
        <f t="shared" si="65"/>
        <v>58.537272000844787</v>
      </c>
      <c r="BF76" s="14">
        <f t="shared" si="66"/>
        <v>1.8848532190341611</v>
      </c>
      <c r="BG76" s="140">
        <f t="shared" si="67"/>
        <v>107.2392420618347</v>
      </c>
      <c r="BH76" s="170">
        <f t="shared" si="76"/>
        <v>0.18409928003098014</v>
      </c>
      <c r="BI76" s="169">
        <f t="shared" si="77"/>
        <v>680.17542881708414</v>
      </c>
      <c r="BJ76" s="169">
        <f t="shared" si="78"/>
        <v>177.08754896942946</v>
      </c>
      <c r="BL76" s="175">
        <f t="shared" si="88"/>
        <v>73</v>
      </c>
      <c r="BM76" s="180">
        <f t="shared" si="89"/>
        <v>285</v>
      </c>
      <c r="BO76" s="181">
        <f t="shared" si="79"/>
        <v>49.096897200170204</v>
      </c>
      <c r="BP76" s="181">
        <f t="shared" si="80"/>
        <v>9.9901749300279885</v>
      </c>
      <c r="BQ76" s="182">
        <f t="shared" si="81"/>
        <v>119.74338994314559</v>
      </c>
      <c r="BR76" s="183">
        <f t="shared" si="82"/>
        <v>0.7767110507029571</v>
      </c>
      <c r="BS76" s="187">
        <f t="shared" si="83"/>
        <v>900.23025886280186</v>
      </c>
      <c r="BT76" s="183">
        <f t="shared" si="84"/>
        <v>699.21879023592192</v>
      </c>
      <c r="BW76" s="53">
        <f t="shared" si="68"/>
        <v>98.193794400340408</v>
      </c>
      <c r="BY76" s="14">
        <f t="shared" si="69"/>
        <v>21.248162420340389</v>
      </c>
      <c r="BZ76" s="53">
        <f t="shared" si="70"/>
        <v>96.95585393361732</v>
      </c>
      <c r="CZ76" s="14">
        <f t="shared" si="90"/>
        <v>14.273237863572472</v>
      </c>
      <c r="DB76" s="140">
        <f t="shared" si="91"/>
        <v>87.044724512790737</v>
      </c>
      <c r="DG76" s="88">
        <f t="shared" si="92"/>
        <v>42.819713590717413</v>
      </c>
      <c r="DH76" s="40">
        <f t="shared" si="93"/>
        <v>123.72563604708984</v>
      </c>
    </row>
    <row r="77" spans="15:112">
      <c r="O77" s="112">
        <f t="shared" si="85"/>
        <v>74</v>
      </c>
      <c r="P77" s="138">
        <f t="shared" si="86"/>
        <v>27.875</v>
      </c>
      <c r="Q77" s="146"/>
      <c r="R77" s="56">
        <f t="shared" si="71"/>
        <v>28.904297521124342</v>
      </c>
      <c r="S77" s="56">
        <f t="shared" si="72"/>
        <v>0.97710921464747447</v>
      </c>
      <c r="T77" s="56">
        <f t="shared" si="73"/>
        <v>29.881406735771815</v>
      </c>
      <c r="U77" s="154">
        <f t="shared" si="63"/>
        <v>128.94905533757199</v>
      </c>
      <c r="V77" s="149">
        <f t="shared" si="74"/>
        <v>2.2415207001374604</v>
      </c>
      <c r="W77" s="162">
        <f t="shared" si="75"/>
        <v>31.193947492568039</v>
      </c>
      <c r="X77" s="4">
        <f t="shared" si="87"/>
        <v>98.884469621775054</v>
      </c>
      <c r="BB77" s="40"/>
      <c r="BC77" s="167">
        <f t="shared" si="64"/>
        <v>57.808595042248683</v>
      </c>
      <c r="BD77" s="165">
        <f t="shared" si="65"/>
        <v>58.78570425689616</v>
      </c>
      <c r="BF77" s="14">
        <f t="shared" si="66"/>
        <v>1.9436750412937052</v>
      </c>
      <c r="BG77" s="140">
        <f t="shared" si="67"/>
        <v>107.04963162804286</v>
      </c>
      <c r="BH77" s="170">
        <f t="shared" si="76"/>
        <v>0.18012399404894747</v>
      </c>
      <c r="BI77" s="169">
        <f t="shared" si="77"/>
        <v>695.18670958384723</v>
      </c>
      <c r="BJ77" s="169">
        <f t="shared" si="78"/>
        <v>177.08754896942932</v>
      </c>
      <c r="BL77" s="175">
        <f t="shared" si="88"/>
        <v>74</v>
      </c>
      <c r="BM77" s="180">
        <f t="shared" si="89"/>
        <v>288.75</v>
      </c>
      <c r="BO77" s="181">
        <f t="shared" si="79"/>
        <v>49.210439858004015</v>
      </c>
      <c r="BP77" s="181">
        <f t="shared" si="80"/>
        <v>10.121624600159938</v>
      </c>
      <c r="BQ77" s="182">
        <f t="shared" si="81"/>
        <v>119.49839761517984</v>
      </c>
      <c r="BR77" s="183">
        <f t="shared" si="82"/>
        <v>0.75510938456471788</v>
      </c>
      <c r="BS77" s="187">
        <f t="shared" si="83"/>
        <v>925.98344627776873</v>
      </c>
      <c r="BT77" s="183">
        <f t="shared" si="84"/>
        <v>699.21879023592248</v>
      </c>
      <c r="BW77" s="53">
        <f t="shared" si="68"/>
        <v>98.420879716008031</v>
      </c>
      <c r="BY77" s="14">
        <f t="shared" si="69"/>
        <v>21.304933749257295</v>
      </c>
      <c r="BZ77" s="53">
        <f t="shared" si="70"/>
        <v>96.654090276734649</v>
      </c>
      <c r="CZ77" s="14">
        <f t="shared" si="90"/>
        <v>14.333697468565861</v>
      </c>
      <c r="DB77" s="140">
        <f t="shared" si="91"/>
        <v>86.850200730797383</v>
      </c>
      <c r="DG77" s="88">
        <f t="shared" si="92"/>
        <v>43.001092405697584</v>
      </c>
      <c r="DH77" s="40">
        <f t="shared" si="93"/>
        <v>123.53111226509648</v>
      </c>
    </row>
    <row r="78" spans="15:112">
      <c r="O78" s="112">
        <f t="shared" si="85"/>
        <v>75</v>
      </c>
      <c r="P78" s="138">
        <f t="shared" si="86"/>
        <v>28.25</v>
      </c>
      <c r="Q78" s="146"/>
      <c r="R78" s="56">
        <f t="shared" si="71"/>
        <v>29.020369043109149</v>
      </c>
      <c r="S78" s="56">
        <f t="shared" si="72"/>
        <v>0.99025418166066925</v>
      </c>
      <c r="T78" s="56">
        <f t="shared" si="73"/>
        <v>30.010623224769819</v>
      </c>
      <c r="U78" s="154">
        <f t="shared" si="63"/>
        <v>128.81983884857397</v>
      </c>
      <c r="V78" s="149">
        <f t="shared" si="74"/>
        <v>2.2084213112176965</v>
      </c>
      <c r="W78" s="162">
        <f t="shared" si="75"/>
        <v>31.661476308176923</v>
      </c>
      <c r="X78" s="4">
        <f t="shared" si="87"/>
        <v>98.884469621774798</v>
      </c>
      <c r="BB78" s="40"/>
      <c r="BC78" s="167">
        <f t="shared" si="64"/>
        <v>58.040738086218298</v>
      </c>
      <c r="BD78" s="165">
        <f t="shared" si="65"/>
        <v>59.030992267878965</v>
      </c>
      <c r="BF78" s="14">
        <f t="shared" si="66"/>
        <v>2.0017108022861088</v>
      </c>
      <c r="BG78" s="140">
        <f t="shared" si="67"/>
        <v>106.86237937805248</v>
      </c>
      <c r="BH78" s="170">
        <f t="shared" si="76"/>
        <v>0.17628240053018035</v>
      </c>
      <c r="BI78" s="169">
        <f t="shared" si="77"/>
        <v>710.33640546862341</v>
      </c>
      <c r="BJ78" s="169">
        <f t="shared" si="78"/>
        <v>177.0875489694296</v>
      </c>
      <c r="BL78" s="175">
        <f t="shared" si="88"/>
        <v>75</v>
      </c>
      <c r="BM78" s="180">
        <f t="shared" si="89"/>
        <v>292.5</v>
      </c>
      <c r="BO78" s="181">
        <f t="shared" si="79"/>
        <v>49.322517408363986</v>
      </c>
      <c r="BP78" s="181">
        <f t="shared" si="80"/>
        <v>10.253074270291885</v>
      </c>
      <c r="BQ78" s="182">
        <f t="shared" si="81"/>
        <v>119.25487039468794</v>
      </c>
      <c r="BR78" s="183">
        <f t="shared" si="82"/>
        <v>0.73423233526782206</v>
      </c>
      <c r="BS78" s="187">
        <f t="shared" si="83"/>
        <v>952.31271717401728</v>
      </c>
      <c r="BT78" s="183">
        <f t="shared" si="84"/>
        <v>699.21879023592362</v>
      </c>
      <c r="BW78" s="53">
        <f t="shared" si="68"/>
        <v>98.645034816727971</v>
      </c>
      <c r="BY78" s="14">
        <f t="shared" si="69"/>
        <v>21.36097252443728</v>
      </c>
      <c r="BZ78" s="53">
        <f t="shared" si="70"/>
        <v>96.354524281062737</v>
      </c>
      <c r="CZ78" s="14">
        <f t="shared" si="90"/>
        <v>14.393326938302627</v>
      </c>
      <c r="DB78" s="140">
        <f t="shared" si="91"/>
        <v>86.658167354573891</v>
      </c>
      <c r="DG78" s="88">
        <f t="shared" si="92"/>
        <v>43.179980814907879</v>
      </c>
      <c r="DH78" s="40">
        <f t="shared" si="93"/>
        <v>123.33907888887299</v>
      </c>
    </row>
    <row r="79" spans="15:112">
      <c r="O79" s="112">
        <f t="shared" si="85"/>
        <v>76</v>
      </c>
      <c r="P79" s="138">
        <f t="shared" si="86"/>
        <v>28.625</v>
      </c>
      <c r="Q79" s="146"/>
      <c r="R79" s="56">
        <f t="shared" si="71"/>
        <v>29.134909906958889</v>
      </c>
      <c r="S79" s="56">
        <f t="shared" si="72"/>
        <v>1.003399148673864</v>
      </c>
      <c r="T79" s="56">
        <f t="shared" si="73"/>
        <v>30.138309055632753</v>
      </c>
      <c r="U79" s="154">
        <f t="shared" si="63"/>
        <v>128.69215301771104</v>
      </c>
      <c r="V79" s="149">
        <f t="shared" si="74"/>
        <v>2.1761941468595398</v>
      </c>
      <c r="W79" s="162">
        <f t="shared" si="75"/>
        <v>32.130349732121196</v>
      </c>
      <c r="X79" s="4">
        <f t="shared" si="87"/>
        <v>98.884469621774826</v>
      </c>
      <c r="BB79" s="40"/>
      <c r="BC79" s="167">
        <f t="shared" si="64"/>
        <v>58.269819813917778</v>
      </c>
      <c r="BD79" s="165">
        <f t="shared" si="65"/>
        <v>59.273218962591642</v>
      </c>
      <c r="BF79" s="14">
        <f t="shared" si="66"/>
        <v>2.0589812342109788</v>
      </c>
      <c r="BG79" s="140">
        <f t="shared" si="67"/>
        <v>106.67742311526466</v>
      </c>
      <c r="BH79" s="170">
        <f t="shared" si="76"/>
        <v>0.17256834845355379</v>
      </c>
      <c r="BI79" s="169">
        <f t="shared" si="77"/>
        <v>725.62441410680117</v>
      </c>
      <c r="BJ79" s="169">
        <f t="shared" si="78"/>
        <v>177.08754896942932</v>
      </c>
      <c r="BL79" s="175">
        <f t="shared" si="88"/>
        <v>76</v>
      </c>
      <c r="BM79" s="180">
        <f t="shared" si="89"/>
        <v>296.25</v>
      </c>
      <c r="BO79" s="181">
        <f t="shared" si="79"/>
        <v>49.433167180363206</v>
      </c>
      <c r="BP79" s="181">
        <f t="shared" si="80"/>
        <v>10.384523940423833</v>
      </c>
      <c r="BQ79" s="182">
        <f t="shared" si="81"/>
        <v>119.01277095255676</v>
      </c>
      <c r="BR79" s="183">
        <f t="shared" si="82"/>
        <v>0.71404985388275566</v>
      </c>
      <c r="BS79" s="187">
        <f t="shared" si="83"/>
        <v>979.22965243086821</v>
      </c>
      <c r="BT79" s="183">
        <f t="shared" si="84"/>
        <v>699.21879023592305</v>
      </c>
      <c r="BW79" s="53">
        <f t="shared" si="68"/>
        <v>98.866334360726412</v>
      </c>
      <c r="BY79" s="14">
        <f t="shared" si="69"/>
        <v>21.41629741043689</v>
      </c>
      <c r="BZ79" s="53">
        <f t="shared" si="70"/>
        <v>96.057099952931964</v>
      </c>
      <c r="CZ79" s="14">
        <f t="shared" si="90"/>
        <v>14.452148760562171</v>
      </c>
      <c r="DB79" s="140">
        <f t="shared" si="91"/>
        <v>86.468556920782078</v>
      </c>
      <c r="DG79" s="88">
        <f t="shared" si="92"/>
        <v>43.356446281686516</v>
      </c>
      <c r="DH79" s="40">
        <f t="shared" si="93"/>
        <v>123.14946845508115</v>
      </c>
    </row>
    <row r="80" spans="15:112">
      <c r="O80" s="112">
        <f t="shared" si="85"/>
        <v>77</v>
      </c>
      <c r="P80" s="138">
        <f t="shared" si="86"/>
        <v>29</v>
      </c>
      <c r="Q80" s="146"/>
      <c r="R80" s="56">
        <f t="shared" si="71"/>
        <v>29.24795995797912</v>
      </c>
      <c r="S80" s="56">
        <f t="shared" si="72"/>
        <v>1.0165441156870587</v>
      </c>
      <c r="T80" s="56">
        <f t="shared" si="73"/>
        <v>30.264504073666178</v>
      </c>
      <c r="U80" s="154">
        <f t="shared" si="63"/>
        <v>128.56595799967761</v>
      </c>
      <c r="V80" s="149">
        <f t="shared" si="74"/>
        <v>2.1448053633144211</v>
      </c>
      <c r="W80" s="162">
        <f t="shared" si="75"/>
        <v>32.600570764864223</v>
      </c>
      <c r="X80" s="4">
        <f t="shared" si="87"/>
        <v>98.884469621774784</v>
      </c>
      <c r="BB80" s="40"/>
      <c r="BC80" s="167">
        <f t="shared" si="64"/>
        <v>58.49591991595824</v>
      </c>
      <c r="BD80" s="165">
        <f t="shared" si="65"/>
        <v>59.512464031645301</v>
      </c>
      <c r="BF80" s="14">
        <f t="shared" si="66"/>
        <v>2.1155062597210943</v>
      </c>
      <c r="BG80" s="140">
        <f t="shared" si="67"/>
        <v>106.49470307172112</v>
      </c>
      <c r="BH80" s="170">
        <f t="shared" si="76"/>
        <v>0.16897604486113116</v>
      </c>
      <c r="BI80" s="169">
        <f t="shared" si="77"/>
        <v>741.05064326068953</v>
      </c>
      <c r="BJ80" s="169">
        <f t="shared" si="78"/>
        <v>177.08754896942949</v>
      </c>
      <c r="BL80" s="175">
        <f t="shared" si="88"/>
        <v>77</v>
      </c>
      <c r="BM80" s="180">
        <f t="shared" si="89"/>
        <v>300</v>
      </c>
      <c r="BO80" s="181">
        <f t="shared" si="79"/>
        <v>49.542425094393252</v>
      </c>
      <c r="BP80" s="181">
        <f t="shared" si="80"/>
        <v>10.515973610555779</v>
      </c>
      <c r="BQ80" s="182">
        <f t="shared" si="81"/>
        <v>118.77206336839475</v>
      </c>
      <c r="BR80" s="183">
        <f t="shared" si="82"/>
        <v>0.69453343147869384</v>
      </c>
      <c r="BS80" s="187">
        <f t="shared" si="83"/>
        <v>1006.7460521623149</v>
      </c>
      <c r="BT80" s="183">
        <f t="shared" si="84"/>
        <v>699.21879023592066</v>
      </c>
      <c r="BW80" s="53">
        <f t="shared" si="68"/>
        <v>99.084850188786504</v>
      </c>
      <c r="BY80" s="14">
        <f t="shared" si="69"/>
        <v>21.470926367451913</v>
      </c>
      <c r="BZ80" s="53">
        <f t="shared" si="70"/>
        <v>95.761763411754956</v>
      </c>
      <c r="CZ80" s="14">
        <f t="shared" si="90"/>
        <v>14.510184521554574</v>
      </c>
      <c r="DB80" s="140">
        <f t="shared" si="91"/>
        <v>86.281304670791656</v>
      </c>
      <c r="DG80" s="88">
        <f t="shared" si="92"/>
        <v>43.53055356466372</v>
      </c>
      <c r="DH80" s="40">
        <f t="shared" si="93"/>
        <v>122.96221620509075</v>
      </c>
    </row>
    <row r="81" spans="15:112">
      <c r="O81" s="112">
        <f t="shared" si="85"/>
        <v>78</v>
      </c>
      <c r="P81" s="138">
        <f t="shared" si="86"/>
        <v>29.375</v>
      </c>
      <c r="Q81" s="146"/>
      <c r="R81" s="56">
        <f t="shared" si="71"/>
        <v>29.359557505595856</v>
      </c>
      <c r="S81" s="56">
        <f t="shared" si="72"/>
        <v>1.0296890827002534</v>
      </c>
      <c r="T81" s="56">
        <f t="shared" si="73"/>
        <v>30.38924658829611</v>
      </c>
      <c r="U81" s="154">
        <f t="shared" si="63"/>
        <v>128.44121548504768</v>
      </c>
      <c r="V81" s="149">
        <f t="shared" si="74"/>
        <v>2.1142228450363185</v>
      </c>
      <c r="W81" s="162">
        <f t="shared" si="75"/>
        <v>33.072142412873688</v>
      </c>
      <c r="X81" s="4">
        <f t="shared" si="87"/>
        <v>98.884469621774784</v>
      </c>
      <c r="BB81" s="40"/>
      <c r="BC81" s="167">
        <f t="shared" si="64"/>
        <v>58.719115011191711</v>
      </c>
      <c r="BD81" s="165">
        <f t="shared" si="65"/>
        <v>59.748804093891962</v>
      </c>
      <c r="BF81" s="14">
        <f t="shared" si="66"/>
        <v>2.1713050335294621</v>
      </c>
      <c r="BG81" s="140">
        <f t="shared" si="67"/>
        <v>106.31416178328284</v>
      </c>
      <c r="BH81" s="170">
        <f t="shared" si="76"/>
        <v>0.16550002974097344</v>
      </c>
      <c r="BI81" s="169">
        <f t="shared" si="77"/>
        <v>756.61501049861897</v>
      </c>
      <c r="BJ81" s="169">
        <f t="shared" si="78"/>
        <v>177.08754896942946</v>
      </c>
      <c r="BL81" s="175">
        <f t="shared" si="88"/>
        <v>78</v>
      </c>
      <c r="BM81" s="180">
        <f t="shared" si="89"/>
        <v>303.75</v>
      </c>
      <c r="BO81" s="181">
        <f t="shared" si="79"/>
        <v>49.650325732127378</v>
      </c>
      <c r="BP81" s="181">
        <f t="shared" si="80"/>
        <v>10.647423280687727</v>
      </c>
      <c r="BQ81" s="182">
        <f t="shared" si="81"/>
        <v>118.53271306052869</v>
      </c>
      <c r="BR81" s="183">
        <f t="shared" si="82"/>
        <v>0.6756560035047855</v>
      </c>
      <c r="BS81" s="187">
        <f t="shared" si="83"/>
        <v>1034.873939710312</v>
      </c>
      <c r="BT81" s="183">
        <f t="shared" si="84"/>
        <v>699.2187902359218</v>
      </c>
      <c r="BW81" s="53">
        <f t="shared" si="68"/>
        <v>99.300651464254756</v>
      </c>
      <c r="BY81" s="14">
        <f t="shared" si="69"/>
        <v>21.524876686318976</v>
      </c>
      <c r="BZ81" s="53">
        <f t="shared" si="70"/>
        <v>95.468462785021813</v>
      </c>
      <c r="CZ81" s="14">
        <f t="shared" si="90"/>
        <v>14.567454953479444</v>
      </c>
      <c r="DB81" s="140">
        <f t="shared" si="91"/>
        <v>86.096348408003863</v>
      </c>
      <c r="DG81" s="88">
        <f t="shared" si="92"/>
        <v>43.70236486043833</v>
      </c>
      <c r="DH81" s="40">
        <f t="shared" si="93"/>
        <v>122.77725994230295</v>
      </c>
    </row>
    <row r="82" spans="15:112">
      <c r="O82" s="112">
        <f t="shared" si="85"/>
        <v>79</v>
      </c>
      <c r="P82" s="138">
        <f t="shared" si="86"/>
        <v>29.75</v>
      </c>
      <c r="Q82" s="146"/>
      <c r="R82" s="56">
        <f t="shared" si="71"/>
        <v>29.469739401291367</v>
      </c>
      <c r="S82" s="56">
        <f t="shared" si="72"/>
        <v>1.0428340497134481</v>
      </c>
      <c r="T82" s="56">
        <f t="shared" si="73"/>
        <v>30.512573451004815</v>
      </c>
      <c r="U82" s="154">
        <f t="shared" si="63"/>
        <v>128.31788862233898</v>
      </c>
      <c r="V82" s="149">
        <f t="shared" si="74"/>
        <v>2.0844160957614117</v>
      </c>
      <c r="W82" s="162">
        <f t="shared" si="75"/>
        <v>33.545067688632784</v>
      </c>
      <c r="X82" s="4">
        <f t="shared" si="87"/>
        <v>98.884469621774969</v>
      </c>
      <c r="BB82" s="40"/>
      <c r="BC82" s="167">
        <f t="shared" si="64"/>
        <v>58.939478802582734</v>
      </c>
      <c r="BD82" s="165">
        <f t="shared" si="65"/>
        <v>59.982312852296182</v>
      </c>
      <c r="BF82" s="14">
        <f t="shared" si="66"/>
        <v>2.2263959813772178</v>
      </c>
      <c r="BG82" s="140">
        <f t="shared" si="67"/>
        <v>106.13574397272636</v>
      </c>
      <c r="BH82" s="170">
        <f t="shared" si="76"/>
        <v>0.16213515296455336</v>
      </c>
      <c r="BI82" s="169">
        <f t="shared" si="77"/>
        <v>772.3174428889223</v>
      </c>
      <c r="BJ82" s="169">
        <f t="shared" si="78"/>
        <v>177.08754896942912</v>
      </c>
      <c r="BL82" s="175">
        <f t="shared" si="88"/>
        <v>79</v>
      </c>
      <c r="BM82" s="180">
        <f t="shared" si="89"/>
        <v>307.5</v>
      </c>
      <c r="BO82" s="181">
        <f t="shared" si="79"/>
        <v>49.756902402228711</v>
      </c>
      <c r="BP82" s="181">
        <f t="shared" si="80"/>
        <v>10.778872950819673</v>
      </c>
      <c r="BQ82" s="182">
        <f t="shared" si="81"/>
        <v>118.2946867202954</v>
      </c>
      <c r="BR82" s="183">
        <f t="shared" si="82"/>
        <v>0.65739186117619541</v>
      </c>
      <c r="BS82" s="187">
        <f t="shared" si="83"/>
        <v>1063.6255657088468</v>
      </c>
      <c r="BT82" s="183">
        <f t="shared" si="84"/>
        <v>699.21879023592248</v>
      </c>
      <c r="BW82" s="53">
        <f t="shared" si="68"/>
        <v>99.513804804457422</v>
      </c>
      <c r="BY82" s="14">
        <f t="shared" si="69"/>
        <v>21.578165021369642</v>
      </c>
      <c r="BZ82" s="53">
        <f t="shared" si="70"/>
        <v>95.177148109737871</v>
      </c>
      <c r="CZ82" s="14">
        <f t="shared" si="90"/>
        <v>14.62397997898956</v>
      </c>
      <c r="DB82" s="140">
        <f t="shared" si="91"/>
        <v>85.913628364460322</v>
      </c>
      <c r="DG82" s="88">
        <f t="shared" si="92"/>
        <v>43.87193993696868</v>
      </c>
      <c r="DH82" s="40">
        <f t="shared" si="93"/>
        <v>122.59453989875941</v>
      </c>
    </row>
    <row r="83" spans="15:112">
      <c r="O83" s="112">
        <f t="shared" si="85"/>
        <v>80</v>
      </c>
      <c r="P83" s="138">
        <f t="shared" si="86"/>
        <v>30.125</v>
      </c>
      <c r="Q83" s="146"/>
      <c r="R83" s="56">
        <f t="shared" si="71"/>
        <v>29.578541111658495</v>
      </c>
      <c r="S83" s="56">
        <f t="shared" si="72"/>
        <v>1.0559790167266427</v>
      </c>
      <c r="T83" s="56">
        <f t="shared" si="73"/>
        <v>30.634520128385137</v>
      </c>
      <c r="U83" s="154">
        <f t="shared" si="63"/>
        <v>128.19594194495866</v>
      </c>
      <c r="V83" s="149">
        <f t="shared" si="74"/>
        <v>2.0553561377228471</v>
      </c>
      <c r="W83" s="162">
        <f t="shared" si="75"/>
        <v>34.019349610651702</v>
      </c>
      <c r="X83" s="4">
        <f t="shared" si="87"/>
        <v>98.884469621775096</v>
      </c>
      <c r="BB83" s="40"/>
      <c r="BC83" s="167">
        <f t="shared" si="64"/>
        <v>59.157082223316991</v>
      </c>
      <c r="BD83" s="165">
        <f t="shared" si="65"/>
        <v>60.213061240043636</v>
      </c>
      <c r="BF83" s="14">
        <f t="shared" si="66"/>
        <v>2.280796836560782</v>
      </c>
      <c r="BG83" s="140">
        <f t="shared" si="67"/>
        <v>105.95939644016248</v>
      </c>
      <c r="BH83" s="170">
        <f t="shared" si="76"/>
        <v>0.15887655308733492</v>
      </c>
      <c r="BI83" s="169">
        <f t="shared" si="77"/>
        <v>788.15787670792906</v>
      </c>
      <c r="BJ83" s="169">
        <f t="shared" si="78"/>
        <v>177.0875489694296</v>
      </c>
      <c r="BL83" s="175">
        <f t="shared" si="88"/>
        <v>80</v>
      </c>
      <c r="BM83" s="180">
        <f t="shared" si="89"/>
        <v>311.25</v>
      </c>
      <c r="BO83" s="181">
        <f t="shared" si="79"/>
        <v>49.862187202075852</v>
      </c>
      <c r="BP83" s="181">
        <f t="shared" si="80"/>
        <v>10.910322620951622</v>
      </c>
      <c r="BQ83" s="182">
        <f t="shared" si="81"/>
        <v>118.0579522503163</v>
      </c>
      <c r="BR83" s="183">
        <f t="shared" si="82"/>
        <v>0.63971656927402953</v>
      </c>
      <c r="BS83" s="187">
        <f t="shared" si="83"/>
        <v>1093.0134122200668</v>
      </c>
      <c r="BT83" s="183">
        <f t="shared" si="84"/>
        <v>699.2187902359218</v>
      </c>
      <c r="BW83" s="53">
        <f t="shared" si="68"/>
        <v>99.724374404151703</v>
      </c>
      <c r="BY83" s="14">
        <f t="shared" si="69"/>
        <v>21.630807421293213</v>
      </c>
      <c r="BZ83" s="53">
        <f t="shared" si="70"/>
        <v>94.887771239835217</v>
      </c>
      <c r="CZ83" s="14">
        <f t="shared" si="90"/>
        <v>14.679778752797928</v>
      </c>
      <c r="DB83" s="140">
        <f t="shared" si="91"/>
        <v>85.733087076022031</v>
      </c>
      <c r="DG83" s="88">
        <f t="shared" si="92"/>
        <v>44.039336258393782</v>
      </c>
      <c r="DH83" s="40">
        <f t="shared" si="93"/>
        <v>122.41399861032112</v>
      </c>
    </row>
    <row r="84" spans="15:112">
      <c r="O84" s="112">
        <f t="shared" si="85"/>
        <v>81</v>
      </c>
      <c r="P84" s="138">
        <f t="shared" si="86"/>
        <v>30.5</v>
      </c>
      <c r="Q84" s="146"/>
      <c r="R84" s="56">
        <f t="shared" si="71"/>
        <v>29.685996786935718</v>
      </c>
      <c r="S84" s="56">
        <f t="shared" si="72"/>
        <v>1.0691239837398374</v>
      </c>
      <c r="T84" s="56">
        <f t="shared" si="73"/>
        <v>30.755120770675553</v>
      </c>
      <c r="U84" s="154">
        <f t="shared" si="63"/>
        <v>128.07534130266825</v>
      </c>
      <c r="V84" s="149">
        <f t="shared" si="74"/>
        <v>2.0270154183005142</v>
      </c>
      <c r="W84" s="162">
        <f t="shared" si="75"/>
        <v>34.494991203478861</v>
      </c>
      <c r="X84" s="4">
        <f t="shared" si="87"/>
        <v>98.884469621775011</v>
      </c>
      <c r="BB84" s="40"/>
      <c r="BC84" s="167">
        <f t="shared" si="64"/>
        <v>59.371993573871436</v>
      </c>
      <c r="BD84" s="165">
        <f t="shared" si="65"/>
        <v>60.441117557611271</v>
      </c>
      <c r="BF84" s="14">
        <f t="shared" si="66"/>
        <v>2.3345246741993932</v>
      </c>
      <c r="BG84" s="140">
        <f t="shared" si="67"/>
        <v>105.78506796023345</v>
      </c>
      <c r="BH84" s="170">
        <f t="shared" si="76"/>
        <v>0.15571963784104295</v>
      </c>
      <c r="BI84" s="169">
        <f t="shared" si="77"/>
        <v>804.1362571611636</v>
      </c>
      <c r="BJ84" s="169">
        <f t="shared" si="78"/>
        <v>177.08754896942918</v>
      </c>
      <c r="BL84" s="175">
        <f t="shared" si="88"/>
        <v>81</v>
      </c>
      <c r="BM84" s="180">
        <f t="shared" si="89"/>
        <v>315</v>
      </c>
      <c r="BO84" s="181">
        <f t="shared" si="79"/>
        <v>49.96621107579201</v>
      </c>
      <c r="BP84" s="181">
        <f t="shared" si="80"/>
        <v>11.041772291083568</v>
      </c>
      <c r="BQ84" s="182">
        <f t="shared" si="81"/>
        <v>117.82247870646822</v>
      </c>
      <c r="BR84" s="183">
        <f t="shared" si="82"/>
        <v>0.62260688982451218</v>
      </c>
      <c r="BS84" s="187">
        <f t="shared" si="83"/>
        <v>1123.0501969436991</v>
      </c>
      <c r="BT84" s="183">
        <f t="shared" si="84"/>
        <v>699.21879023592237</v>
      </c>
      <c r="BW84" s="53">
        <f t="shared" si="68"/>
        <v>99.932422151584021</v>
      </c>
      <c r="BY84" s="14">
        <f t="shared" si="69"/>
        <v>21.682819358151292</v>
      </c>
      <c r="BZ84" s="53">
        <f t="shared" si="70"/>
        <v>94.600285759129022</v>
      </c>
      <c r="CZ84" s="14">
        <f t="shared" si="90"/>
        <v>14.734869700645683</v>
      </c>
      <c r="DB84" s="140">
        <f t="shared" si="91"/>
        <v>85.554669265465549</v>
      </c>
      <c r="DG84" s="88">
        <f t="shared" si="92"/>
        <v>44.204609101937052</v>
      </c>
      <c r="DH84" s="40">
        <f t="shared" si="93"/>
        <v>122.23558079976465</v>
      </c>
    </row>
    <row r="85" spans="15:112">
      <c r="O85" s="112">
        <f t="shared" si="85"/>
        <v>82</v>
      </c>
      <c r="P85" s="138">
        <f t="shared" si="86"/>
        <v>30.875</v>
      </c>
      <c r="Q85" s="146"/>
      <c r="R85" s="56">
        <f t="shared" si="71"/>
        <v>29.792139325354441</v>
      </c>
      <c r="S85" s="56">
        <f t="shared" si="72"/>
        <v>1.0822689507530323</v>
      </c>
      <c r="T85" s="56">
        <f t="shared" si="73"/>
        <v>30.874408276107474</v>
      </c>
      <c r="U85" s="154">
        <f t="shared" si="63"/>
        <v>127.95605379723634</v>
      </c>
      <c r="V85" s="149">
        <f t="shared" si="74"/>
        <v>1.9993677234736653</v>
      </c>
      <c r="W85" s="162">
        <f t="shared" si="75"/>
        <v>34.971995497712314</v>
      </c>
      <c r="X85" s="4">
        <f t="shared" si="87"/>
        <v>98.884469621775125</v>
      </c>
      <c r="BB85" s="40"/>
      <c r="BC85" s="167">
        <f t="shared" si="64"/>
        <v>59.584278650708882</v>
      </c>
      <c r="BD85" s="165">
        <f t="shared" si="65"/>
        <v>60.666547601461914</v>
      </c>
      <c r="BF85" s="14">
        <f t="shared" si="66"/>
        <v>2.3875959434087548</v>
      </c>
      <c r="BG85" s="140">
        <f t="shared" si="67"/>
        <v>105.61270918559215</v>
      </c>
      <c r="BH85" s="170">
        <f t="shared" si="76"/>
        <v>0.15266006616382305</v>
      </c>
      <c r="BI85" s="169">
        <f t="shared" si="77"/>
        <v>820.25253811702055</v>
      </c>
      <c r="BJ85" s="169">
        <f t="shared" si="78"/>
        <v>177.08754896942915</v>
      </c>
      <c r="BL85" s="175">
        <f t="shared" si="88"/>
        <v>82</v>
      </c>
      <c r="BM85" s="180">
        <f t="shared" si="89"/>
        <v>318.75</v>
      </c>
      <c r="BO85" s="181">
        <f t="shared" si="79"/>
        <v>50.069003868840234</v>
      </c>
      <c r="BP85" s="181">
        <f t="shared" si="80"/>
        <v>11.173221961215514</v>
      </c>
      <c r="BQ85" s="182">
        <f t="shared" si="81"/>
        <v>117.58823624328807</v>
      </c>
      <c r="BR85" s="183">
        <f t="shared" si="82"/>
        <v>0.60604071117313396</v>
      </c>
      <c r="BS85" s="187">
        <f t="shared" si="83"/>
        <v>1153.7488775010211</v>
      </c>
      <c r="BT85" s="183">
        <f t="shared" si="84"/>
        <v>699.21879023592385</v>
      </c>
      <c r="BW85" s="53">
        <f t="shared" si="68"/>
        <v>100.13800773768047</v>
      </c>
      <c r="BY85" s="14">
        <f t="shared" si="69"/>
        <v>21.734215754675404</v>
      </c>
      <c r="BZ85" s="53">
        <f t="shared" si="70"/>
        <v>94.314646899424744</v>
      </c>
      <c r="CZ85" s="14">
        <f t="shared" si="90"/>
        <v>14.789270555829248</v>
      </c>
      <c r="DB85" s="140">
        <f t="shared" si="91"/>
        <v>85.378321732901668</v>
      </c>
      <c r="DG85" s="88">
        <f t="shared" si="92"/>
        <v>44.367811667487743</v>
      </c>
      <c r="DH85" s="40">
        <f t="shared" si="93"/>
        <v>122.05923326720077</v>
      </c>
    </row>
    <row r="86" spans="15:112">
      <c r="O86" s="112">
        <f t="shared" si="85"/>
        <v>83</v>
      </c>
      <c r="P86" s="138">
        <f t="shared" si="86"/>
        <v>31.25</v>
      </c>
      <c r="Q86" s="146"/>
      <c r="R86" s="56">
        <f t="shared" si="71"/>
        <v>29.897000433601878</v>
      </c>
      <c r="S86" s="56">
        <f t="shared" si="72"/>
        <v>1.095413917766227</v>
      </c>
      <c r="T86" s="56">
        <f t="shared" si="73"/>
        <v>30.992414351368105</v>
      </c>
      <c r="U86" s="154">
        <f t="shared" si="63"/>
        <v>127.8380477219757</v>
      </c>
      <c r="V86" s="149">
        <f t="shared" si="74"/>
        <v>1.9723880975049073</v>
      </c>
      <c r="W86" s="162">
        <f t="shared" si="75"/>
        <v>35.450365530011183</v>
      </c>
      <c r="X86" s="4">
        <f t="shared" si="87"/>
        <v>98.884469621775068</v>
      </c>
      <c r="BB86" s="40"/>
      <c r="BC86" s="167">
        <f t="shared" si="64"/>
        <v>59.794000867203756</v>
      </c>
      <c r="BD86" s="165">
        <f t="shared" si="65"/>
        <v>60.889414784969986</v>
      </c>
      <c r="BF86" s="14">
        <f t="shared" si="66"/>
        <v>2.4400264975324735</v>
      </c>
      <c r="BG86" s="140">
        <f t="shared" si="67"/>
        <v>105.4422725562078</v>
      </c>
      <c r="BH86" s="170">
        <f t="shared" si="76"/>
        <v>0.1496937316301222</v>
      </c>
      <c r="BI86" s="169">
        <f t="shared" si="77"/>
        <v>836.50668185220525</v>
      </c>
      <c r="BJ86" s="169">
        <f t="shared" si="78"/>
        <v>177.08754896942898</v>
      </c>
      <c r="BL86" s="175">
        <f t="shared" si="88"/>
        <v>83</v>
      </c>
      <c r="BM86" s="180">
        <f t="shared" si="89"/>
        <v>322.5</v>
      </c>
      <c r="BO86" s="181">
        <f t="shared" si="79"/>
        <v>50.170594379425737</v>
      </c>
      <c r="BP86" s="181">
        <f t="shared" si="80"/>
        <v>11.304671631347462</v>
      </c>
      <c r="BQ86" s="182">
        <f t="shared" si="81"/>
        <v>117.3551960625706</v>
      </c>
      <c r="BR86" s="183">
        <f t="shared" si="82"/>
        <v>0.5899969820145361</v>
      </c>
      <c r="BS86" s="187">
        <f t="shared" si="83"/>
        <v>1185.122655794697</v>
      </c>
      <c r="BT86" s="183">
        <f t="shared" si="84"/>
        <v>699.21879023592317</v>
      </c>
      <c r="BW86" s="53">
        <f t="shared" si="68"/>
        <v>100.34118875885147</v>
      </c>
      <c r="BY86" s="14">
        <f t="shared" si="69"/>
        <v>21.785011009968155</v>
      </c>
      <c r="BZ86" s="53">
        <f t="shared" si="70"/>
        <v>94.030811463414551</v>
      </c>
      <c r="CZ86" s="14">
        <f t="shared" si="90"/>
        <v>14.842998393467859</v>
      </c>
      <c r="DB86" s="140">
        <f t="shared" si="91"/>
        <v>85.203993252972651</v>
      </c>
      <c r="DG86" s="88">
        <f t="shared" si="92"/>
        <v>44.528995180403577</v>
      </c>
      <c r="DH86" s="40">
        <f t="shared" si="93"/>
        <v>121.88490478727174</v>
      </c>
    </row>
    <row r="87" spans="15:112">
      <c r="O87" s="112">
        <f t="shared" si="85"/>
        <v>84</v>
      </c>
      <c r="P87" s="138">
        <f t="shared" si="86"/>
        <v>31.625</v>
      </c>
      <c r="Q87" s="146"/>
      <c r="R87" s="56">
        <f t="shared" si="71"/>
        <v>30.00061068367749</v>
      </c>
      <c r="S87" s="56">
        <f t="shared" si="72"/>
        <v>1.1085588847794217</v>
      </c>
      <c r="T87" s="56">
        <f t="shared" si="73"/>
        <v>31.109169568456913</v>
      </c>
      <c r="U87" s="154">
        <f t="shared" si="63"/>
        <v>127.72129250488689</v>
      </c>
      <c r="V87" s="149">
        <f t="shared" si="74"/>
        <v>1.9460527683384372</v>
      </c>
      <c r="W87" s="162">
        <f t="shared" si="75"/>
        <v>35.930104343107004</v>
      </c>
      <c r="X87" s="4">
        <f t="shared" si="87"/>
        <v>98.884469621775054</v>
      </c>
      <c r="BB87" s="40"/>
      <c r="BC87" s="167">
        <f t="shared" si="64"/>
        <v>60.001221367354979</v>
      </c>
      <c r="BD87" s="165">
        <f t="shared" si="65"/>
        <v>61.109780252134399</v>
      </c>
      <c r="BF87" s="14">
        <f t="shared" si="66"/>
        <v>2.4918316225702792</v>
      </c>
      <c r="BG87" s="140">
        <f t="shared" si="67"/>
        <v>105.27371221408119</v>
      </c>
      <c r="BH87" s="170">
        <f t="shared" si="76"/>
        <v>0.14681674715604631</v>
      </c>
      <c r="BI87" s="169">
        <f t="shared" si="77"/>
        <v>852.89865880829143</v>
      </c>
      <c r="BJ87" s="169">
        <f t="shared" si="78"/>
        <v>177.08754896942884</v>
      </c>
      <c r="BL87" s="175">
        <f t="shared" si="88"/>
        <v>84</v>
      </c>
      <c r="BM87" s="180">
        <f t="shared" si="89"/>
        <v>326.25</v>
      </c>
      <c r="BO87" s="181">
        <f t="shared" si="79"/>
        <v>50.271010406926749</v>
      </c>
      <c r="BP87" s="181">
        <f t="shared" si="80"/>
        <v>11.436121301479409</v>
      </c>
      <c r="BQ87" s="182">
        <f t="shared" si="81"/>
        <v>117.12333036493763</v>
      </c>
      <c r="BR87" s="183">
        <f t="shared" si="82"/>
        <v>0.574455649979284</v>
      </c>
      <c r="BS87" s="187">
        <f t="shared" si="83"/>
        <v>1217.184982445795</v>
      </c>
      <c r="BT87" s="183">
        <f t="shared" si="84"/>
        <v>699.21879023592248</v>
      </c>
      <c r="BW87" s="53">
        <f t="shared" si="68"/>
        <v>100.5420208138535</v>
      </c>
      <c r="BY87" s="14">
        <f t="shared" si="69"/>
        <v>21.835219023718661</v>
      </c>
      <c r="BZ87" s="53">
        <f t="shared" si="70"/>
        <v>93.74873775203109</v>
      </c>
      <c r="CZ87" s="14">
        <f t="shared" si="90"/>
        <v>14.89606966267722</v>
      </c>
      <c r="DB87" s="140">
        <f t="shared" si="91"/>
        <v>85.03163447833137</v>
      </c>
      <c r="DG87" s="88">
        <f t="shared" si="92"/>
        <v>44.688208988031661</v>
      </c>
      <c r="DH87" s="40">
        <f t="shared" si="93"/>
        <v>121.71254601263045</v>
      </c>
    </row>
    <row r="88" spans="15:112">
      <c r="O88" s="112">
        <f t="shared" si="85"/>
        <v>85</v>
      </c>
      <c r="P88" s="138">
        <f t="shared" si="86"/>
        <v>32</v>
      </c>
      <c r="Q88" s="146"/>
      <c r="R88" s="56">
        <f t="shared" si="71"/>
        <v>30.102999566398122</v>
      </c>
      <c r="S88" s="56">
        <f t="shared" si="72"/>
        <v>1.1217038517926166</v>
      </c>
      <c r="T88" s="56">
        <f t="shared" si="73"/>
        <v>31.224703418190739</v>
      </c>
      <c r="U88" s="154">
        <f t="shared" si="63"/>
        <v>127.60575865515307</v>
      </c>
      <c r="V88" s="149">
        <f t="shared" si="74"/>
        <v>1.9203390782436727</v>
      </c>
      <c r="W88" s="162">
        <f t="shared" si="75"/>
        <v>36.411214985815093</v>
      </c>
      <c r="X88" s="4">
        <f t="shared" si="87"/>
        <v>98.884469621775139</v>
      </c>
      <c r="BB88" s="40"/>
      <c r="BC88" s="167">
        <f t="shared" si="64"/>
        <v>60.205999132796244</v>
      </c>
      <c r="BD88" s="165">
        <f t="shared" si="65"/>
        <v>61.327702984588861</v>
      </c>
      <c r="BF88" s="14">
        <f t="shared" si="66"/>
        <v>2.5430260639305953</v>
      </c>
      <c r="BG88" s="140">
        <f t="shared" si="67"/>
        <v>105.10698392298707</v>
      </c>
      <c r="BH88" s="170">
        <f t="shared" si="76"/>
        <v>0.14402543086827546</v>
      </c>
      <c r="BI88" s="169">
        <f t="shared" si="77"/>
        <v>869.4284473588101</v>
      </c>
      <c r="BJ88" s="169">
        <f t="shared" si="78"/>
        <v>177.08754896942946</v>
      </c>
      <c r="BL88" s="175">
        <f t="shared" si="88"/>
        <v>85</v>
      </c>
      <c r="BM88" s="180">
        <f t="shared" si="89"/>
        <v>330</v>
      </c>
      <c r="BO88" s="181">
        <f t="shared" si="79"/>
        <v>50.370278797557752</v>
      </c>
      <c r="BP88" s="181">
        <f t="shared" si="80"/>
        <v>11.567570971611358</v>
      </c>
      <c r="BQ88" s="182">
        <f t="shared" si="81"/>
        <v>116.89261230417469</v>
      </c>
      <c r="BR88" s="183">
        <f t="shared" si="82"/>
        <v>0.55939760441493025</v>
      </c>
      <c r="BS88" s="187">
        <f t="shared" si="83"/>
        <v>1249.9495613093138</v>
      </c>
      <c r="BT88" s="183">
        <f t="shared" si="84"/>
        <v>699.21879023592317</v>
      </c>
      <c r="BW88" s="53">
        <f t="shared" si="68"/>
        <v>100.7405575951155</v>
      </c>
      <c r="BY88" s="14">
        <f t="shared" si="69"/>
        <v>21.884853219034163</v>
      </c>
      <c r="BZ88" s="53">
        <f t="shared" si="70"/>
        <v>93.468385495952617</v>
      </c>
      <c r="CZ88" s="14">
        <f t="shared" si="90"/>
        <v>14.948500216800939</v>
      </c>
      <c r="DB88" s="140">
        <f t="shared" si="91"/>
        <v>84.861197848947</v>
      </c>
      <c r="DG88" s="88">
        <f t="shared" si="92"/>
        <v>44.845500650402819</v>
      </c>
      <c r="DH88" s="40">
        <f t="shared" si="93"/>
        <v>121.5421093832461</v>
      </c>
    </row>
    <row r="89" spans="15:112">
      <c r="BL89" s="175">
        <f t="shared" si="88"/>
        <v>86</v>
      </c>
      <c r="BM89" s="180">
        <f t="shared" si="89"/>
        <v>333.75</v>
      </c>
      <c r="BO89" s="181">
        <f t="shared" si="79"/>
        <v>50.468425487452635</v>
      </c>
      <c r="BP89" s="181">
        <f t="shared" si="80"/>
        <v>11.699020641743305</v>
      </c>
      <c r="BQ89" s="182">
        <f t="shared" si="81"/>
        <v>116.66301594414784</v>
      </c>
      <c r="BR89" s="183">
        <f t="shared" si="82"/>
        <v>0.54480462303138533</v>
      </c>
      <c r="BS89" s="187">
        <f t="shared" si="83"/>
        <v>1283.4303540695926</v>
      </c>
      <c r="BT89" s="183">
        <f t="shared" si="84"/>
        <v>699.2187902359218</v>
      </c>
      <c r="BW89" s="53">
        <f t="shared" si="68"/>
        <v>100.93685097490527</v>
      </c>
      <c r="BY89" s="14">
        <f t="shared" si="69"/>
        <v>21.933926563981604</v>
      </c>
      <c r="BZ89" s="53">
        <f t="shared" si="70"/>
        <v>93.189715790978354</v>
      </c>
      <c r="CZ89" s="14">
        <f t="shared" si="90"/>
        <v>15.000305341838745</v>
      </c>
      <c r="DB89" s="140">
        <f t="shared" si="91"/>
        <v>84.692637506820404</v>
      </c>
      <c r="DG89" s="88">
        <f t="shared" si="92"/>
        <v>45.000916025516233</v>
      </c>
      <c r="DH89" s="40">
        <f t="shared" si="93"/>
        <v>121.3735490411195</v>
      </c>
    </row>
    <row r="90" spans="15:112">
      <c r="BL90" s="175">
        <f t="shared" si="88"/>
        <v>87</v>
      </c>
      <c r="BM90" s="180">
        <f t="shared" si="89"/>
        <v>337.5</v>
      </c>
      <c r="BO90" s="181">
        <f t="shared" si="79"/>
        <v>50.565475543340874</v>
      </c>
      <c r="BP90" s="181">
        <f t="shared" si="80"/>
        <v>11.830470311875253</v>
      </c>
      <c r="BQ90" s="182">
        <f t="shared" si="81"/>
        <v>116.43451621812767</v>
      </c>
      <c r="BR90" s="183">
        <f t="shared" si="82"/>
        <v>0.53065932210994526</v>
      </c>
      <c r="BS90" s="187">
        <f t="shared" si="83"/>
        <v>1317.6415849169878</v>
      </c>
      <c r="BT90" s="183">
        <f t="shared" si="84"/>
        <v>699.2187902359226</v>
      </c>
      <c r="BW90" s="53">
        <f t="shared" si="68"/>
        <v>101.13095108668175</v>
      </c>
      <c r="BY90" s="14">
        <f t="shared" si="69"/>
        <v>21.982451591925724</v>
      </c>
      <c r="BZ90" s="53">
        <f t="shared" si="70"/>
        <v>92.912691037014042</v>
      </c>
      <c r="CZ90" s="14">
        <f t="shared" si="90"/>
        <v>15.051499783199061</v>
      </c>
      <c r="DB90" s="140">
        <f t="shared" si="91"/>
        <v>84.525909215726259</v>
      </c>
      <c r="DG90" s="88">
        <f t="shared" si="92"/>
        <v>45.154499349597181</v>
      </c>
      <c r="DH90" s="40">
        <f t="shared" si="93"/>
        <v>121.20682075002534</v>
      </c>
    </row>
    <row r="91" spans="15:112">
      <c r="BL91" s="175">
        <f t="shared" si="88"/>
        <v>88</v>
      </c>
      <c r="BM91" s="180">
        <f t="shared" si="89"/>
        <v>341.25</v>
      </c>
      <c r="BO91" s="181">
        <f t="shared" si="79"/>
        <v>50.661453200976247</v>
      </c>
      <c r="BP91" s="181">
        <f t="shared" si="80"/>
        <v>11.961919982007199</v>
      </c>
      <c r="BQ91" s="182">
        <f t="shared" si="81"/>
        <v>116.20708889036035</v>
      </c>
      <c r="BR91" s="183">
        <f t="shared" si="82"/>
        <v>0.51694511000172194</v>
      </c>
      <c r="BS91" s="187">
        <f t="shared" si="83"/>
        <v>1352.597745307221</v>
      </c>
      <c r="BT91" s="183">
        <f t="shared" si="84"/>
        <v>699.21879023592237</v>
      </c>
      <c r="BW91" s="53">
        <f t="shared" si="68"/>
        <v>101.32290640195249</v>
      </c>
      <c r="BY91" s="14">
        <f t="shared" si="69"/>
        <v>22.03044042074341</v>
      </c>
      <c r="BZ91" s="53">
        <f t="shared" si="70"/>
        <v>92.637274880429032</v>
      </c>
    </row>
    <row r="92" spans="15:112">
      <c r="BL92" s="175">
        <f t="shared" si="88"/>
        <v>89</v>
      </c>
      <c r="BM92" s="180">
        <f t="shared" si="89"/>
        <v>345</v>
      </c>
      <c r="BO92" s="181">
        <f t="shared" si="79"/>
        <v>50.756381901465481</v>
      </c>
      <c r="BP92" s="181">
        <f t="shared" si="80"/>
        <v>12.093369652139145</v>
      </c>
      <c r="BQ92" s="182">
        <f t="shared" si="81"/>
        <v>115.98071051973918</v>
      </c>
      <c r="BR92" s="183">
        <f t="shared" si="82"/>
        <v>0.50364614366513627</v>
      </c>
      <c r="BS92" s="187">
        <f t="shared" si="83"/>
        <v>1388.3135988048377</v>
      </c>
      <c r="BT92" s="183">
        <f t="shared" si="84"/>
        <v>699.21879023592362</v>
      </c>
      <c r="BW92" s="53">
        <f t="shared" si="68"/>
        <v>101.51276380293096</v>
      </c>
      <c r="BY92" s="14">
        <f t="shared" si="69"/>
        <v>22.077904770988027</v>
      </c>
      <c r="BZ92" s="53">
        <f t="shared" si="70"/>
        <v>92.363432159563246</v>
      </c>
    </row>
    <row r="93" spans="15:112">
      <c r="BL93" s="175">
        <f t="shared" si="88"/>
        <v>90</v>
      </c>
      <c r="BM93" s="180">
        <f t="shared" si="89"/>
        <v>348.75</v>
      </c>
      <c r="BO93" s="181">
        <f t="shared" si="79"/>
        <v>50.850284325633083</v>
      </c>
      <c r="BP93" s="181">
        <f t="shared" si="80"/>
        <v>12.224819322271093</v>
      </c>
      <c r="BQ93" s="182">
        <f t="shared" si="81"/>
        <v>115.75535842543962</v>
      </c>
      <c r="BR93" s="183">
        <f t="shared" si="82"/>
        <v>0.49074728801359618</v>
      </c>
      <c r="BS93" s="187">
        <f t="shared" si="83"/>
        <v>1424.8041860122335</v>
      </c>
      <c r="BT93" s="183">
        <f t="shared" si="84"/>
        <v>699.21879023592305</v>
      </c>
      <c r="BW93" s="53">
        <f t="shared" si="68"/>
        <v>101.70056865126617</v>
      </c>
      <c r="BY93" s="14">
        <f t="shared" si="69"/>
        <v>22.124855983071829</v>
      </c>
      <c r="BZ93" s="53">
        <f t="shared" si="70"/>
        <v>92.091128853179896</v>
      </c>
    </row>
    <row r="94" spans="15:112">
      <c r="BL94" s="175">
        <f t="shared" si="88"/>
        <v>91</v>
      </c>
      <c r="BM94" s="180">
        <f t="shared" si="89"/>
        <v>352.5</v>
      </c>
      <c r="BO94" s="181">
        <f t="shared" si="79"/>
        <v>50.943182426548354</v>
      </c>
      <c r="BP94" s="181">
        <f t="shared" si="80"/>
        <v>12.35626899240304</v>
      </c>
      <c r="BQ94" s="182">
        <f t="shared" si="81"/>
        <v>115.53101065439239</v>
      </c>
      <c r="BR94" s="183">
        <f t="shared" si="82"/>
        <v>0.4782340778640306</v>
      </c>
      <c r="BS94" s="187">
        <f t="shared" si="83"/>
        <v>1462.0848295857338</v>
      </c>
      <c r="BT94" s="183">
        <f t="shared" si="84"/>
        <v>699.21879023592169</v>
      </c>
      <c r="BW94" s="53">
        <f t="shared" si="68"/>
        <v>101.88636485309671</v>
      </c>
      <c r="BY94" s="14">
        <f t="shared" si="69"/>
        <v>22.171305033529464</v>
      </c>
      <c r="BZ94" s="53">
        <f t="shared" si="70"/>
        <v>91.820332031675036</v>
      </c>
    </row>
    <row r="95" spans="15:112">
      <c r="BL95" s="175">
        <f t="shared" si="88"/>
        <v>92</v>
      </c>
      <c r="BM95" s="180">
        <f t="shared" si="89"/>
        <v>356.25</v>
      </c>
      <c r="BO95" s="181">
        <f t="shared" si="79"/>
        <v>51.035097460331329</v>
      </c>
      <c r="BP95" s="181">
        <f t="shared" si="80"/>
        <v>12.487718662534988</v>
      </c>
      <c r="BQ95" s="182">
        <f t="shared" si="81"/>
        <v>115.30764595047748</v>
      </c>
      <c r="BR95" s="183">
        <f t="shared" si="82"/>
        <v>0.46609268229452477</v>
      </c>
      <c r="BS95" s="187">
        <f t="shared" si="83"/>
        <v>1500.1711393402329</v>
      </c>
      <c r="BT95" s="183">
        <f t="shared" si="84"/>
        <v>699.21879023592248</v>
      </c>
      <c r="BW95" s="53">
        <f t="shared" si="68"/>
        <v>102.07019492066266</v>
      </c>
      <c r="BY95" s="14">
        <f t="shared" si="69"/>
        <v>22.217262550420951</v>
      </c>
      <c r="BZ95" s="53">
        <f t="shared" si="70"/>
        <v>91.551009810868635</v>
      </c>
    </row>
    <row r="96" spans="15:112">
      <c r="BL96" s="175">
        <f t="shared" si="88"/>
        <v>93</v>
      </c>
      <c r="BM96" s="180">
        <f t="shared" si="89"/>
        <v>360</v>
      </c>
      <c r="BO96" s="181">
        <f t="shared" si="79"/>
        <v>51.126050015345747</v>
      </c>
      <c r="BP96" s="181">
        <f t="shared" si="80"/>
        <v>12.619168332666934</v>
      </c>
      <c r="BQ96" s="182">
        <f t="shared" si="81"/>
        <v>115.08524372533111</v>
      </c>
      <c r="BR96" s="183">
        <f t="shared" si="82"/>
        <v>0.45430987123531286</v>
      </c>
      <c r="BS96" s="187">
        <f t="shared" si="83"/>
        <v>1539.0790174439273</v>
      </c>
      <c r="BT96" s="183">
        <f t="shared" si="84"/>
        <v>699.21879023592248</v>
      </c>
      <c r="BW96" s="53">
        <f t="shared" si="68"/>
        <v>102.25210003069149</v>
      </c>
      <c r="BY96" s="14">
        <f t="shared" si="69"/>
        <v>22.26273882792816</v>
      </c>
      <c r="BZ96" s="53">
        <f t="shared" si="70"/>
        <v>91.283131308215061</v>
      </c>
    </row>
    <row r="97" spans="64:78">
      <c r="BL97" s="175">
        <f t="shared" si="88"/>
        <v>94</v>
      </c>
      <c r="BM97" s="180">
        <f t="shared" si="89"/>
        <v>363.75</v>
      </c>
      <c r="BO97" s="181">
        <f t="shared" si="79"/>
        <v>51.216060039879274</v>
      </c>
      <c r="BP97" s="181">
        <f t="shared" si="80"/>
        <v>12.750618002798882</v>
      </c>
      <c r="BQ97" s="182">
        <f t="shared" si="81"/>
        <v>114.86378403066564</v>
      </c>
      <c r="BR97" s="183">
        <f t="shared" si="82"/>
        <v>0.44287298413188791</v>
      </c>
      <c r="BS97" s="187">
        <f t="shared" si="83"/>
        <v>1578.8246637046932</v>
      </c>
      <c r="BT97" s="183">
        <f t="shared" si="84"/>
        <v>699.21879023592192</v>
      </c>
      <c r="BW97" s="53">
        <f t="shared" si="68"/>
        <v>102.43212007975855</v>
      </c>
      <c r="BY97" s="14">
        <f t="shared" si="69"/>
        <v>22.307743840194924</v>
      </c>
      <c r="BZ97" s="53">
        <f t="shared" si="70"/>
        <v>91.016666601282822</v>
      </c>
    </row>
    <row r="98" spans="64:78">
      <c r="BL98" s="175">
        <f t="shared" si="88"/>
        <v>95</v>
      </c>
      <c r="BM98" s="180">
        <f t="shared" si="89"/>
        <v>367.5</v>
      </c>
      <c r="BO98" s="181">
        <f t="shared" si="79"/>
        <v>51.305146868404272</v>
      </c>
      <c r="BP98" s="181">
        <f t="shared" si="80"/>
        <v>12.882067672930829</v>
      </c>
      <c r="BQ98" s="182">
        <f t="shared" si="81"/>
        <v>114.6432475320087</v>
      </c>
      <c r="BR98" s="183">
        <f t="shared" si="82"/>
        <v>0.43176990053211239</v>
      </c>
      <c r="BS98" s="187">
        <f t="shared" si="83"/>
        <v>1619.4245809497306</v>
      </c>
      <c r="BT98" s="183">
        <f t="shared" si="84"/>
        <v>699.21879023592294</v>
      </c>
      <c r="BW98" s="53">
        <f t="shared" si="68"/>
        <v>102.61029373680854</v>
      </c>
      <c r="BY98" s="14">
        <f t="shared" si="69"/>
        <v>22.352287254457423</v>
      </c>
      <c r="BZ98" s="53">
        <f t="shared" si="70"/>
        <v>90.751586688363375</v>
      </c>
    </row>
    <row r="99" spans="64:78">
      <c r="BL99" s="175">
        <f t="shared" si="88"/>
        <v>96</v>
      </c>
      <c r="BM99" s="180">
        <f t="shared" si="89"/>
        <v>371.25</v>
      </c>
      <c r="BO99" s="181">
        <f t="shared" si="79"/>
        <v>51.393329246505381</v>
      </c>
      <c r="BP99" s="181">
        <f t="shared" si="80"/>
        <v>13.013517343062777</v>
      </c>
      <c r="BQ99" s="182">
        <f t="shared" si="81"/>
        <v>114.42361548377562</v>
      </c>
      <c r="BR99" s="183">
        <f t="shared" si="82"/>
        <v>0.42098901246122178</v>
      </c>
      <c r="BS99" s="187">
        <f t="shared" si="83"/>
        <v>1660.8955805000458</v>
      </c>
      <c r="BT99" s="183">
        <f t="shared" si="84"/>
        <v>699.21879023592192</v>
      </c>
      <c r="BW99" s="53">
        <f t="shared" si="68"/>
        <v>102.78665849301076</v>
      </c>
      <c r="BY99" s="14">
        <f t="shared" si="69"/>
        <v>22.396378443507977</v>
      </c>
      <c r="BZ99" s="53">
        <f t="shared" si="70"/>
        <v>90.487863451079761</v>
      </c>
    </row>
    <row r="100" spans="64:78">
      <c r="BL100" s="175">
        <f t="shared" si="88"/>
        <v>97</v>
      </c>
      <c r="BM100" s="180">
        <f t="shared" si="89"/>
        <v>375</v>
      </c>
      <c r="BO100" s="181">
        <f t="shared" si="79"/>
        <v>51.480625354554377</v>
      </c>
      <c r="BP100" s="181">
        <f t="shared" si="80"/>
        <v>13.144967013194723</v>
      </c>
      <c r="BQ100" s="182">
        <f t="shared" si="81"/>
        <v>114.20486970559469</v>
      </c>
      <c r="BR100" s="183">
        <f t="shared" si="82"/>
        <v>0.41051919845950557</v>
      </c>
      <c r="BS100" s="187">
        <f t="shared" si="83"/>
        <v>1703.2547877414202</v>
      </c>
      <c r="BT100" s="183">
        <f t="shared" si="84"/>
        <v>699.21879023592305</v>
      </c>
      <c r="BW100" s="53">
        <f t="shared" si="68"/>
        <v>102.96125070910875</v>
      </c>
      <c r="BY100" s="14">
        <f t="shared" si="69"/>
        <v>22.440026497532475</v>
      </c>
      <c r="BZ100" s="53">
        <f t="shared" si="70"/>
        <v>90.225469618874314</v>
      </c>
    </row>
    <row r="101" spans="64:78">
      <c r="BL101" s="175">
        <f t="shared" si="88"/>
        <v>98</v>
      </c>
      <c r="BM101" s="180">
        <f t="shared" si="89"/>
        <v>378.75</v>
      </c>
      <c r="BO101" s="181">
        <f t="shared" si="79"/>
        <v>51.567052830207231</v>
      </c>
      <c r="BP101" s="181">
        <f t="shared" si="80"/>
        <v>13.276416683326671</v>
      </c>
      <c r="BQ101" s="182">
        <f t="shared" si="81"/>
        <v>113.98699255980989</v>
      </c>
      <c r="BR101" s="183">
        <f t="shared" si="82"/>
        <v>0.40034979916730845</v>
      </c>
      <c r="BS101" s="187">
        <f t="shared" si="83"/>
        <v>1746.5196477935926</v>
      </c>
      <c r="BT101" s="183">
        <f t="shared" si="84"/>
        <v>699.21879023592305</v>
      </c>
      <c r="BW101" s="53">
        <f t="shared" si="68"/>
        <v>103.13410566041446</v>
      </c>
      <c r="BY101" s="14">
        <f t="shared" si="69"/>
        <v>22.483240235358902</v>
      </c>
      <c r="BZ101" s="53">
        <f t="shared" si="70"/>
        <v>89.964378735263097</v>
      </c>
    </row>
    <row r="102" spans="64:78">
      <c r="BL102" s="175">
        <f t="shared" si="88"/>
        <v>99</v>
      </c>
      <c r="BM102" s="180">
        <f t="shared" si="89"/>
        <v>382.5</v>
      </c>
      <c r="BO102" s="181">
        <f t="shared" si="79"/>
        <v>51.652628789792729</v>
      </c>
      <c r="BP102" s="181">
        <f t="shared" si="80"/>
        <v>13.407866353458619</v>
      </c>
      <c r="BQ102" s="182">
        <f t="shared" si="81"/>
        <v>113.76996693009244</v>
      </c>
      <c r="BR102" s="183">
        <f t="shared" si="82"/>
        <v>0.39047059435114428</v>
      </c>
      <c r="BS102" s="187">
        <f t="shared" si="83"/>
        <v>1790.7079312792598</v>
      </c>
      <c r="BT102" s="183">
        <f t="shared" si="84"/>
        <v>699.21879023592066</v>
      </c>
      <c r="BW102" s="53">
        <f t="shared" si="68"/>
        <v>103.30525757958546</v>
      </c>
      <c r="BY102" s="14">
        <f t="shared" si="69"/>
        <v>22.526028215151651</v>
      </c>
      <c r="BZ102" s="53">
        <f t="shared" si="70"/>
        <v>89.704565125752907</v>
      </c>
    </row>
    <row r="103" spans="64:78">
      <c r="BL103" s="175">
        <f t="shared" si="88"/>
        <v>100</v>
      </c>
      <c r="BM103" s="180">
        <f t="shared" si="89"/>
        <v>386.25</v>
      </c>
      <c r="BO103" s="181">
        <f t="shared" si="79"/>
        <v>51.737369848657821</v>
      </c>
      <c r="BP103" s="181">
        <f t="shared" si="80"/>
        <v>13.539316023590565</v>
      </c>
      <c r="BQ103" s="182">
        <f t="shared" si="81"/>
        <v>113.55377620109542</v>
      </c>
      <c r="BR103" s="183">
        <f t="shared" si="82"/>
        <v>0.38087178127287213</v>
      </c>
      <c r="BS103" s="187">
        <f t="shared" si="83"/>
        <v>1835.8377401947073</v>
      </c>
      <c r="BT103" s="183">
        <f t="shared" si="84"/>
        <v>699.21879023592237</v>
      </c>
      <c r="BW103" s="53">
        <f t="shared" si="68"/>
        <v>103.47473969731564</v>
      </c>
      <c r="BY103" s="14">
        <f t="shared" si="69"/>
        <v>22.568398744584197</v>
      </c>
      <c r="BZ103" s="53">
        <f t="shared" si="70"/>
        <v>89.446003867323313</v>
      </c>
    </row>
    <row r="104" spans="64:78">
      <c r="BL104" s="175">
        <f t="shared" si="88"/>
        <v>101</v>
      </c>
      <c r="BM104" s="180">
        <f t="shared" si="89"/>
        <v>390</v>
      </c>
      <c r="BO104" s="181">
        <f t="shared" si="79"/>
        <v>51.821292140529984</v>
      </c>
      <c r="BP104" s="181">
        <f t="shared" si="80"/>
        <v>13.670765693722513</v>
      </c>
      <c r="BQ104" s="182">
        <f t="shared" si="81"/>
        <v>113.33840423909129</v>
      </c>
      <c r="BR104" s="183">
        <f t="shared" si="82"/>
        <v>0.37154395431146597</v>
      </c>
      <c r="BS104" s="187">
        <f t="shared" si="83"/>
        <v>1881.9275138837675</v>
      </c>
      <c r="BT104" s="183">
        <f t="shared" si="84"/>
        <v>699.21879023592123</v>
      </c>
      <c r="BW104" s="53">
        <f t="shared" si="68"/>
        <v>103.64258428105997</v>
      </c>
      <c r="BY104" s="14">
        <f t="shared" si="69"/>
        <v>22.610359890520279</v>
      </c>
      <c r="BZ104" s="53">
        <f t="shared" si="70"/>
        <v>89.188670759383115</v>
      </c>
    </row>
    <row r="105" spans="64:78">
      <c r="BL105" s="175">
        <f t="shared" si="88"/>
        <v>102</v>
      </c>
      <c r="BM105" s="180">
        <f t="shared" si="89"/>
        <v>393.75</v>
      </c>
      <c r="BO105" s="181">
        <f t="shared" si="79"/>
        <v>51.904411335953142</v>
      </c>
      <c r="BP105" s="181">
        <f t="shared" si="80"/>
        <v>13.80221536385446</v>
      </c>
      <c r="BQ105" s="182">
        <f t="shared" si="81"/>
        <v>113.1238353735362</v>
      </c>
      <c r="BR105" s="183">
        <f t="shared" si="82"/>
        <v>0.36247808575383544</v>
      </c>
      <c r="BS105" s="187">
        <f t="shared" si="83"/>
        <v>1928.9960351169282</v>
      </c>
      <c r="BT105" s="183">
        <f t="shared" si="84"/>
        <v>699.21879023592248</v>
      </c>
      <c r="BW105" s="53">
        <f t="shared" si="68"/>
        <v>103.80882267190628</v>
      </c>
      <c r="BY105" s="14">
        <f t="shared" si="69"/>
        <v>22.651919488231858</v>
      </c>
      <c r="BZ105" s="53">
        <f t="shared" si="70"/>
        <v>88.932542296116438</v>
      </c>
    </row>
    <row r="106" spans="64:78">
      <c r="BL106" s="175">
        <f t="shared" si="88"/>
        <v>103</v>
      </c>
      <c r="BM106" s="180">
        <f t="shared" si="89"/>
        <v>397.5</v>
      </c>
      <c r="BO106" s="181">
        <f t="shared" si="79"/>
        <v>51.986742659849781</v>
      </c>
      <c r="BP106" s="181">
        <f t="shared" si="80"/>
        <v>13.933665033986408</v>
      </c>
      <c r="BQ106" s="182">
        <f t="shared" si="81"/>
        <v>112.91005437950761</v>
      </c>
      <c r="BR106" s="183">
        <f t="shared" si="82"/>
        <v>0.35366550767737992</v>
      </c>
      <c r="BS106" s="187">
        <f t="shared" si="83"/>
        <v>1977.062436277397</v>
      </c>
      <c r="BT106" s="183">
        <f t="shared" si="84"/>
        <v>699.21879023592317</v>
      </c>
      <c r="BW106" s="53">
        <f t="shared" si="68"/>
        <v>103.97348531969956</v>
      </c>
      <c r="BY106" s="14">
        <f t="shared" si="69"/>
        <v>22.693085150180178</v>
      </c>
      <c r="BZ106" s="53">
        <f t="shared" si="70"/>
        <v>88.677595640139529</v>
      </c>
    </row>
    <row r="107" spans="64:78">
      <c r="BL107" s="175">
        <f t="shared" si="88"/>
        <v>104</v>
      </c>
      <c r="BM107" s="180">
        <f t="shared" si="89"/>
        <v>401.25</v>
      </c>
      <c r="BO107" s="181">
        <f t="shared" si="79"/>
        <v>52.068300908258571</v>
      </c>
      <c r="BP107" s="181">
        <f t="shared" si="80"/>
        <v>14.065114704118354</v>
      </c>
      <c r="BQ107" s="182">
        <f t="shared" si="81"/>
        <v>112.69704646096687</v>
      </c>
      <c r="BR107" s="183">
        <f t="shared" si="82"/>
        <v>0.34509789485282766</v>
      </c>
      <c r="BS107" s="187">
        <f t="shared" si="83"/>
        <v>2026.1462056559799</v>
      </c>
      <c r="BT107" s="183">
        <f t="shared" si="84"/>
        <v>699.21879023592305</v>
      </c>
      <c r="BW107" s="53">
        <f t="shared" si="68"/>
        <v>104.13660181651714</v>
      </c>
      <c r="BY107" s="14">
        <f t="shared" si="69"/>
        <v>22.733864274384572</v>
      </c>
      <c r="BZ107" s="53">
        <f t="shared" si="70"/>
        <v>88.423808597394398</v>
      </c>
    </row>
    <row r="108" spans="64:78">
      <c r="BL108" s="175">
        <f t="shared" si="88"/>
        <v>105</v>
      </c>
      <c r="BM108" s="180">
        <f t="shared" si="89"/>
        <v>405</v>
      </c>
      <c r="BO108" s="181">
        <f t="shared" si="79"/>
        <v>52.149100464293376</v>
      </c>
      <c r="BP108" s="181">
        <f t="shared" si="80"/>
        <v>14.196564374250302</v>
      </c>
      <c r="BQ108" s="182">
        <f t="shared" si="81"/>
        <v>112.48479723480011</v>
      </c>
      <c r="BR108" s="183">
        <f t="shared" si="82"/>
        <v>0.33676724860114982</v>
      </c>
      <c r="BS108" s="187">
        <f t="shared" si="83"/>
        <v>2076.267193856615</v>
      </c>
      <c r="BT108" s="183">
        <f t="shared" si="84"/>
        <v>699.21879023592237</v>
      </c>
      <c r="BW108" s="53">
        <f t="shared" si="68"/>
        <v>104.29820092858675</v>
      </c>
      <c r="BY108" s="14">
        <f t="shared" si="69"/>
        <v>22.774264052401975</v>
      </c>
      <c r="BZ108" s="53">
        <f t="shared" si="70"/>
        <v>88.171159593210248</v>
      </c>
    </row>
    <row r="109" spans="64:78">
      <c r="BL109" s="175">
        <f t="shared" si="88"/>
        <v>106</v>
      </c>
      <c r="BM109" s="180">
        <f t="shared" si="89"/>
        <v>408.75</v>
      </c>
      <c r="BO109" s="181">
        <f t="shared" si="79"/>
        <v>52.229155313366853</v>
      </c>
      <c r="BP109" s="181">
        <f t="shared" si="80"/>
        <v>14.328014044382249</v>
      </c>
      <c r="BQ109" s="182">
        <f t="shared" si="81"/>
        <v>112.27329271559469</v>
      </c>
      <c r="BR109" s="183">
        <f t="shared" si="82"/>
        <v>0.32866588154321308</v>
      </c>
      <c r="BS109" s="187">
        <f t="shared" si="83"/>
        <v>2127.4456203145314</v>
      </c>
      <c r="BT109" s="183">
        <f t="shared" si="84"/>
        <v>699.21879023592328</v>
      </c>
      <c r="BW109" s="53">
        <f t="shared" si="68"/>
        <v>104.45831062673371</v>
      </c>
      <c r="BY109" s="14">
        <f t="shared" si="69"/>
        <v>22.814291476938713</v>
      </c>
      <c r="BZ109" s="53">
        <f t="shared" si="70"/>
        <v>87.919627649468083</v>
      </c>
    </row>
    <row r="110" spans="64:78">
      <c r="BL110" s="175">
        <f t="shared" si="88"/>
        <v>107</v>
      </c>
      <c r="BM110" s="180">
        <f t="shared" si="89"/>
        <v>412.5</v>
      </c>
      <c r="BO110" s="181">
        <f t="shared" si="79"/>
        <v>52.308479057718877</v>
      </c>
      <c r="BP110" s="181">
        <f t="shared" si="80"/>
        <v>14.459463714514195</v>
      </c>
      <c r="BQ110" s="182">
        <f t="shared" si="81"/>
        <v>112.06251930111074</v>
      </c>
      <c r="BR110" s="183">
        <f t="shared" si="82"/>
        <v>0.32078640318530083</v>
      </c>
      <c r="BS110" s="187">
        <f t="shared" si="83"/>
        <v>2179.7020799289398</v>
      </c>
      <c r="BT110" s="183">
        <f t="shared" si="84"/>
        <v>699.21879023592373</v>
      </c>
      <c r="BW110" s="53">
        <f t="shared" si="68"/>
        <v>104.61695811543775</v>
      </c>
      <c r="BY110" s="14">
        <f t="shared" si="69"/>
        <v>22.853953349114725</v>
      </c>
      <c r="BZ110" s="53">
        <f t="shared" si="70"/>
        <v>87.669192362808104</v>
      </c>
    </row>
    <row r="111" spans="64:78">
      <c r="BL111" s="175">
        <f t="shared" si="88"/>
        <v>108</v>
      </c>
      <c r="BM111" s="180">
        <f t="shared" si="89"/>
        <v>416.25</v>
      </c>
      <c r="BO111" s="181">
        <f t="shared" si="79"/>
        <v>52.387084930287529</v>
      </c>
      <c r="BP111" s="181">
        <f t="shared" si="80"/>
        <v>14.590913384646143</v>
      </c>
      <c r="BQ111" s="182">
        <f t="shared" si="81"/>
        <v>111.85246375841012</v>
      </c>
      <c r="BR111" s="183">
        <f t="shared" si="82"/>
        <v>0.31312170628773689</v>
      </c>
      <c r="BS111" s="187">
        <f t="shared" si="83"/>
        <v>2233.0575498122412</v>
      </c>
      <c r="BT111" s="183">
        <f t="shared" si="84"/>
        <v>699.21879023592192</v>
      </c>
      <c r="BW111" s="53">
        <f t="shared" si="68"/>
        <v>104.77416986057506</v>
      </c>
      <c r="BY111" s="14">
        <f t="shared" si="69"/>
        <v>22.893256285399051</v>
      </c>
      <c r="BZ111" s="53">
        <f t="shared" si="70"/>
        <v>87.419833883823173</v>
      </c>
    </row>
    <row r="112" spans="64:78">
      <c r="BL112" s="175">
        <f t="shared" si="88"/>
        <v>109</v>
      </c>
      <c r="BM112" s="180">
        <f t="shared" si="89"/>
        <v>420</v>
      </c>
      <c r="BO112" s="181">
        <f t="shared" si="79"/>
        <v>52.464985807958008</v>
      </c>
      <c r="BP112" s="181">
        <f t="shared" si="80"/>
        <v>14.722363054778089</v>
      </c>
      <c r="BQ112" s="182">
        <f t="shared" si="81"/>
        <v>111.64311321060768</v>
      </c>
      <c r="BR112" s="183">
        <f t="shared" si="82"/>
        <v>0.30566495396760612</v>
      </c>
      <c r="BS112" s="187">
        <f t="shared" si="83"/>
        <v>2287.5333961577526</v>
      </c>
      <c r="BT112" s="183">
        <f t="shared" si="84"/>
        <v>699.21879023592112</v>
      </c>
      <c r="BW112" s="53">
        <f t="shared" si="68"/>
        <v>104.92997161591602</v>
      </c>
      <c r="BY112" s="14">
        <f t="shared" si="69"/>
        <v>22.932206724234291</v>
      </c>
      <c r="BZ112" s="53">
        <f t="shared" si="70"/>
        <v>87.171532897185514</v>
      </c>
    </row>
    <row r="113" spans="64:78">
      <c r="BL113" s="175">
        <f t="shared" si="88"/>
        <v>110</v>
      </c>
      <c r="BM113" s="180">
        <f t="shared" si="89"/>
        <v>423.75</v>
      </c>
      <c r="BO113" s="181">
        <f t="shared" si="79"/>
        <v>52.542194224222776</v>
      </c>
      <c r="BP113" s="181">
        <f t="shared" si="80"/>
        <v>14.853812724910039</v>
      </c>
      <c r="BQ113" s="182">
        <f t="shared" si="81"/>
        <v>111.43445512421098</v>
      </c>
      <c r="BR113" s="183">
        <f t="shared" si="82"/>
        <v>0.29840956749003023</v>
      </c>
      <c r="BS113" s="187">
        <f t="shared" si="83"/>
        <v>2343.1513812280268</v>
      </c>
      <c r="BT113" s="183">
        <f t="shared" si="84"/>
        <v>699.21879023592237</v>
      </c>
      <c r="BW113" s="53">
        <f t="shared" si="68"/>
        <v>105.08438844844555</v>
      </c>
      <c r="BY113" s="14">
        <f t="shared" si="69"/>
        <v>22.970810932366675</v>
      </c>
      <c r="BZ113" s="53">
        <f t="shared" si="70"/>
        <v>86.924270602656406</v>
      </c>
    </row>
    <row r="114" spans="64:78">
      <c r="BL114" s="175">
        <f t="shared" si="88"/>
        <v>111</v>
      </c>
      <c r="BM114" s="180">
        <f t="shared" si="89"/>
        <v>427.5</v>
      </c>
      <c r="BO114" s="181">
        <f t="shared" si="79"/>
        <v>52.618722381283831</v>
      </c>
      <c r="BP114" s="181">
        <f t="shared" si="80"/>
        <v>14.985262395041985</v>
      </c>
      <c r="BQ114" s="182">
        <f t="shared" si="81"/>
        <v>111.22647729701799</v>
      </c>
      <c r="BR114" s="183">
        <f t="shared" si="82"/>
        <v>0.29134921470567438</v>
      </c>
      <c r="BS114" s="187">
        <f t="shared" si="83"/>
        <v>2399.9336704658231</v>
      </c>
      <c r="BT114" s="183">
        <f t="shared" si="84"/>
        <v>699.2187902359243</v>
      </c>
      <c r="BW114" s="53">
        <f t="shared" si="68"/>
        <v>105.23744476256766</v>
      </c>
      <c r="BY114" s="14">
        <f t="shared" si="69"/>
        <v>23.009075010897202</v>
      </c>
      <c r="BZ114" s="53">
        <f t="shared" si="70"/>
        <v>86.678028696932884</v>
      </c>
    </row>
    <row r="115" spans="64:78">
      <c r="BL115" s="175">
        <f t="shared" si="88"/>
        <v>112</v>
      </c>
      <c r="BM115" s="180">
        <f t="shared" si="89"/>
        <v>431.25</v>
      </c>
      <c r="BO115" s="181">
        <f t="shared" si="79"/>
        <v>52.694582161626613</v>
      </c>
      <c r="BP115" s="181">
        <f t="shared" si="80"/>
        <v>15.116712065173934</v>
      </c>
      <c r="BQ115" s="182">
        <f t="shared" si="81"/>
        <v>111.01916784654327</v>
      </c>
      <c r="BR115" s="183">
        <f t="shared" si="82"/>
        <v>0.28447779909509313</v>
      </c>
      <c r="BS115" s="187">
        <f t="shared" si="83"/>
        <v>2457.9028397298398</v>
      </c>
      <c r="BT115" s="183">
        <f t="shared" si="84"/>
        <v>699.2187902359243</v>
      </c>
      <c r="BW115" s="53">
        <f t="shared" si="68"/>
        <v>105.38916432325323</v>
      </c>
      <c r="BY115" s="14">
        <f t="shared" si="69"/>
        <v>23.047004901068593</v>
      </c>
      <c r="BZ115" s="53">
        <f t="shared" si="70"/>
        <v>86.432789356286762</v>
      </c>
    </row>
    <row r="116" spans="64:78">
      <c r="BL116" s="175">
        <f t="shared" si="88"/>
        <v>113</v>
      </c>
      <c r="BM116" s="180">
        <f t="shared" si="89"/>
        <v>435</v>
      </c>
      <c r="BO116" s="181">
        <f t="shared" si="79"/>
        <v>52.769785139092747</v>
      </c>
      <c r="BP116" s="181">
        <f t="shared" si="80"/>
        <v>15.24816173530588</v>
      </c>
      <c r="BQ116" s="182">
        <f t="shared" si="81"/>
        <v>110.81251519894516</v>
      </c>
      <c r="BR116" s="183">
        <f t="shared" si="82"/>
        <v>0.27778944938324002</v>
      </c>
      <c r="BS116" s="187">
        <f t="shared" si="83"/>
        <v>2517.0818826573791</v>
      </c>
      <c r="BT116" s="183">
        <f t="shared" si="84"/>
        <v>699.21879023592248</v>
      </c>
      <c r="BW116" s="53">
        <f t="shared" si="68"/>
        <v>105.53957027818549</v>
      </c>
      <c r="BY116" s="14">
        <f t="shared" si="69"/>
        <v>23.08460638980166</v>
      </c>
      <c r="BZ116" s="53">
        <f t="shared" si="70"/>
        <v>86.188535219955611</v>
      </c>
    </row>
    <row r="117" spans="64:78">
      <c r="BL117" s="175">
        <f t="shared" si="88"/>
        <v>114</v>
      </c>
      <c r="BM117" s="180">
        <f t="shared" si="89"/>
        <v>438.75</v>
      </c>
      <c r="BO117" s="181">
        <f t="shared" si="79"/>
        <v>52.844342589477613</v>
      </c>
      <c r="BP117" s="181">
        <f t="shared" si="80"/>
        <v>15.379611405437826</v>
      </c>
      <c r="BQ117" s="182">
        <f t="shared" si="81"/>
        <v>110.60650807842836</v>
      </c>
      <c r="BR117" s="183">
        <f t="shared" si="82"/>
        <v>0.27127850968997747</v>
      </c>
      <c r="BS117" s="187">
        <f t="shared" si="83"/>
        <v>2577.4942181561119</v>
      </c>
      <c r="BT117" s="183">
        <f t="shared" si="84"/>
        <v>699.21879023592373</v>
      </c>
      <c r="BW117" s="53">
        <f t="shared" si="68"/>
        <v>105.68868517895523</v>
      </c>
      <c r="BY117" s="14">
        <f t="shared" si="69"/>
        <v>23.121885114994093</v>
      </c>
      <c r="BZ117" s="53">
        <f t="shared" si="70"/>
        <v>85.945249374246373</v>
      </c>
    </row>
    <row r="118" spans="64:78">
      <c r="BL118" s="175">
        <f t="shared" si="88"/>
        <v>115</v>
      </c>
      <c r="BM118" s="180">
        <f t="shared" si="89"/>
        <v>442.5</v>
      </c>
      <c r="BO118" s="181">
        <f t="shared" si="79"/>
        <v>52.918265500676888</v>
      </c>
      <c r="BP118" s="181">
        <f t="shared" si="80"/>
        <v>15.511061075569774</v>
      </c>
      <c r="BQ118" s="182">
        <f t="shared" si="81"/>
        <v>110.40113549709713</v>
      </c>
      <c r="BR118" s="183">
        <f t="shared" si="82"/>
        <v>0.26493953018473021</v>
      </c>
      <c r="BS118" s="187">
        <f t="shared" si="83"/>
        <v>2639.163698027201</v>
      </c>
      <c r="BT118" s="183">
        <f t="shared" si="84"/>
        <v>699.2187902359218</v>
      </c>
      <c r="BW118" s="53">
        <f t="shared" si="68"/>
        <v>105.83653100135378</v>
      </c>
      <c r="BY118" s="14">
        <f t="shared" si="69"/>
        <v>23.158846570593731</v>
      </c>
      <c r="BZ118" s="53">
        <f t="shared" si="70"/>
        <v>85.702915337315517</v>
      </c>
    </row>
    <row r="119" spans="64:78">
      <c r="BL119" s="175">
        <f t="shared" si="88"/>
        <v>116</v>
      </c>
      <c r="BM119" s="180">
        <f t="shared" si="89"/>
        <v>446.25</v>
      </c>
      <c r="BO119" s="181">
        <f t="shared" si="79"/>
        <v>52.99156458240499</v>
      </c>
      <c r="BP119" s="181">
        <f t="shared" si="80"/>
        <v>15.642510745701721</v>
      </c>
      <c r="BQ119" s="182">
        <f t="shared" si="81"/>
        <v>110.19638674523708</v>
      </c>
      <c r="BR119" s="183">
        <f t="shared" si="82"/>
        <v>0.25876725821560365</v>
      </c>
      <c r="BS119" s="187">
        <f t="shared" si="83"/>
        <v>2702.1146147219961</v>
      </c>
      <c r="BT119" s="183">
        <f t="shared" si="84"/>
        <v>699.21879023592317</v>
      </c>
      <c r="BW119" s="53">
        <f t="shared" si="68"/>
        <v>105.98312916480998</v>
      </c>
      <c r="BY119" s="14">
        <f t="shared" si="69"/>
        <v>23.195496111457782</v>
      </c>
      <c r="BZ119" s="53">
        <f t="shared" si="70"/>
        <v>85.461517044591417</v>
      </c>
    </row>
    <row r="120" spans="64:78">
      <c r="BL120" s="175">
        <f t="shared" si="88"/>
        <v>117</v>
      </c>
      <c r="BM120" s="180">
        <f t="shared" si="89"/>
        <v>450</v>
      </c>
      <c r="BO120" s="181">
        <f t="shared" si="79"/>
        <v>53.064250275506872</v>
      </c>
      <c r="BP120" s="181">
        <f t="shared" si="80"/>
        <v>15.773960415833669</v>
      </c>
      <c r="BQ120" s="182">
        <f t="shared" si="81"/>
        <v>109.99225138200325</v>
      </c>
      <c r="BR120" s="183">
        <f t="shared" si="82"/>
        <v>0.25275662988520392</v>
      </c>
      <c r="BS120" s="187">
        <f t="shared" si="83"/>
        <v>2766.3717092346496</v>
      </c>
      <c r="BT120" s="183">
        <f t="shared" si="84"/>
        <v>699.21879023592135</v>
      </c>
      <c r="BW120" s="53">
        <f t="shared" si="68"/>
        <v>106.12850055101374</v>
      </c>
      <c r="BY120" s="14">
        <f t="shared" si="69"/>
        <v>23.231838958008723</v>
      </c>
      <c r="BZ120" s="53">
        <f t="shared" si="70"/>
        <v>85.221038834806635</v>
      </c>
    </row>
    <row r="121" spans="64:78">
      <c r="BL121" s="175">
        <f t="shared" si="88"/>
        <v>118</v>
      </c>
      <c r="BM121" s="180">
        <f t="shared" si="89"/>
        <v>453.75</v>
      </c>
      <c r="BO121" s="181">
        <f t="shared" si="79"/>
        <v>53.136332760883384</v>
      </c>
      <c r="BP121" s="181">
        <f t="shared" si="80"/>
        <v>15.905410085965615</v>
      </c>
      <c r="BQ121" s="182">
        <f t="shared" si="81"/>
        <v>109.78871922649478</v>
      </c>
      <c r="BR121" s="183">
        <f t="shared" si="82"/>
        <v>0.24690276204730721</v>
      </c>
      <c r="BS121" s="187">
        <f t="shared" si="83"/>
        <v>2831.9601791329887</v>
      </c>
      <c r="BT121" s="183">
        <f t="shared" si="84"/>
        <v>699.2187902359218</v>
      </c>
      <c r="BW121" s="53">
        <f t="shared" si="68"/>
        <v>106.27266552176677</v>
      </c>
      <c r="BY121" s="14">
        <f t="shared" si="69"/>
        <v>23.267880200696979</v>
      </c>
      <c r="BZ121" s="53">
        <f t="shared" si="70"/>
        <v>84.981465436609923</v>
      </c>
    </row>
    <row r="122" spans="64:78">
      <c r="BL122" s="175">
        <f t="shared" si="88"/>
        <v>119</v>
      </c>
      <c r="BM122" s="180">
        <f t="shared" si="89"/>
        <v>457.5</v>
      </c>
      <c r="BO122" s="181">
        <f t="shared" si="79"/>
        <v>53.207821968049345</v>
      </c>
      <c r="BP122" s="181">
        <f t="shared" si="80"/>
        <v>16.036859756097563</v>
      </c>
      <c r="BQ122" s="182">
        <f t="shared" si="81"/>
        <v>109.58578034919688</v>
      </c>
      <c r="BR122" s="183">
        <f t="shared" si="82"/>
        <v>0.24120094470015757</v>
      </c>
      <c r="BS122" s="187">
        <f t="shared" si="83"/>
        <v>2898.9056867299455</v>
      </c>
      <c r="BT122" s="183">
        <f t="shared" si="84"/>
        <v>699.21879023592192</v>
      </c>
      <c r="BW122" s="53">
        <f t="shared" si="68"/>
        <v>106.41564393609869</v>
      </c>
      <c r="BY122" s="14">
        <f t="shared" si="69"/>
        <v>23.303624804279959</v>
      </c>
      <c r="BZ122" s="53">
        <f t="shared" si="70"/>
        <v>84.742781955729043</v>
      </c>
    </row>
    <row r="123" spans="64:78">
      <c r="BL123" s="175">
        <f t="shared" si="88"/>
        <v>120</v>
      </c>
      <c r="BM123" s="180">
        <f t="shared" si="89"/>
        <v>461.25</v>
      </c>
      <c r="BO123" s="181">
        <f t="shared" si="79"/>
        <v>53.278727583342338</v>
      </c>
      <c r="BP123" s="181">
        <f t="shared" si="80"/>
        <v>16.168309426229509</v>
      </c>
      <c r="BQ123" s="182">
        <f t="shared" si="81"/>
        <v>109.38342506377194</v>
      </c>
      <c r="BR123" s="183">
        <f t="shared" si="82"/>
        <v>0.23564663375378775</v>
      </c>
      <c r="BS123" s="187">
        <f t="shared" si="83"/>
        <v>2967.2343673981386</v>
      </c>
      <c r="BT123" s="183">
        <f t="shared" si="84"/>
        <v>699.21879023592123</v>
      </c>
      <c r="BW123" s="53">
        <f t="shared" si="68"/>
        <v>106.55745516668468</v>
      </c>
      <c r="BY123" s="14">
        <f t="shared" si="69"/>
        <v>23.339077611926456</v>
      </c>
      <c r="BZ123" s="53">
        <f t="shared" si="70"/>
        <v>84.504973862657593</v>
      </c>
    </row>
    <row r="124" spans="64:78">
      <c r="BL124" s="175">
        <f t="shared" si="88"/>
        <v>121</v>
      </c>
      <c r="BM124" s="180">
        <f t="shared" si="89"/>
        <v>465</v>
      </c>
      <c r="BO124" s="181">
        <f t="shared" si="79"/>
        <v>53.349059057799082</v>
      </c>
      <c r="BP124" s="181">
        <f t="shared" si="80"/>
        <v>16.299759096361459</v>
      </c>
      <c r="BQ124" s="182">
        <f t="shared" si="81"/>
        <v>109.18164391918327</v>
      </c>
      <c r="BR124" s="183">
        <f t="shared" si="82"/>
        <v>0.230235444150207</v>
      </c>
      <c r="BS124" s="187">
        <f t="shared" si="83"/>
        <v>3036.9728380298784</v>
      </c>
      <c r="BT124" s="183">
        <f t="shared" si="84"/>
        <v>699.21879023592373</v>
      </c>
      <c r="BW124" s="53">
        <f t="shared" si="68"/>
        <v>106.69811811559816</v>
      </c>
      <c r="BY124" s="14">
        <f t="shared" si="69"/>
        <v>23.374243349154828</v>
      </c>
      <c r="BZ124" s="53">
        <f t="shared" si="70"/>
        <v>84.268026980840531</v>
      </c>
    </row>
    <row r="125" spans="64:78">
      <c r="BL125" s="175">
        <f t="shared" si="88"/>
        <v>122</v>
      </c>
      <c r="BM125" s="180">
        <f t="shared" si="89"/>
        <v>468.75</v>
      </c>
      <c r="BO125" s="181">
        <f t="shared" si="79"/>
        <v>53.418825614715502</v>
      </c>
      <c r="BP125" s="181">
        <f t="shared" si="80"/>
        <v>16.431208766493405</v>
      </c>
      <c r="BQ125" s="182">
        <f t="shared" si="81"/>
        <v>108.9804276921349</v>
      </c>
      <c r="BR125" s="183">
        <f t="shared" si="82"/>
        <v>0.22496314331664194</v>
      </c>
      <c r="BS125" s="187">
        <f t="shared" si="83"/>
        <v>3108.1482056451905</v>
      </c>
      <c r="BT125" s="183">
        <f t="shared" si="84"/>
        <v>699.21879023592248</v>
      </c>
      <c r="BW125" s="53">
        <f t="shared" si="68"/>
        <v>106.837651229431</v>
      </c>
      <c r="BY125" s="14">
        <f t="shared" si="69"/>
        <v>23.409126627613038</v>
      </c>
      <c r="BZ125" s="53">
        <f t="shared" si="70"/>
        <v>84.031927475333958</v>
      </c>
    </row>
    <row r="126" spans="64:78">
      <c r="BL126" s="175">
        <f t="shared" si="88"/>
        <v>123</v>
      </c>
      <c r="BM126" s="180">
        <f t="shared" si="89"/>
        <v>472.5</v>
      </c>
      <c r="BO126" s="181">
        <f t="shared" si="79"/>
        <v>53.488036256905637</v>
      </c>
      <c r="BP126" s="181">
        <f t="shared" si="80"/>
        <v>16.562658436625352</v>
      </c>
      <c r="BQ126" s="182">
        <f t="shared" si="81"/>
        <v>108.77976737981282</v>
      </c>
      <c r="BR126" s="183">
        <f t="shared" si="82"/>
        <v>0.21982564493329906</v>
      </c>
      <c r="BS126" s="187">
        <f t="shared" si="83"/>
        <v>3180.7880761504662</v>
      </c>
      <c r="BT126" s="183">
        <f t="shared" si="84"/>
        <v>699.21879023592385</v>
      </c>
      <c r="BW126" s="53">
        <f t="shared" si="68"/>
        <v>106.97607251381127</v>
      </c>
      <c r="BY126" s="14">
        <f t="shared" si="69"/>
        <v>23.443731948708106</v>
      </c>
      <c r="BZ126" s="53">
        <f t="shared" si="70"/>
        <v>83.796661841916801</v>
      </c>
    </row>
    <row r="127" spans="64:78">
      <c r="BL127" s="175">
        <f t="shared" si="88"/>
        <v>124</v>
      </c>
      <c r="BM127" s="180">
        <f t="shared" si="89"/>
        <v>476.25</v>
      </c>
      <c r="BO127" s="181">
        <f t="shared" si="79"/>
        <v>53.556699773673515</v>
      </c>
      <c r="BP127" s="181">
        <f t="shared" si="80"/>
        <v>16.694108106757298</v>
      </c>
      <c r="BQ127" s="182">
        <f t="shared" si="81"/>
        <v>108.57965419291298</v>
      </c>
      <c r="BR127" s="183">
        <f t="shared" si="82"/>
        <v>0.21481900299825651</v>
      </c>
      <c r="BS127" s="187">
        <f t="shared" si="83"/>
        <v>3254.920563250158</v>
      </c>
      <c r="BT127" s="183">
        <f t="shared" si="84"/>
        <v>699.21879023592248</v>
      </c>
      <c r="BW127" s="53">
        <f t="shared" si="68"/>
        <v>107.11339954734703</v>
      </c>
      <c r="BY127" s="14">
        <f t="shared" si="69"/>
        <v>23.478063707092044</v>
      </c>
      <c r="BZ127" s="53">
        <f t="shared" si="70"/>
        <v>83.562216896633046</v>
      </c>
    </row>
    <row r="128" spans="64:78">
      <c r="BL128" s="175">
        <f t="shared" si="88"/>
        <v>125</v>
      </c>
      <c r="BM128" s="180">
        <f t="shared" si="89"/>
        <v>480</v>
      </c>
      <c r="BO128" s="181">
        <f t="shared" si="79"/>
        <v>53.624824747511745</v>
      </c>
      <c r="BP128" s="181">
        <f t="shared" si="80"/>
        <v>16.825557776889244</v>
      </c>
      <c r="BQ128" s="182">
        <f t="shared" si="81"/>
        <v>108.3800795489428</v>
      </c>
      <c r="BR128" s="183">
        <f t="shared" si="82"/>
        <v>0.20993940617321122</v>
      </c>
      <c r="BS128" s="187">
        <f t="shared" si="83"/>
        <v>3330.5742975143544</v>
      </c>
      <c r="BT128" s="183">
        <f t="shared" si="84"/>
        <v>699.21879023592362</v>
      </c>
      <c r="BW128" s="53">
        <f t="shared" si="68"/>
        <v>107.24964949502349</v>
      </c>
      <c r="BY128" s="14">
        <f t="shared" si="69"/>
        <v>23.512126194011159</v>
      </c>
      <c r="BZ128" s="53">
        <f t="shared" si="70"/>
        <v>83.328579765743754</v>
      </c>
    </row>
    <row r="129" spans="64:78">
      <c r="BL129" s="175">
        <f t="shared" si="88"/>
        <v>126</v>
      </c>
      <c r="BM129" s="180">
        <f t="shared" si="89"/>
        <v>483.75</v>
      </c>
      <c r="BO129" s="181">
        <f t="shared" si="79"/>
        <v>53.692419560539349</v>
      </c>
      <c r="BP129" s="181">
        <f t="shared" si="80"/>
        <v>16.957007447021194</v>
      </c>
      <c r="BQ129" s="182">
        <f t="shared" si="81"/>
        <v>108.18103506578325</v>
      </c>
      <c r="BR129" s="183">
        <f t="shared" si="82"/>
        <v>0.20518317239478556</v>
      </c>
      <c r="BS129" s="187">
        <f t="shared" si="83"/>
        <v>3407.7784356047523</v>
      </c>
      <c r="BT129" s="183">
        <f t="shared" si="84"/>
        <v>699.2187902359226</v>
      </c>
      <c r="BW129" s="53">
        <f t="shared" si="68"/>
        <v>107.3848391210787</v>
      </c>
      <c r="BY129" s="14">
        <f t="shared" si="69"/>
        <v>23.545923600524961</v>
      </c>
      <c r="BZ129" s="53">
        <f t="shared" si="70"/>
        <v>83.095737876070388</v>
      </c>
    </row>
    <row r="130" spans="64:78">
      <c r="BL130" s="175">
        <f t="shared" si="88"/>
        <v>127</v>
      </c>
      <c r="BM130" s="180">
        <f t="shared" si="89"/>
        <v>487.5</v>
      </c>
      <c r="BO130" s="181">
        <f t="shared" si="79"/>
        <v>53.759492400691116</v>
      </c>
      <c r="BP130" s="181">
        <f t="shared" si="80"/>
        <v>17.088457117153141</v>
      </c>
      <c r="BQ130" s="182">
        <f t="shared" si="81"/>
        <v>107.98251255549954</v>
      </c>
      <c r="BR130" s="183">
        <f t="shared" si="82"/>
        <v>0.2005467437370721</v>
      </c>
      <c r="BS130" s="187">
        <f t="shared" si="83"/>
        <v>3486.562669661871</v>
      </c>
      <c r="BT130" s="183">
        <f t="shared" si="84"/>
        <v>699.21879023592123</v>
      </c>
      <c r="BW130" s="53">
        <f t="shared" si="68"/>
        <v>107.51898480138223</v>
      </c>
      <c r="BY130" s="14">
        <f t="shared" si="69"/>
        <v>23.579460020600845</v>
      </c>
      <c r="BZ130" s="53">
        <f t="shared" si="70"/>
        <v>82.863678945710802</v>
      </c>
    </row>
    <row r="131" spans="64:78">
      <c r="BL131" s="175">
        <f t="shared" si="88"/>
        <v>128</v>
      </c>
      <c r="BM131" s="180">
        <f t="shared" si="89"/>
        <v>491.25</v>
      </c>
      <c r="BO131" s="181">
        <f t="shared" si="79"/>
        <v>53.826051267669669</v>
      </c>
      <c r="BP131" s="181">
        <f t="shared" si="80"/>
        <v>17.21990678728509</v>
      </c>
      <c r="BQ131" s="182">
        <f t="shared" si="81"/>
        <v>107.78450401838904</v>
      </c>
      <c r="BR131" s="183">
        <f t="shared" si="82"/>
        <v>0.1960266815119433</v>
      </c>
      <c r="BS131" s="187">
        <f t="shared" si="83"/>
        <v>3566.9572368561535</v>
      </c>
      <c r="BT131" s="183">
        <f t="shared" si="84"/>
        <v>699.21879023592248</v>
      </c>
      <c r="BW131" s="53">
        <f t="shared" si="68"/>
        <v>107.65210253533934</v>
      </c>
      <c r="BY131" s="14">
        <f t="shared" si="69"/>
        <v>23.612739454090121</v>
      </c>
      <c r="BZ131" s="53">
        <f t="shared" si="70"/>
        <v>82.632390975111022</v>
      </c>
    </row>
    <row r="132" spans="64:78">
      <c r="BL132" s="175">
        <f t="shared" si="88"/>
        <v>129</v>
      </c>
      <c r="BM132" s="180">
        <f t="shared" si="89"/>
        <v>495</v>
      </c>
      <c r="BO132" s="181">
        <f t="shared" si="79"/>
        <v>53.892103978671379</v>
      </c>
      <c r="BP132" s="181">
        <f t="shared" si="80"/>
        <v>17.351356457417037</v>
      </c>
      <c r="BQ132" s="182">
        <f t="shared" si="81"/>
        <v>107.58700163725538</v>
      </c>
      <c r="BR132" s="183">
        <f t="shared" si="82"/>
        <v>0.1916196615944803</v>
      </c>
      <c r="BS132" s="187">
        <f t="shared" si="83"/>
        <v>3648.992929105892</v>
      </c>
      <c r="BT132" s="183">
        <f t="shared" si="84"/>
        <v>699.21879023592248</v>
      </c>
      <c r="BW132" s="53">
        <f t="shared" ref="BW132:BW195" si="94">40*LOG10(BM132)</f>
        <v>107.78420795734276</v>
      </c>
      <c r="BY132" s="14">
        <f t="shared" ref="BY132:BY195" si="95">10*LOG10(($D$29*($D$23/1000000))/2)+$J$12+10*LOG10(BM132)</f>
        <v>23.645765809590976</v>
      </c>
      <c r="BZ132" s="53">
        <f t="shared" ref="BZ132:BZ195" si="96">$BN$4-(BW132+BP132)+$BX$4+BY132</f>
        <v>82.401862238476497</v>
      </c>
    </row>
    <row r="133" spans="64:78">
      <c r="BL133" s="175">
        <f t="shared" si="88"/>
        <v>130</v>
      </c>
      <c r="BM133" s="180">
        <f t="shared" si="89"/>
        <v>498.75</v>
      </c>
      <c r="BO133" s="181">
        <f t="shared" ref="BO133:BO196" si="97">20*LOG10(BM133)</f>
        <v>53.957658173896093</v>
      </c>
      <c r="BP133" s="181">
        <f t="shared" ref="BP133:BP196" si="98">2*$J$6*(BM133/1000)</f>
        <v>17.482806127548983</v>
      </c>
      <c r="BQ133" s="182">
        <f t="shared" ref="BQ133:BQ196" si="99">$BN$4-(BO133+BP133)+$BN$8+$BN$10</f>
        <v>107.38999777189872</v>
      </c>
      <c r="BR133" s="183">
        <f t="shared" ref="BR133:BR196" si="100">POWER(10,(BQ133+$D$16)*0.05)*1000</f>
        <v>0.18732246996164537</v>
      </c>
      <c r="BS133" s="187">
        <f t="shared" ref="BS133:BS196" si="101">POWER(10,0.05*(BO133+BP133))</f>
        <v>3732.7011029647906</v>
      </c>
      <c r="BT133" s="183">
        <f t="shared" ref="BT133:BT196" si="102">BR133*BS133</f>
        <v>699.21879023592248</v>
      </c>
      <c r="BW133" s="53">
        <f t="shared" si="94"/>
        <v>107.91531634779219</v>
      </c>
      <c r="BY133" s="14">
        <f t="shared" si="95"/>
        <v>23.678542907203333</v>
      </c>
      <c r="BZ133" s="53">
        <f t="shared" si="96"/>
        <v>82.172081275507495</v>
      </c>
    </row>
    <row r="134" spans="64:78">
      <c r="BL134" s="175">
        <f t="shared" ref="BL134:BL197" si="103">BL133+1</f>
        <v>131</v>
      </c>
      <c r="BM134" s="180">
        <f t="shared" ref="BM134:BM197" si="104">BM133+$J$46</f>
        <v>502.5</v>
      </c>
      <c r="BO134" s="181">
        <f t="shared" si="97"/>
        <v>54.022721321850533</v>
      </c>
      <c r="BP134" s="181">
        <f t="shared" si="98"/>
        <v>17.614255797680929</v>
      </c>
      <c r="BQ134" s="182">
        <f t="shared" si="99"/>
        <v>107.19348495381234</v>
      </c>
      <c r="BR134" s="183">
        <f t="shared" si="100"/>
        <v>0.1831319984330137</v>
      </c>
      <c r="BS134" s="187">
        <f t="shared" si="101"/>
        <v>3818.1136896820626</v>
      </c>
      <c r="BT134" s="183">
        <f t="shared" si="102"/>
        <v>699.21879023592362</v>
      </c>
      <c r="BW134" s="53">
        <f t="shared" si="94"/>
        <v>108.04544264370107</v>
      </c>
      <c r="BY134" s="14">
        <f t="shared" si="95"/>
        <v>23.711074481180553</v>
      </c>
      <c r="BZ134" s="53">
        <f t="shared" si="96"/>
        <v>81.943036883443881</v>
      </c>
    </row>
    <row r="135" spans="64:78">
      <c r="BL135" s="175">
        <f t="shared" si="103"/>
        <v>132</v>
      </c>
      <c r="BM135" s="180">
        <f t="shared" si="104"/>
        <v>506.25</v>
      </c>
      <c r="BO135" s="181">
        <f t="shared" si="97"/>
        <v>54.087300724454501</v>
      </c>
      <c r="BP135" s="181">
        <f t="shared" si="98"/>
        <v>17.745705467812876</v>
      </c>
      <c r="BQ135" s="182">
        <f t="shared" si="99"/>
        <v>106.99745588107641</v>
      </c>
      <c r="BR135" s="183">
        <f t="shared" si="100"/>
        <v>0.17904524060305732</v>
      </c>
      <c r="BS135" s="187">
        <f t="shared" si="101"/>
        <v>3905.2632054380429</v>
      </c>
      <c r="BT135" s="183">
        <f t="shared" si="102"/>
        <v>699.21879023592123</v>
      </c>
      <c r="BW135" s="53">
        <f t="shared" si="94"/>
        <v>108.174601448909</v>
      </c>
      <c r="BY135" s="14">
        <f t="shared" si="95"/>
        <v>23.743364182482537</v>
      </c>
      <c r="BZ135" s="53">
        <f t="shared" si="96"/>
        <v>81.714718109405993</v>
      </c>
    </row>
    <row r="136" spans="64:78">
      <c r="BL136" s="175">
        <f t="shared" si="103"/>
        <v>133</v>
      </c>
      <c r="BM136" s="180">
        <f t="shared" si="104"/>
        <v>510</v>
      </c>
      <c r="BO136" s="181">
        <f t="shared" si="97"/>
        <v>54.151403521958727</v>
      </c>
      <c r="BP136" s="181">
        <f t="shared" si="98"/>
        <v>17.877155137944825</v>
      </c>
      <c r="BQ136" s="182">
        <f t="shared" si="99"/>
        <v>106.80190341344024</v>
      </c>
      <c r="BR136" s="183">
        <f t="shared" si="100"/>
        <v>0.17505928795509174</v>
      </c>
      <c r="BS136" s="187">
        <f t="shared" si="101"/>
        <v>3994.1827617583722</v>
      </c>
      <c r="BT136" s="183">
        <f t="shared" si="102"/>
        <v>699.21879023592248</v>
      </c>
      <c r="BW136" s="53">
        <f t="shared" si="94"/>
        <v>108.30280704391745</v>
      </c>
      <c r="BY136" s="14">
        <f t="shared" si="95"/>
        <v>23.77541558123465</v>
      </c>
      <c r="BZ136" s="53">
        <f t="shared" si="96"/>
        <v>81.4871142430177</v>
      </c>
    </row>
    <row r="137" spans="64:78">
      <c r="BL137" s="175">
        <f t="shared" si="103"/>
        <v>134</v>
      </c>
      <c r="BM137" s="180">
        <f t="shared" si="104"/>
        <v>513.75</v>
      </c>
      <c r="BO137" s="181">
        <f t="shared" si="97"/>
        <v>54.215036697682507</v>
      </c>
      <c r="BP137" s="181">
        <f t="shared" si="98"/>
        <v>18.008604808076772</v>
      </c>
      <c r="BQ137" s="182">
        <f t="shared" si="99"/>
        <v>106.60682056758452</v>
      </c>
      <c r="BR137" s="183">
        <f t="shared" si="100"/>
        <v>0.17117132614755992</v>
      </c>
      <c r="BS137" s="187">
        <f t="shared" si="101"/>
        <v>4084.906076109698</v>
      </c>
      <c r="BT137" s="183">
        <f t="shared" si="102"/>
        <v>699.21879023592237</v>
      </c>
      <c r="BW137" s="53">
        <f t="shared" si="94"/>
        <v>108.43007339536501</v>
      </c>
      <c r="BY137" s="14">
        <f t="shared" si="95"/>
        <v>23.80723216909654</v>
      </c>
      <c r="BZ137" s="53">
        <f t="shared" si="96"/>
        <v>81.260214809300081</v>
      </c>
    </row>
    <row r="138" spans="64:78">
      <c r="BL138" s="175">
        <f t="shared" si="103"/>
        <v>135</v>
      </c>
      <c r="BM138" s="180">
        <f t="shared" si="104"/>
        <v>517.5</v>
      </c>
      <c r="BO138" s="181">
        <f t="shared" si="97"/>
        <v>54.278207082579108</v>
      </c>
      <c r="BP138" s="181">
        <f t="shared" si="98"/>
        <v>18.140054478208718</v>
      </c>
      <c r="BQ138" s="182">
        <f t="shared" si="99"/>
        <v>106.41220051255596</v>
      </c>
      <c r="BR138" s="183">
        <f t="shared" si="100"/>
        <v>0.16737863146389192</v>
      </c>
      <c r="BS138" s="187">
        <f t="shared" si="101"/>
        <v>4177.4674826801975</v>
      </c>
      <c r="BT138" s="183">
        <f t="shared" si="102"/>
        <v>699.21879023592112</v>
      </c>
      <c r="BW138" s="53">
        <f t="shared" si="94"/>
        <v>108.55641416515822</v>
      </c>
      <c r="BY138" s="14">
        <f t="shared" si="95"/>
        <v>23.838817361544841</v>
      </c>
      <c r="BZ138" s="53">
        <f t="shared" si="96"/>
        <v>81.03400956182324</v>
      </c>
    </row>
    <row r="139" spans="64:78">
      <c r="BL139" s="175">
        <f t="shared" si="103"/>
        <v>136</v>
      </c>
      <c r="BM139" s="180">
        <f t="shared" si="104"/>
        <v>521.25</v>
      </c>
      <c r="BO139" s="181">
        <f t="shared" si="97"/>
        <v>54.340921359636276</v>
      </c>
      <c r="BP139" s="181">
        <f t="shared" si="98"/>
        <v>18.271504148340664</v>
      </c>
      <c r="BQ139" s="182">
        <f t="shared" si="99"/>
        <v>106.21803656536684</v>
      </c>
      <c r="BR139" s="183">
        <f t="shared" si="100"/>
        <v>0.16367856741766737</v>
      </c>
      <c r="BS139" s="187">
        <f t="shared" si="101"/>
        <v>4271.9019433478243</v>
      </c>
      <c r="BT139" s="183">
        <f t="shared" si="102"/>
        <v>699.21879023592112</v>
      </c>
      <c r="BW139" s="53">
        <f t="shared" si="94"/>
        <v>108.68184271927255</v>
      </c>
      <c r="BY139" s="14">
        <f t="shared" si="95"/>
        <v>23.870174500073425</v>
      </c>
      <c r="BZ139" s="53">
        <f t="shared" si="96"/>
        <v>80.808488476105538</v>
      </c>
    </row>
    <row r="140" spans="64:78">
      <c r="BL140" s="175">
        <f t="shared" si="103"/>
        <v>137</v>
      </c>
      <c r="BM140" s="180">
        <f t="shared" si="104"/>
        <v>525</v>
      </c>
      <c r="BO140" s="181">
        <f t="shared" si="97"/>
        <v>54.40318606811914</v>
      </c>
      <c r="BP140" s="181">
        <f t="shared" si="98"/>
        <v>18.402953818472614</v>
      </c>
      <c r="BQ140" s="182">
        <f t="shared" si="99"/>
        <v>106.02432218675204</v>
      </c>
      <c r="BR140" s="183">
        <f t="shared" si="100"/>
        <v>0.16006858150527487</v>
      </c>
      <c r="BS140" s="187">
        <f t="shared" si="101"/>
        <v>4368.2450588398679</v>
      </c>
      <c r="BT140" s="183">
        <f t="shared" si="102"/>
        <v>699.21879023592362</v>
      </c>
      <c r="BW140" s="53">
        <f t="shared" si="94"/>
        <v>108.80637213623828</v>
      </c>
      <c r="BY140" s="14">
        <f t="shared" si="95"/>
        <v>23.901306854314857</v>
      </c>
      <c r="BZ140" s="53">
        <f t="shared" si="96"/>
        <v>80.583641743249288</v>
      </c>
    </row>
    <row r="141" spans="64:78">
      <c r="BL141" s="175">
        <f t="shared" si="103"/>
        <v>138</v>
      </c>
      <c r="BM141" s="180">
        <f t="shared" si="104"/>
        <v>528.75</v>
      </c>
      <c r="BO141" s="181">
        <f t="shared" si="97"/>
        <v>54.465007607661981</v>
      </c>
      <c r="BP141" s="181">
        <f t="shared" si="98"/>
        <v>18.534403488604564</v>
      </c>
      <c r="BQ141" s="182">
        <f t="shared" si="99"/>
        <v>105.83105097707727</v>
      </c>
      <c r="BR141" s="183">
        <f t="shared" si="100"/>
        <v>0.15654620209873268</v>
      </c>
      <c r="BS141" s="187">
        <f t="shared" si="101"/>
        <v>4466.5330800866759</v>
      </c>
      <c r="BT141" s="183">
        <f t="shared" si="102"/>
        <v>699.21879023592373</v>
      </c>
      <c r="BW141" s="53">
        <f t="shared" si="94"/>
        <v>108.93001521532396</v>
      </c>
      <c r="BY141" s="14">
        <f t="shared" si="95"/>
        <v>23.932217624086277</v>
      </c>
      <c r="BZ141" s="53">
        <f t="shared" si="96"/>
        <v>80.359459763803073</v>
      </c>
    </row>
    <row r="142" spans="64:78">
      <c r="BL142" s="175">
        <f t="shared" si="103"/>
        <v>139</v>
      </c>
      <c r="BM142" s="180">
        <f t="shared" si="104"/>
        <v>532.5</v>
      </c>
      <c r="BO142" s="181">
        <f t="shared" si="97"/>
        <v>54.526392242215501</v>
      </c>
      <c r="BP142" s="181">
        <f t="shared" si="98"/>
        <v>18.665853158736507</v>
      </c>
      <c r="BQ142" s="182">
        <f t="shared" si="99"/>
        <v>105.63821667239179</v>
      </c>
      <c r="BR142" s="183">
        <f t="shared" si="100"/>
        <v>0.15310903547172128</v>
      </c>
      <c r="BS142" s="187">
        <f t="shared" si="101"/>
        <v>4566.8029197732467</v>
      </c>
      <c r="BT142" s="183">
        <f t="shared" si="102"/>
        <v>699.21879023592237</v>
      </c>
      <c r="BW142" s="53">
        <f t="shared" si="94"/>
        <v>109.052784484431</v>
      </c>
      <c r="BY142" s="14">
        <f t="shared" si="95"/>
        <v>23.962909941363037</v>
      </c>
      <c r="BZ142" s="53">
        <f t="shared" si="96"/>
        <v>80.135933141840852</v>
      </c>
    </row>
    <row r="143" spans="64:78">
      <c r="BL143" s="175">
        <f t="shared" si="103"/>
        <v>140</v>
      </c>
      <c r="BM143" s="180">
        <f t="shared" si="104"/>
        <v>536.25</v>
      </c>
      <c r="BO143" s="181">
        <f t="shared" si="97"/>
        <v>54.587346103855616</v>
      </c>
      <c r="BP143" s="181">
        <f t="shared" si="98"/>
        <v>18.797302828868457</v>
      </c>
      <c r="BQ143" s="182">
        <f t="shared" si="99"/>
        <v>105.44581314061972</v>
      </c>
      <c r="BR143" s="183">
        <f t="shared" si="100"/>
        <v>0.14975476295227752</v>
      </c>
      <c r="BS143" s="187">
        <f t="shared" si="101"/>
        <v>4669.0921640919241</v>
      </c>
      <c r="BT143" s="183">
        <f t="shared" si="102"/>
        <v>699.2187902359226</v>
      </c>
      <c r="BW143" s="53">
        <f t="shared" si="94"/>
        <v>109.17469220771123</v>
      </c>
      <c r="BY143" s="14">
        <f t="shared" si="95"/>
        <v>23.993386872183095</v>
      </c>
      <c r="BZ143" s="53">
        <f t="shared" si="96"/>
        <v>79.913052679248736</v>
      </c>
    </row>
    <row r="144" spans="64:78">
      <c r="BL144" s="175">
        <f t="shared" si="103"/>
        <v>141</v>
      </c>
      <c r="BM144" s="180">
        <f t="shared" si="104"/>
        <v>540</v>
      </c>
      <c r="BO144" s="181">
        <f t="shared" si="97"/>
        <v>54.647875196459374</v>
      </c>
      <c r="BP144" s="181">
        <f t="shared" si="98"/>
        <v>18.928752499000403</v>
      </c>
      <c r="BQ144" s="182">
        <f t="shared" si="99"/>
        <v>105.253834377884</v>
      </c>
      <c r="BR144" s="183">
        <f t="shared" si="100"/>
        <v>0.14648113819597292</v>
      </c>
      <c r="BS144" s="187">
        <f t="shared" si="101"/>
        <v>4773.4390846994684</v>
      </c>
      <c r="BT144" s="183">
        <f t="shared" si="102"/>
        <v>699.21879023592123</v>
      </c>
      <c r="BW144" s="53">
        <f t="shared" si="94"/>
        <v>109.29575039291875</v>
      </c>
      <c r="BY144" s="14">
        <f t="shared" si="95"/>
        <v>24.023651418484974</v>
      </c>
      <c r="BZ144" s="53">
        <f t="shared" si="96"/>
        <v>79.690809370211156</v>
      </c>
    </row>
    <row r="145" spans="64:78">
      <c r="BL145" s="175">
        <f t="shared" si="103"/>
        <v>142</v>
      </c>
      <c r="BM145" s="180">
        <f t="shared" si="104"/>
        <v>543.75</v>
      </c>
      <c r="BO145" s="181">
        <f t="shared" si="97"/>
        <v>54.707985399253872</v>
      </c>
      <c r="BP145" s="181">
        <f t="shared" si="98"/>
        <v>19.060202169132349</v>
      </c>
      <c r="BQ145" s="182">
        <f t="shared" si="99"/>
        <v>105.06227450495757</v>
      </c>
      <c r="BR145" s="183">
        <f t="shared" si="100"/>
        <v>0.14328598457372357</v>
      </c>
      <c r="BS145" s="187">
        <f t="shared" si="101"/>
        <v>4879.8826508824477</v>
      </c>
      <c r="BT145" s="183">
        <f t="shared" si="102"/>
        <v>699.21879023592373</v>
      </c>
      <c r="BW145" s="53">
        <f t="shared" si="94"/>
        <v>109.41597079850774</v>
      </c>
      <c r="BY145" s="14">
        <f t="shared" si="95"/>
        <v>24.053706519882223</v>
      </c>
      <c r="BZ145" s="53">
        <f t="shared" si="96"/>
        <v>79.46919439588747</v>
      </c>
    </row>
    <row r="146" spans="64:78">
      <c r="BL146" s="175">
        <f t="shared" si="103"/>
        <v>143</v>
      </c>
      <c r="BM146" s="180">
        <f t="shared" si="104"/>
        <v>547.5</v>
      </c>
      <c r="BO146" s="181">
        <f t="shared" si="97"/>
        <v>54.767682470243116</v>
      </c>
      <c r="BP146" s="181">
        <f t="shared" si="98"/>
        <v>19.191651839264296</v>
      </c>
      <c r="BQ146" s="182">
        <f t="shared" si="99"/>
        <v>104.8711277638364</v>
      </c>
      <c r="BR146" s="183">
        <f t="shared" si="100"/>
        <v>0.14016719266871286</v>
      </c>
      <c r="BS146" s="187">
        <f t="shared" si="101"/>
        <v>4988.4625419340264</v>
      </c>
      <c r="BT146" s="183">
        <f t="shared" si="102"/>
        <v>699.21879023592373</v>
      </c>
      <c r="BW146" s="53">
        <f t="shared" si="94"/>
        <v>109.53536494048623</v>
      </c>
      <c r="BY146" s="14">
        <f t="shared" si="95"/>
        <v>24.083555055376845</v>
      </c>
      <c r="BZ146" s="53">
        <f t="shared" si="96"/>
        <v>79.248199119271646</v>
      </c>
    </row>
    <row r="147" spans="64:78">
      <c r="BL147" s="175">
        <f t="shared" si="103"/>
        <v>144</v>
      </c>
      <c r="BM147" s="180">
        <f t="shared" si="104"/>
        <v>551.25</v>
      </c>
      <c r="BO147" s="181">
        <f t="shared" si="97"/>
        <v>54.826972049517899</v>
      </c>
      <c r="BP147" s="181">
        <f t="shared" si="98"/>
        <v>19.323101509396245</v>
      </c>
      <c r="BQ147" s="182">
        <f t="shared" si="99"/>
        <v>104.68038851442964</v>
      </c>
      <c r="BR147" s="183">
        <f t="shared" si="100"/>
        <v>0.13712271787720687</v>
      </c>
      <c r="BS147" s="187">
        <f t="shared" si="101"/>
        <v>5099.2191597461742</v>
      </c>
      <c r="BT147" s="183">
        <f t="shared" si="102"/>
        <v>699.21879023592248</v>
      </c>
      <c r="BW147" s="53">
        <f t="shared" si="94"/>
        <v>109.6539440990358</v>
      </c>
      <c r="BY147" s="14">
        <f t="shared" si="95"/>
        <v>24.113199845014236</v>
      </c>
      <c r="BZ147" s="53">
        <f t="shared" si="96"/>
        <v>79.027815080227526</v>
      </c>
    </row>
    <row r="148" spans="64:78">
      <c r="BL148" s="175">
        <f t="shared" si="103"/>
        <v>145</v>
      </c>
      <c r="BM148" s="180">
        <f t="shared" si="104"/>
        <v>555</v>
      </c>
      <c r="BO148" s="181">
        <f t="shared" si="97"/>
        <v>54.885859662453527</v>
      </c>
      <c r="BP148" s="181">
        <f t="shared" si="98"/>
        <v>19.454551179528192</v>
      </c>
      <c r="BQ148" s="182">
        <f t="shared" si="99"/>
        <v>104.49005123136209</v>
      </c>
      <c r="BR148" s="183">
        <f t="shared" si="100"/>
        <v>0.13415057810832112</v>
      </c>
      <c r="BS148" s="187">
        <f t="shared" si="101"/>
        <v>5212.1936416206345</v>
      </c>
      <c r="BT148" s="183">
        <f t="shared" si="102"/>
        <v>699.21879023592362</v>
      </c>
      <c r="BW148" s="53">
        <f t="shared" si="94"/>
        <v>109.77171932490705</v>
      </c>
      <c r="BY148" s="14">
        <f t="shared" si="95"/>
        <v>24.14264365148205</v>
      </c>
      <c r="BZ148" s="53">
        <f t="shared" si="96"/>
        <v>78.808033990692138</v>
      </c>
    </row>
    <row r="149" spans="64:78">
      <c r="BL149" s="175">
        <f t="shared" si="103"/>
        <v>146</v>
      </c>
      <c r="BM149" s="180">
        <f t="shared" si="104"/>
        <v>558.75</v>
      </c>
      <c r="BO149" s="181">
        <f t="shared" si="97"/>
        <v>54.944350722799854</v>
      </c>
      <c r="BP149" s="181">
        <f t="shared" si="98"/>
        <v>19.586000849660138</v>
      </c>
      <c r="BQ149" s="182">
        <f t="shared" si="99"/>
        <v>104.30011050088382</v>
      </c>
      <c r="BR149" s="183">
        <f t="shared" si="100"/>
        <v>0.13124885157805846</v>
      </c>
      <c r="BS149" s="187">
        <f t="shared" si="101"/>
        <v>5327.4278733027459</v>
      </c>
      <c r="BT149" s="183">
        <f t="shared" si="102"/>
        <v>699.21879023592373</v>
      </c>
      <c r="BW149" s="53">
        <f t="shared" si="94"/>
        <v>109.88870144559971</v>
      </c>
      <c r="BY149" s="14">
        <f t="shared" si="95"/>
        <v>24.171889181655214</v>
      </c>
      <c r="BZ149" s="53">
        <f t="shared" si="96"/>
        <v>78.588847730040698</v>
      </c>
    </row>
    <row r="150" spans="64:78">
      <c r="BL150" s="175">
        <f t="shared" si="103"/>
        <v>147</v>
      </c>
      <c r="BM150" s="180">
        <f t="shared" si="104"/>
        <v>562.5</v>
      </c>
      <c r="BO150" s="181">
        <f t="shared" si="97"/>
        <v>55.002450535668004</v>
      </c>
      <c r="BP150" s="181">
        <f t="shared" si="98"/>
        <v>19.717450519792084</v>
      </c>
      <c r="BQ150" s="182">
        <f t="shared" si="99"/>
        <v>104.1105610178837</v>
      </c>
      <c r="BR150" s="183">
        <f t="shared" si="100"/>
        <v>0.12841567469320561</v>
      </c>
      <c r="BS150" s="187">
        <f t="shared" si="101"/>
        <v>5444.9645022416898</v>
      </c>
      <c r="BT150" s="183">
        <f t="shared" si="102"/>
        <v>699.21879023592101</v>
      </c>
      <c r="BW150" s="53">
        <f t="shared" si="94"/>
        <v>110.00490107133601</v>
      </c>
      <c r="BY150" s="14">
        <f t="shared" si="95"/>
        <v>24.200939088089289</v>
      </c>
      <c r="BZ150" s="53">
        <f t="shared" si="96"/>
        <v>78.370248340606508</v>
      </c>
    </row>
    <row r="151" spans="64:78">
      <c r="BL151" s="175">
        <f t="shared" si="103"/>
        <v>148</v>
      </c>
      <c r="BM151" s="180">
        <f t="shared" si="104"/>
        <v>566.25</v>
      </c>
      <c r="BO151" s="181">
        <f t="shared" si="97"/>
        <v>55.06016430041776</v>
      </c>
      <c r="BP151" s="181">
        <f t="shared" si="98"/>
        <v>19.848900189924034</v>
      </c>
      <c r="BQ151" s="182">
        <f t="shared" si="99"/>
        <v>103.921397583002</v>
      </c>
      <c r="BR151" s="183">
        <f t="shared" si="100"/>
        <v>0.1256492400208942</v>
      </c>
      <c r="BS151" s="187">
        <f t="shared" si="101"/>
        <v>5564.8469510810364</v>
      </c>
      <c r="BT151" s="183">
        <f t="shared" si="102"/>
        <v>699.21879023592237</v>
      </c>
      <c r="BW151" s="53">
        <f t="shared" si="94"/>
        <v>110.12032860083552</v>
      </c>
      <c r="BY151" s="14">
        <f t="shared" si="95"/>
        <v>24.229795970464167</v>
      </c>
      <c r="BZ151" s="53">
        <f t="shared" si="96"/>
        <v>78.152228023349934</v>
      </c>
    </row>
    <row r="152" spans="64:78">
      <c r="BL152" s="175">
        <f t="shared" si="103"/>
        <v>149</v>
      </c>
      <c r="BM152" s="180">
        <f t="shared" si="104"/>
        <v>570</v>
      </c>
      <c r="BO152" s="181">
        <f t="shared" si="97"/>
        <v>55.117497113449829</v>
      </c>
      <c r="BP152" s="181">
        <f t="shared" si="98"/>
        <v>19.980349860055977</v>
      </c>
      <c r="BQ152" s="182">
        <f t="shared" si="99"/>
        <v>103.73261509983797</v>
      </c>
      <c r="BR152" s="183">
        <f t="shared" si="100"/>
        <v>0.12294779433984758</v>
      </c>
      <c r="BS152" s="187">
        <f t="shared" si="101"/>
        <v>5687.1194313837586</v>
      </c>
      <c r="BT152" s="183">
        <f t="shared" si="102"/>
        <v>699.21879023592123</v>
      </c>
      <c r="BW152" s="53">
        <f t="shared" si="94"/>
        <v>110.23499422689966</v>
      </c>
      <c r="BY152" s="14">
        <f t="shared" si="95"/>
        <v>24.258462376980201</v>
      </c>
      <c r="BZ152" s="53">
        <f t="shared" si="96"/>
        <v>77.934779133669892</v>
      </c>
    </row>
    <row r="153" spans="64:78">
      <c r="BL153" s="175">
        <f t="shared" si="103"/>
        <v>150</v>
      </c>
      <c r="BM153" s="180">
        <f t="shared" si="104"/>
        <v>573.75</v>
      </c>
      <c r="BO153" s="181">
        <f t="shared" si="97"/>
        <v>55.174453970906356</v>
      </c>
      <c r="BP153" s="181">
        <f t="shared" si="98"/>
        <v>20.111799530187927</v>
      </c>
      <c r="BQ153" s="182">
        <f t="shared" si="99"/>
        <v>103.54420857224952</v>
      </c>
      <c r="BR153" s="183">
        <f t="shared" si="100"/>
        <v>0.12030963676957386</v>
      </c>
      <c r="BS153" s="187">
        <f t="shared" si="101"/>
        <v>5811.82695759542</v>
      </c>
      <c r="BT153" s="183">
        <f t="shared" si="102"/>
        <v>699.21879023592248</v>
      </c>
      <c r="BW153" s="53">
        <f t="shared" si="94"/>
        <v>110.34890794181271</v>
      </c>
      <c r="BY153" s="14">
        <f t="shared" si="95"/>
        <v>24.286940805708465</v>
      </c>
      <c r="BZ153" s="53">
        <f t="shared" si="96"/>
        <v>77.717894177353145</v>
      </c>
    </row>
    <row r="154" spans="64:78">
      <c r="BL154" s="175">
        <f t="shared" si="103"/>
        <v>151</v>
      </c>
      <c r="BM154" s="180">
        <f t="shared" si="104"/>
        <v>577.5</v>
      </c>
      <c r="BO154" s="181">
        <f t="shared" si="97"/>
        <v>55.231039771283641</v>
      </c>
      <c r="BP154" s="181">
        <f t="shared" si="98"/>
        <v>20.243249200319877</v>
      </c>
      <c r="BQ154" s="182">
        <f t="shared" si="99"/>
        <v>103.3561731017403</v>
      </c>
      <c r="BR154" s="183">
        <f t="shared" si="100"/>
        <v>0.11773311697391704</v>
      </c>
      <c r="BS154" s="187">
        <f t="shared" si="101"/>
        <v>5939.0153612498916</v>
      </c>
      <c r="BT154" s="183">
        <f t="shared" si="102"/>
        <v>699.21879023592362</v>
      </c>
      <c r="BW154" s="53">
        <f t="shared" si="94"/>
        <v>110.46207954256728</v>
      </c>
      <c r="BY154" s="14">
        <f t="shared" si="95"/>
        <v>24.315233705897107</v>
      </c>
      <c r="BZ154" s="53">
        <f t="shared" si="96"/>
        <v>77.501565806655265</v>
      </c>
    </row>
    <row r="155" spans="64:78">
      <c r="BL155" s="175">
        <f t="shared" si="103"/>
        <v>152</v>
      </c>
      <c r="BM155" s="180">
        <f t="shared" si="104"/>
        <v>581.25</v>
      </c>
      <c r="BO155" s="181">
        <f t="shared" si="97"/>
        <v>55.287259317960206</v>
      </c>
      <c r="BP155" s="181">
        <f t="shared" si="98"/>
        <v>20.374698870451823</v>
      </c>
      <c r="BQ155" s="182">
        <f t="shared" si="99"/>
        <v>103.16850388493177</v>
      </c>
      <c r="BR155" s="183">
        <f t="shared" si="100"/>
        <v>0.11521663343560357</v>
      </c>
      <c r="BS155" s="187">
        <f t="shared" si="101"/>
        <v>6068.7313054215147</v>
      </c>
      <c r="BT155" s="183">
        <f t="shared" si="102"/>
        <v>699.2187902359226</v>
      </c>
      <c r="BW155" s="53">
        <f t="shared" si="94"/>
        <v>110.57451863592041</v>
      </c>
      <c r="BY155" s="14">
        <f t="shared" si="95"/>
        <v>24.34334347923539</v>
      </c>
      <c r="BZ155" s="53">
        <f t="shared" si="96"/>
        <v>77.285786816508477</v>
      </c>
    </row>
    <row r="156" spans="64:78">
      <c r="BL156" s="175">
        <f t="shared" si="103"/>
        <v>153</v>
      </c>
      <c r="BM156" s="180">
        <f t="shared" si="104"/>
        <v>585</v>
      </c>
      <c r="BO156" s="181">
        <f t="shared" si="97"/>
        <v>55.343117321643611</v>
      </c>
      <c r="BP156" s="181">
        <f t="shared" si="98"/>
        <v>20.506148540583769</v>
      </c>
      <c r="BQ156" s="182">
        <f t="shared" si="99"/>
        <v>102.98119621111641</v>
      </c>
      <c r="BR156" s="183">
        <f t="shared" si="100"/>
        <v>0.11275863179856788</v>
      </c>
      <c r="BS156" s="187">
        <f t="shared" si="101"/>
        <v>6201.0222994281057</v>
      </c>
      <c r="BT156" s="183">
        <f t="shared" si="102"/>
        <v>699.21879023592248</v>
      </c>
      <c r="BW156" s="53">
        <f t="shared" si="94"/>
        <v>110.68623464328722</v>
      </c>
      <c r="BY156" s="14">
        <f t="shared" si="95"/>
        <v>24.371272481077092</v>
      </c>
      <c r="BZ156" s="53">
        <f t="shared" si="96"/>
        <v>77.070550140851424</v>
      </c>
    </row>
    <row r="157" spans="64:78">
      <c r="BL157" s="175">
        <f t="shared" si="103"/>
        <v>154</v>
      </c>
      <c r="BM157" s="180">
        <f t="shared" si="104"/>
        <v>588.75</v>
      </c>
      <c r="BO157" s="181">
        <f t="shared" si="97"/>
        <v>55.398618402739046</v>
      </c>
      <c r="BP157" s="181">
        <f t="shared" si="98"/>
        <v>20.637598210715716</v>
      </c>
      <c r="BQ157" s="182">
        <f t="shared" si="99"/>
        <v>102.79424545988903</v>
      </c>
      <c r="BR157" s="183">
        <f t="shared" si="100"/>
        <v>0.1103576032750152</v>
      </c>
      <c r="BS157" s="187">
        <f t="shared" si="101"/>
        <v>6335.9367137889312</v>
      </c>
      <c r="BT157" s="183">
        <f t="shared" si="102"/>
        <v>699.21879023592237</v>
      </c>
      <c r="BW157" s="53">
        <f t="shared" si="94"/>
        <v>110.79723680547809</v>
      </c>
      <c r="BY157" s="14">
        <f t="shared" si="95"/>
        <v>24.39902302162481</v>
      </c>
      <c r="BZ157" s="53">
        <f t="shared" si="96"/>
        <v>76.855848849076338</v>
      </c>
    </row>
    <row r="158" spans="64:78">
      <c r="BL158" s="175">
        <f t="shared" si="103"/>
        <v>155</v>
      </c>
      <c r="BM158" s="180">
        <f t="shared" si="104"/>
        <v>592.5</v>
      </c>
      <c r="BO158" s="181">
        <f t="shared" si="97"/>
        <v>55.453767093642831</v>
      </c>
      <c r="BP158" s="181">
        <f t="shared" si="98"/>
        <v>20.769047880847666</v>
      </c>
      <c r="BQ158" s="182">
        <f t="shared" si="99"/>
        <v>102.60764709885331</v>
      </c>
      <c r="BR158" s="183">
        <f t="shared" si="100"/>
        <v>0.10801208311433408</v>
      </c>
      <c r="BS158" s="187">
        <f t="shared" si="101"/>
        <v>6473.5237954422018</v>
      </c>
      <c r="BT158" s="183">
        <f t="shared" si="102"/>
        <v>699.21879023592248</v>
      </c>
      <c r="BW158" s="53">
        <f t="shared" si="94"/>
        <v>110.90753418728566</v>
      </c>
      <c r="BY158" s="14">
        <f t="shared" si="95"/>
        <v>24.426597367076702</v>
      </c>
      <c r="BZ158" s="53">
        <f t="shared" si="96"/>
        <v>76.641676142588722</v>
      </c>
    </row>
    <row r="159" spans="64:78">
      <c r="BL159" s="175">
        <f t="shared" si="103"/>
        <v>156</v>
      </c>
      <c r="BM159" s="180">
        <f t="shared" si="104"/>
        <v>596.25</v>
      </c>
      <c r="BO159" s="181">
        <f t="shared" si="97"/>
        <v>55.508567840963401</v>
      </c>
      <c r="BP159" s="181">
        <f t="shared" si="98"/>
        <v>20.900497550979608</v>
      </c>
      <c r="BQ159" s="182">
        <f t="shared" si="99"/>
        <v>102.42139668140078</v>
      </c>
      <c r="BR159" s="183">
        <f t="shared" si="100"/>
        <v>0.1057206491311158</v>
      </c>
      <c r="BS159" s="187">
        <f t="shared" si="101"/>
        <v>6613.8336832262949</v>
      </c>
      <c r="BT159" s="183">
        <f t="shared" si="102"/>
        <v>699.21879023592237</v>
      </c>
      <c r="BW159" s="53">
        <f t="shared" si="94"/>
        <v>111.0171356819268</v>
      </c>
      <c r="BY159" s="14">
        <f t="shared" si="95"/>
        <v>24.453997740736988</v>
      </c>
      <c r="BZ159" s="53">
        <f t="shared" si="96"/>
        <v>76.428025351475895</v>
      </c>
    </row>
    <row r="160" spans="64:78">
      <c r="BL160" s="175">
        <f t="shared" si="103"/>
        <v>157</v>
      </c>
      <c r="BM160" s="180">
        <f t="shared" si="104"/>
        <v>600</v>
      </c>
      <c r="BO160" s="181">
        <f t="shared" si="97"/>
        <v>55.56302500767287</v>
      </c>
      <c r="BP160" s="181">
        <f t="shared" si="98"/>
        <v>21.031947221111558</v>
      </c>
      <c r="BQ160" s="182">
        <f t="shared" si="99"/>
        <v>102.23548984455937</v>
      </c>
      <c r="BR160" s="183">
        <f t="shared" si="100"/>
        <v>0.10348192028967367</v>
      </c>
      <c r="BS160" s="187">
        <f t="shared" si="101"/>
        <v>6756.9174236293775</v>
      </c>
      <c r="BT160" s="183">
        <f t="shared" si="102"/>
        <v>699.21879023592237</v>
      </c>
      <c r="BW160" s="53">
        <f t="shared" si="94"/>
        <v>111.12605001534574</v>
      </c>
      <c r="BY160" s="14">
        <f t="shared" si="95"/>
        <v>24.481226324091722</v>
      </c>
      <c r="BZ160" s="53">
        <f t="shared" si="96"/>
        <v>76.214889931279743</v>
      </c>
    </row>
    <row r="161" spans="64:78">
      <c r="BL161" s="175">
        <f t="shared" si="103"/>
        <v>158</v>
      </c>
      <c r="BM161" s="180">
        <f t="shared" si="104"/>
        <v>603.75</v>
      </c>
      <c r="BO161" s="181">
        <f t="shared" si="97"/>
        <v>55.617142875191369</v>
      </c>
      <c r="BP161" s="181">
        <f t="shared" si="98"/>
        <v>21.163396891243504</v>
      </c>
      <c r="BQ161" s="182">
        <f t="shared" si="99"/>
        <v>102.04992230690891</v>
      </c>
      <c r="BR161" s="183">
        <f t="shared" si="100"/>
        <v>0.10129455534258555</v>
      </c>
      <c r="BS161" s="187">
        <f t="shared" si="101"/>
        <v>6902.8269868120005</v>
      </c>
      <c r="BT161" s="183">
        <f t="shared" si="102"/>
        <v>699.21879023592123</v>
      </c>
      <c r="BW161" s="53">
        <f t="shared" si="94"/>
        <v>111.23428575038274</v>
      </c>
      <c r="BY161" s="14">
        <f t="shared" si="95"/>
        <v>24.508285257850972</v>
      </c>
      <c r="BZ161" s="53">
        <f t="shared" si="96"/>
        <v>76.002263459870065</v>
      </c>
    </row>
    <row r="162" spans="64:78">
      <c r="BL162" s="175">
        <f t="shared" si="103"/>
        <v>159</v>
      </c>
      <c r="BM162" s="180">
        <f t="shared" si="104"/>
        <v>607.5</v>
      </c>
      <c r="BO162" s="181">
        <f t="shared" si="97"/>
        <v>55.670925645406996</v>
      </c>
      <c r="BP162" s="181">
        <f t="shared" si="98"/>
        <v>21.294846561375454</v>
      </c>
      <c r="BQ162" s="182">
        <f t="shared" si="99"/>
        <v>101.86468986656135</v>
      </c>
      <c r="BR162" s="183">
        <f t="shared" si="100"/>
        <v>9.9157251520909095E-2</v>
      </c>
      <c r="BS162" s="187">
        <f t="shared" si="101"/>
        <v>7051.6152829072671</v>
      </c>
      <c r="BT162" s="183">
        <f t="shared" si="102"/>
        <v>699.21879023592248</v>
      </c>
      <c r="BW162" s="53">
        <f t="shared" si="94"/>
        <v>111.34185129081399</v>
      </c>
      <c r="BY162" s="14">
        <f t="shared" si="95"/>
        <v>24.535176642958785</v>
      </c>
      <c r="BZ162" s="53">
        <f t="shared" si="96"/>
        <v>75.790139634414658</v>
      </c>
    </row>
    <row r="163" spans="64:78">
      <c r="BL163" s="175">
        <f t="shared" si="103"/>
        <v>160</v>
      </c>
      <c r="BM163" s="180">
        <f t="shared" si="104"/>
        <v>611.25</v>
      </c>
      <c r="BO163" s="181">
        <f t="shared" si="97"/>
        <v>55.724377442633532</v>
      </c>
      <c r="BP163" s="181">
        <f t="shared" si="98"/>
        <v>21.426296231507397</v>
      </c>
      <c r="BQ163" s="182">
        <f t="shared" si="99"/>
        <v>101.67978839920286</v>
      </c>
      <c r="BR163" s="183">
        <f t="shared" si="100"/>
        <v>9.7068743273828861E-2</v>
      </c>
      <c r="BS163" s="187">
        <f t="shared" si="101"/>
        <v>7203.336178603251</v>
      </c>
      <c r="BT163" s="183">
        <f t="shared" si="102"/>
        <v>699.21879023592237</v>
      </c>
      <c r="BW163" s="53">
        <f t="shared" si="94"/>
        <v>111.44875488526706</v>
      </c>
      <c r="BY163" s="14">
        <f t="shared" si="95"/>
        <v>24.561902541572053</v>
      </c>
      <c r="BZ163" s="53">
        <f t="shared" si="96"/>
        <v>75.578512268442907</v>
      </c>
    </row>
    <row r="164" spans="64:78">
      <c r="BL164" s="175">
        <f t="shared" si="103"/>
        <v>161</v>
      </c>
      <c r="BM164" s="180">
        <f t="shared" si="104"/>
        <v>615</v>
      </c>
      <c r="BO164" s="181">
        <f t="shared" si="97"/>
        <v>55.777502315508336</v>
      </c>
      <c r="BP164" s="181">
        <f t="shared" si="98"/>
        <v>21.557745901639347</v>
      </c>
      <c r="BQ164" s="182">
        <f t="shared" si="99"/>
        <v>101.49521385619613</v>
      </c>
      <c r="BR164" s="183">
        <f t="shared" si="100"/>
        <v>9.5027801055609637E-2</v>
      </c>
      <c r="BS164" s="187">
        <f t="shared" si="101"/>
        <v>7358.0445140127522</v>
      </c>
      <c r="BT164" s="183">
        <f t="shared" si="102"/>
        <v>699.21879023592373</v>
      </c>
      <c r="BW164" s="53">
        <f t="shared" si="94"/>
        <v>111.55500463101667</v>
      </c>
      <c r="BY164" s="14">
        <f t="shared" si="95"/>
        <v>24.588464978009455</v>
      </c>
      <c r="BZ164" s="53">
        <f t="shared" si="96"/>
        <v>75.367375288998772</v>
      </c>
    </row>
    <row r="165" spans="64:78">
      <c r="BL165" s="175">
        <f t="shared" si="103"/>
        <v>162</v>
      </c>
      <c r="BM165" s="180">
        <f t="shared" si="104"/>
        <v>618.75</v>
      </c>
      <c r="BO165" s="181">
        <f t="shared" si="97"/>
        <v>55.830304238832504</v>
      </c>
      <c r="BP165" s="181">
        <f t="shared" si="98"/>
        <v>21.689195571771297</v>
      </c>
      <c r="BQ165" s="182">
        <f t="shared" si="99"/>
        <v>101.31096226273999</v>
      </c>
      <c r="BR165" s="183">
        <f t="shared" si="100"/>
        <v>9.3033230157828939E-2</v>
      </c>
      <c r="BS165" s="187">
        <f t="shared" si="101"/>
        <v>7515.7961198349485</v>
      </c>
      <c r="BT165" s="183">
        <f t="shared" si="102"/>
        <v>699.21879023592248</v>
      </c>
      <c r="BW165" s="53">
        <f t="shared" si="94"/>
        <v>111.66060847766501</v>
      </c>
      <c r="BY165" s="14">
        <f t="shared" si="95"/>
        <v>24.614865939671539</v>
      </c>
      <c r="BZ165" s="53">
        <f t="shared" si="96"/>
        <v>75.156722733880571</v>
      </c>
    </row>
    <row r="166" spans="64:78">
      <c r="BL166" s="175">
        <f t="shared" si="103"/>
        <v>163</v>
      </c>
      <c r="BM166" s="180">
        <f t="shared" si="104"/>
        <v>622.5</v>
      </c>
      <c r="BO166" s="181">
        <f t="shared" si="97"/>
        <v>55.882787115355477</v>
      </c>
      <c r="BP166" s="181">
        <f t="shared" si="98"/>
        <v>21.820645241903243</v>
      </c>
      <c r="BQ166" s="182">
        <f t="shared" si="99"/>
        <v>101.12702971608508</v>
      </c>
      <c r="BR166" s="183">
        <f t="shared" si="100"/>
        <v>9.1083869584965921E-2</v>
      </c>
      <c r="BS166" s="187">
        <f t="shared" si="101"/>
        <v>7676.6478348141436</v>
      </c>
      <c r="BT166" s="183">
        <f t="shared" si="102"/>
        <v>699.21879023592248</v>
      </c>
      <c r="BW166" s="53">
        <f t="shared" si="94"/>
        <v>111.76557423071095</v>
      </c>
      <c r="BY166" s="14">
        <f t="shared" si="95"/>
        <v>24.641107377933025</v>
      </c>
      <c r="BZ166" s="53">
        <f t="shared" si="96"/>
        <v>74.946548748964148</v>
      </c>
    </row>
    <row r="167" spans="64:78">
      <c r="BL167" s="175">
        <f t="shared" si="103"/>
        <v>164</v>
      </c>
      <c r="BM167" s="180">
        <f t="shared" si="104"/>
        <v>626.25</v>
      </c>
      <c r="BO167" s="181">
        <f t="shared" si="97"/>
        <v>55.934954777506043</v>
      </c>
      <c r="BP167" s="181">
        <f t="shared" si="98"/>
        <v>21.952094912035189</v>
      </c>
      <c r="BQ167" s="182">
        <f t="shared" si="99"/>
        <v>100.94341238380258</v>
      </c>
      <c r="BR167" s="183">
        <f t="shared" si="100"/>
        <v>8.9178590971504726E-2</v>
      </c>
      <c r="BS167" s="187">
        <f t="shared" si="101"/>
        <v>7840.6575235007413</v>
      </c>
      <c r="BT167" s="183">
        <f t="shared" si="102"/>
        <v>699.21879023592385</v>
      </c>
      <c r="BW167" s="53">
        <f t="shared" si="94"/>
        <v>111.86990955501209</v>
      </c>
      <c r="BY167" s="14">
        <f t="shared" si="95"/>
        <v>24.667191209008308</v>
      </c>
      <c r="BZ167" s="53">
        <f t="shared" si="96"/>
        <v>74.73684758560637</v>
      </c>
    </row>
    <row r="168" spans="64:78">
      <c r="BL168" s="175">
        <f t="shared" si="103"/>
        <v>165</v>
      </c>
      <c r="BM168" s="180">
        <f t="shared" si="104"/>
        <v>630</v>
      </c>
      <c r="BO168" s="181">
        <f t="shared" si="97"/>
        <v>55.986810989071635</v>
      </c>
      <c r="BP168" s="181">
        <f t="shared" si="98"/>
        <v>22.083544582167136</v>
      </c>
      <c r="BQ168" s="182">
        <f t="shared" si="99"/>
        <v>100.76010650210503</v>
      </c>
      <c r="BR168" s="183">
        <f t="shared" si="100"/>
        <v>8.7316297538814897E-2</v>
      </c>
      <c r="BS168" s="187">
        <f t="shared" si="101"/>
        <v>8007.8840943192472</v>
      </c>
      <c r="BT168" s="183">
        <f t="shared" si="102"/>
        <v>699.2187902359226</v>
      </c>
      <c r="BW168" s="53">
        <f t="shared" si="94"/>
        <v>111.97362197814327</v>
      </c>
      <c r="BY168" s="14">
        <f t="shared" si="95"/>
        <v>24.693119314791105</v>
      </c>
      <c r="BZ168" s="53">
        <f t="shared" si="96"/>
        <v>74.527613598126024</v>
      </c>
    </row>
    <row r="169" spans="64:78">
      <c r="BL169" s="175">
        <f t="shared" si="103"/>
        <v>166</v>
      </c>
      <c r="BM169" s="180">
        <f t="shared" si="104"/>
        <v>633.75</v>
      </c>
      <c r="BO169" s="181">
        <f t="shared" si="97"/>
        <v>56.038359446827847</v>
      </c>
      <c r="BP169" s="181">
        <f t="shared" si="98"/>
        <v>22.214994252299086</v>
      </c>
      <c r="BQ169" s="182">
        <f t="shared" si="99"/>
        <v>100.57710837421686</v>
      </c>
      <c r="BR169" s="183">
        <f t="shared" si="100"/>
        <v>8.5495923090139217E-2</v>
      </c>
      <c r="BS169" s="187">
        <f t="shared" si="101"/>
        <v>8178.3875179490024</v>
      </c>
      <c r="BT169" s="183">
        <f t="shared" si="102"/>
        <v>699.21879023592248</v>
      </c>
      <c r="BW169" s="53">
        <f t="shared" si="94"/>
        <v>112.07671889365569</v>
      </c>
      <c r="BY169" s="14">
        <f t="shared" si="95"/>
        <v>24.718893543669211</v>
      </c>
      <c r="BZ169" s="53">
        <f t="shared" si="96"/>
        <v>74.318841241359749</v>
      </c>
    </row>
    <row r="170" spans="64:78">
      <c r="BL170" s="175">
        <f t="shared" si="103"/>
        <v>167</v>
      </c>
      <c r="BM170" s="180">
        <f t="shared" si="104"/>
        <v>637.5</v>
      </c>
      <c r="BO170" s="181">
        <f t="shared" si="97"/>
        <v>56.089603782119859</v>
      </c>
      <c r="BP170" s="181">
        <f t="shared" si="98"/>
        <v>22.346443922431028</v>
      </c>
      <c r="BQ170" s="182">
        <f t="shared" si="99"/>
        <v>100.39441436879292</v>
      </c>
      <c r="BR170" s="183">
        <f t="shared" si="100"/>
        <v>8.3716431042103245E-2</v>
      </c>
      <c r="BS170" s="187">
        <f t="shared" si="101"/>
        <v>8352.2288460226864</v>
      </c>
      <c r="BT170" s="183">
        <f t="shared" si="102"/>
        <v>699.21879023592385</v>
      </c>
      <c r="BW170" s="53">
        <f t="shared" si="94"/>
        <v>112.17920756423972</v>
      </c>
      <c r="BY170" s="14">
        <f t="shared" si="95"/>
        <v>24.744515711315216</v>
      </c>
      <c r="BZ170" s="53">
        <f t="shared" si="96"/>
        <v>74.110525068289803</v>
      </c>
    </row>
    <row r="171" spans="64:78">
      <c r="BL171" s="175">
        <f t="shared" si="103"/>
        <v>168</v>
      </c>
      <c r="BM171" s="180">
        <f t="shared" si="104"/>
        <v>641.25</v>
      </c>
      <c r="BO171" s="181">
        <f t="shared" si="97"/>
        <v>56.140547562397458</v>
      </c>
      <c r="BP171" s="181">
        <f t="shared" si="98"/>
        <v>22.477893592562978</v>
      </c>
      <c r="BQ171" s="182">
        <f t="shared" si="99"/>
        <v>100.21202091838336</v>
      </c>
      <c r="BR171" s="183">
        <f t="shared" si="100"/>
        <v>8.1976813491239767E-2</v>
      </c>
      <c r="BS171" s="187">
        <f t="shared" si="101"/>
        <v>8529.4702301479738</v>
      </c>
      <c r="BT171" s="183">
        <f t="shared" si="102"/>
        <v>699.21879023592237</v>
      </c>
      <c r="BW171" s="53">
        <f t="shared" si="94"/>
        <v>112.28109512479492</v>
      </c>
      <c r="BY171" s="14">
        <f t="shared" si="95"/>
        <v>24.769987601454016</v>
      </c>
      <c r="BZ171" s="53">
        <f t="shared" si="96"/>
        <v>73.902659727741437</v>
      </c>
    </row>
    <row r="172" spans="64:78">
      <c r="BL172" s="175">
        <f t="shared" si="103"/>
        <v>169</v>
      </c>
      <c r="BM172" s="180">
        <f t="shared" si="104"/>
        <v>645</v>
      </c>
      <c r="BO172" s="181">
        <f t="shared" si="97"/>
        <v>56.191194292705347</v>
      </c>
      <c r="BP172" s="181">
        <f t="shared" si="98"/>
        <v>22.609343262694924</v>
      </c>
      <c r="BQ172" s="182">
        <f t="shared" si="99"/>
        <v>100.02992451794353</v>
      </c>
      <c r="BR172" s="183">
        <f t="shared" si="100"/>
        <v>8.0276090314085682E-2</v>
      </c>
      <c r="BS172" s="187">
        <f t="shared" si="101"/>
        <v>8710.1749412581157</v>
      </c>
      <c r="BT172" s="183">
        <f t="shared" si="102"/>
        <v>699.21879023592248</v>
      </c>
      <c r="BW172" s="53">
        <f t="shared" si="94"/>
        <v>112.38238858541069</v>
      </c>
      <c r="BY172" s="14">
        <f t="shared" si="95"/>
        <v>24.795310966607961</v>
      </c>
      <c r="BZ172" s="53">
        <f t="shared" si="96"/>
        <v>73.695239962147667</v>
      </c>
    </row>
    <row r="173" spans="64:78">
      <c r="BL173" s="175">
        <f t="shared" si="103"/>
        <v>170</v>
      </c>
      <c r="BM173" s="180">
        <f t="shared" si="104"/>
        <v>648.75</v>
      </c>
      <c r="BO173" s="181">
        <f t="shared" si="97"/>
        <v>56.241547417130285</v>
      </c>
      <c r="BP173" s="181">
        <f t="shared" si="98"/>
        <v>22.740792932826874</v>
      </c>
      <c r="BQ173" s="182">
        <f t="shared" si="99"/>
        <v>99.84812172338664</v>
      </c>
      <c r="BR173" s="183">
        <f t="shared" si="100"/>
        <v>7.8613308299474827E-2</v>
      </c>
      <c r="BS173" s="187">
        <f t="shared" si="101"/>
        <v>8894.407389296879</v>
      </c>
      <c r="BT173" s="183">
        <f t="shared" si="102"/>
        <v>699.2187902359226</v>
      </c>
      <c r="BW173" s="53">
        <f t="shared" si="94"/>
        <v>112.48309483426057</v>
      </c>
      <c r="BY173" s="14">
        <f t="shared" si="95"/>
        <v>24.820487528820429</v>
      </c>
      <c r="BZ173" s="53">
        <f t="shared" si="96"/>
        <v>73.488260605378315</v>
      </c>
    </row>
    <row r="174" spans="64:78">
      <c r="BL174" s="175">
        <f t="shared" si="103"/>
        <v>171</v>
      </c>
      <c r="BM174" s="180">
        <f t="shared" si="104"/>
        <v>652.5</v>
      </c>
      <c r="BO174" s="181">
        <f t="shared" si="97"/>
        <v>56.291610320206374</v>
      </c>
      <c r="BP174" s="181">
        <f t="shared" si="98"/>
        <v>22.872242602958817</v>
      </c>
      <c r="BQ174" s="182">
        <f t="shared" si="99"/>
        <v>99.666609150178601</v>
      </c>
      <c r="BR174" s="183">
        <f t="shared" si="100"/>
        <v>7.6987540311724154E-2</v>
      </c>
      <c r="BS174" s="187">
        <f t="shared" si="101"/>
        <v>9082.2331432433239</v>
      </c>
      <c r="BT174" s="183">
        <f t="shared" si="102"/>
        <v>699.2187902359226</v>
      </c>
      <c r="BW174" s="53">
        <f t="shared" si="94"/>
        <v>112.58322064041275</v>
      </c>
      <c r="BY174" s="14">
        <f t="shared" si="95"/>
        <v>24.845518980358474</v>
      </c>
      <c r="BZ174" s="53">
        <f t="shared" si="96"/>
        <v>73.281716580632249</v>
      </c>
    </row>
    <row r="175" spans="64:78">
      <c r="BL175" s="175">
        <f t="shared" si="103"/>
        <v>172</v>
      </c>
      <c r="BM175" s="180">
        <f t="shared" si="104"/>
        <v>656.25</v>
      </c>
      <c r="BO175" s="181">
        <f t="shared" si="97"/>
        <v>56.341386328280265</v>
      </c>
      <c r="BP175" s="181">
        <f t="shared" si="98"/>
        <v>23.003692273090767</v>
      </c>
      <c r="BQ175" s="182">
        <f t="shared" si="99"/>
        <v>99.485383471972767</v>
      </c>
      <c r="BR175" s="183">
        <f t="shared" si="100"/>
        <v>7.5397884483454775E-2</v>
      </c>
      <c r="BS175" s="187">
        <f t="shared" si="101"/>
        <v>9273.7189514827605</v>
      </c>
      <c r="BT175" s="183">
        <f t="shared" si="102"/>
        <v>699.21879023592248</v>
      </c>
      <c r="BW175" s="53">
        <f t="shared" si="94"/>
        <v>112.68277265656053</v>
      </c>
      <c r="BY175" s="14">
        <f t="shared" si="95"/>
        <v>24.870406984395419</v>
      </c>
      <c r="BZ175" s="53">
        <f t="shared" si="96"/>
        <v>73.075602898389448</v>
      </c>
    </row>
    <row r="176" spans="64:78">
      <c r="BL176" s="175">
        <f t="shared" si="103"/>
        <v>173</v>
      </c>
      <c r="BM176" s="180">
        <f t="shared" si="104"/>
        <v>660</v>
      </c>
      <c r="BO176" s="181">
        <f t="shared" si="97"/>
        <v>56.390878710837377</v>
      </c>
      <c r="BP176" s="181">
        <f t="shared" si="98"/>
        <v>23.135141943222717</v>
      </c>
      <c r="BQ176" s="182">
        <f t="shared" si="99"/>
        <v>99.304441419283705</v>
      </c>
      <c r="BR176" s="183">
        <f t="shared" si="100"/>
        <v>7.3843463436860227E-2</v>
      </c>
      <c r="BS176" s="187">
        <f t="shared" si="101"/>
        <v>9468.9327625293299</v>
      </c>
      <c r="BT176" s="183">
        <f t="shared" si="102"/>
        <v>699.21879023592248</v>
      </c>
      <c r="BW176" s="53">
        <f t="shared" si="94"/>
        <v>112.78175742167475</v>
      </c>
      <c r="BY176" s="14">
        <f t="shared" si="95"/>
        <v>24.895153175673975</v>
      </c>
      <c r="BZ176" s="53">
        <f t="shared" si="96"/>
        <v>72.869914654421848</v>
      </c>
    </row>
    <row r="177" spans="64:78">
      <c r="BL177" s="175">
        <f t="shared" si="103"/>
        <v>174</v>
      </c>
      <c r="BM177" s="180">
        <f t="shared" si="104"/>
        <v>663.75</v>
      </c>
      <c r="BO177" s="181">
        <f t="shared" si="97"/>
        <v>56.440090681790515</v>
      </c>
      <c r="BP177" s="181">
        <f t="shared" si="98"/>
        <v>23.26659161335466</v>
      </c>
      <c r="BQ177" s="182">
        <f t="shared" si="99"/>
        <v>99.123779778198639</v>
      </c>
      <c r="BR177" s="183">
        <f t="shared" si="100"/>
        <v>7.2323423532282591E-2</v>
      </c>
      <c r="BS177" s="187">
        <f t="shared" si="101"/>
        <v>9667.9437461062316</v>
      </c>
      <c r="BT177" s="183">
        <f t="shared" si="102"/>
        <v>699.21879023592373</v>
      </c>
      <c r="BW177" s="53">
        <f t="shared" si="94"/>
        <v>112.88018136358103</v>
      </c>
      <c r="BY177" s="14">
        <f t="shared" si="95"/>
        <v>24.919759161150544</v>
      </c>
      <c r="BZ177" s="53">
        <f t="shared" si="96"/>
        <v>72.664647027860184</v>
      </c>
    </row>
    <row r="178" spans="64:78">
      <c r="BL178" s="175">
        <f t="shared" si="103"/>
        <v>175</v>
      </c>
      <c r="BM178" s="180">
        <f t="shared" si="104"/>
        <v>667.5</v>
      </c>
      <c r="BO178" s="181">
        <f t="shared" si="97"/>
        <v>56.48902540073226</v>
      </c>
      <c r="BP178" s="181">
        <f t="shared" si="98"/>
        <v>23.398041283486609</v>
      </c>
      <c r="BQ178" s="182">
        <f t="shared" si="99"/>
        <v>98.94339538912493</v>
      </c>
      <c r="BR178" s="183">
        <f t="shared" si="100"/>
        <v>7.0836934143006056E-2</v>
      </c>
      <c r="BS178" s="187">
        <f t="shared" si="101"/>
        <v>9870.8223145899447</v>
      </c>
      <c r="BT178" s="183">
        <f t="shared" si="102"/>
        <v>699.21879023592248</v>
      </c>
      <c r="BW178" s="53">
        <f t="shared" si="94"/>
        <v>112.97805080146452</v>
      </c>
      <c r="BY178" s="14">
        <f t="shared" si="95"/>
        <v>24.944226520621417</v>
      </c>
      <c r="BZ178" s="53">
        <f t="shared" si="96"/>
        <v>72.459795279315614</v>
      </c>
    </row>
    <row r="179" spans="64:78">
      <c r="BL179" s="175">
        <f t="shared" si="103"/>
        <v>176</v>
      </c>
      <c r="BM179" s="180">
        <f t="shared" si="104"/>
        <v>671.25</v>
      </c>
      <c r="BO179" s="181">
        <f t="shared" si="97"/>
        <v>56.53768597415224</v>
      </c>
      <c r="BP179" s="181">
        <f t="shared" si="98"/>
        <v>23.529490953618556</v>
      </c>
      <c r="BQ179" s="182">
        <f t="shared" si="99"/>
        <v>98.763285145573008</v>
      </c>
      <c r="BR179" s="183">
        <f t="shared" si="100"/>
        <v>6.9383186955234294E-2</v>
      </c>
      <c r="BS179" s="187">
        <f t="shared" si="101"/>
        <v>10077.640144824354</v>
      </c>
      <c r="BT179" s="183">
        <f t="shared" si="102"/>
        <v>699.2187902359226</v>
      </c>
      <c r="BW179" s="53">
        <f t="shared" si="94"/>
        <v>113.07537194830448</v>
      </c>
      <c r="BY179" s="14">
        <f t="shared" si="95"/>
        <v>24.968556807331407</v>
      </c>
      <c r="BZ179" s="53">
        <f t="shared" si="96"/>
        <v>72.255354749053694</v>
      </c>
    </row>
    <row r="180" spans="64:78">
      <c r="BL180" s="175">
        <f t="shared" si="103"/>
        <v>177</v>
      </c>
      <c r="BM180" s="180">
        <f t="shared" si="104"/>
        <v>675</v>
      </c>
      <c r="BO180" s="181">
        <f t="shared" si="97"/>
        <v>56.586075456620499</v>
      </c>
      <c r="BP180" s="181">
        <f t="shared" si="98"/>
        <v>23.660940623750506</v>
      </c>
      <c r="BQ180" s="182">
        <f t="shared" si="99"/>
        <v>98.583445992972798</v>
      </c>
      <c r="BR180" s="183">
        <f t="shared" si="100"/>
        <v>6.7961395292252424E-2</v>
      </c>
      <c r="BS180" s="187">
        <f t="shared" si="101"/>
        <v>10288.470200311396</v>
      </c>
      <c r="BT180" s="183">
        <f t="shared" si="102"/>
        <v>699.21879023592226</v>
      </c>
      <c r="BW180" s="53">
        <f t="shared" si="94"/>
        <v>113.172150913241</v>
      </c>
      <c r="BY180" s="14">
        <f t="shared" si="95"/>
        <v>24.992751548565536</v>
      </c>
      <c r="BZ180" s="53">
        <f t="shared" si="96"/>
        <v>72.051320855219359</v>
      </c>
    </row>
    <row r="181" spans="64:78">
      <c r="BL181" s="175">
        <f t="shared" si="103"/>
        <v>178</v>
      </c>
      <c r="BM181" s="180">
        <f t="shared" si="104"/>
        <v>678.75</v>
      </c>
      <c r="BO181" s="181">
        <f t="shared" si="97"/>
        <v>56.634196851938071</v>
      </c>
      <c r="BP181" s="181">
        <f t="shared" si="98"/>
        <v>23.792390293882448</v>
      </c>
      <c r="BQ181" s="182">
        <f t="shared" si="99"/>
        <v>98.403874927523276</v>
      </c>
      <c r="BR181" s="183">
        <f t="shared" si="100"/>
        <v>6.6570793461833283E-2</v>
      </c>
      <c r="BS181" s="187">
        <f t="shared" si="101"/>
        <v>10503.386753784183</v>
      </c>
      <c r="BT181" s="183">
        <f t="shared" si="102"/>
        <v>699.21879023592237</v>
      </c>
      <c r="BW181" s="53">
        <f t="shared" si="94"/>
        <v>113.26839370387614</v>
      </c>
      <c r="BY181" s="14">
        <f t="shared" si="95"/>
        <v>25.016812246224323</v>
      </c>
      <c r="BZ181" s="53">
        <f t="shared" si="96"/>
        <v>71.847689092111054</v>
      </c>
    </row>
    <row r="182" spans="64:78">
      <c r="BL182" s="175">
        <f t="shared" si="103"/>
        <v>179</v>
      </c>
      <c r="BM182" s="180">
        <f t="shared" si="104"/>
        <v>682.5</v>
      </c>
      <c r="BO182" s="181">
        <f t="shared" si="97"/>
        <v>56.682053114255872</v>
      </c>
      <c r="BP182" s="181">
        <f t="shared" si="98"/>
        <v>23.923839964014398</v>
      </c>
      <c r="BQ182" s="182">
        <f t="shared" si="99"/>
        <v>98.224568995073525</v>
      </c>
      <c r="BR182" s="183">
        <f t="shared" si="100"/>
        <v>6.5210636125975413E-2</v>
      </c>
      <c r="BS182" s="187">
        <f t="shared" si="101"/>
        <v>10722.465410169541</v>
      </c>
      <c r="BT182" s="183">
        <f t="shared" si="102"/>
        <v>699.21879023592362</v>
      </c>
      <c r="BW182" s="53">
        <f t="shared" si="94"/>
        <v>113.36410622851174</v>
      </c>
      <c r="BY182" s="14">
        <f t="shared" si="95"/>
        <v>25.040740377383223</v>
      </c>
      <c r="BZ182" s="53">
        <f t="shared" si="96"/>
        <v>71.644455028502421</v>
      </c>
    </row>
    <row r="183" spans="64:78">
      <c r="BL183" s="175">
        <f t="shared" si="103"/>
        <v>180</v>
      </c>
      <c r="BM183" s="180">
        <f t="shared" si="104"/>
        <v>686.25</v>
      </c>
      <c r="BO183" s="181">
        <f t="shared" si="97"/>
        <v>56.729647149162965</v>
      </c>
      <c r="BP183" s="181">
        <f t="shared" si="98"/>
        <v>24.055289634146344</v>
      </c>
      <c r="BQ183" s="182">
        <f t="shared" si="99"/>
        <v>98.045525290034504</v>
      </c>
      <c r="BR183" s="183">
        <f t="shared" si="100"/>
        <v>6.3880197692108551E-2</v>
      </c>
      <c r="BS183" s="187">
        <f t="shared" si="101"/>
        <v>10945.783129946416</v>
      </c>
      <c r="BT183" s="183">
        <f t="shared" si="102"/>
        <v>699.21879023592373</v>
      </c>
      <c r="BW183" s="53">
        <f t="shared" si="94"/>
        <v>113.45929429832593</v>
      </c>
      <c r="BY183" s="14">
        <f t="shared" si="95"/>
        <v>25.064537394836769</v>
      </c>
      <c r="BZ183" s="53">
        <f t="shared" si="96"/>
        <v>71.441614306009825</v>
      </c>
    </row>
    <row r="184" spans="64:78">
      <c r="BL184" s="175">
        <f t="shared" si="103"/>
        <v>181</v>
      </c>
      <c r="BM184" s="180">
        <f t="shared" si="104"/>
        <v>690</v>
      </c>
      <c r="BO184" s="181">
        <f t="shared" si="97"/>
        <v>56.776981814745106</v>
      </c>
      <c r="BP184" s="181">
        <f t="shared" si="98"/>
        <v>24.186739304278291</v>
      </c>
      <c r="BQ184" s="182">
        <f t="shared" si="99"/>
        <v>97.866740954320392</v>
      </c>
      <c r="BR184" s="183">
        <f t="shared" si="100"/>
        <v>6.2578771724938559E-2</v>
      </c>
      <c r="BS184" s="187">
        <f t="shared" si="101"/>
        <v>11173.418252906895</v>
      </c>
      <c r="BT184" s="183">
        <f t="shared" si="102"/>
        <v>699.21879023592237</v>
      </c>
      <c r="BW184" s="53">
        <f t="shared" si="94"/>
        <v>113.55396362949021</v>
      </c>
      <c r="BY184" s="14">
        <f t="shared" si="95"/>
        <v>25.08820472762784</v>
      </c>
      <c r="BZ184" s="53">
        <f t="shared" si="96"/>
        <v>71.239162637504677</v>
      </c>
    </row>
    <row r="185" spans="64:78">
      <c r="BL185" s="175">
        <f t="shared" si="103"/>
        <v>182</v>
      </c>
      <c r="BM185" s="180">
        <f t="shared" si="104"/>
        <v>693.75</v>
      </c>
      <c r="BO185" s="181">
        <f t="shared" si="97"/>
        <v>56.824059922614651</v>
      </c>
      <c r="BP185" s="181">
        <f t="shared" si="98"/>
        <v>24.318188974410237</v>
      </c>
      <c r="BQ185" s="182">
        <f t="shared" si="99"/>
        <v>97.688213176318925</v>
      </c>
      <c r="BR185" s="183">
        <f t="shared" si="100"/>
        <v>6.1305670378139325E-2</v>
      </c>
      <c r="BS185" s="187">
        <f t="shared" si="101"/>
        <v>11405.450522326473</v>
      </c>
      <c r="BT185" s="183">
        <f t="shared" si="102"/>
        <v>699.21879023592373</v>
      </c>
      <c r="BW185" s="53">
        <f t="shared" si="94"/>
        <v>113.6481198452293</v>
      </c>
      <c r="BY185" s="14">
        <f t="shared" si="95"/>
        <v>25.111743781562613</v>
      </c>
      <c r="BZ185" s="53">
        <f t="shared" si="96"/>
        <v>71.037095805568384</v>
      </c>
    </row>
    <row r="186" spans="64:78">
      <c r="BL186" s="175">
        <f t="shared" si="103"/>
        <v>183</v>
      </c>
      <c r="BM186" s="180">
        <f t="shared" si="104"/>
        <v>697.5</v>
      </c>
      <c r="BO186" s="181">
        <f t="shared" si="97"/>
        <v>56.870884238912708</v>
      </c>
      <c r="BP186" s="181">
        <f t="shared" si="98"/>
        <v>24.449638644542187</v>
      </c>
      <c r="BQ186" s="182">
        <f t="shared" si="99"/>
        <v>97.509939189888883</v>
      </c>
      <c r="BR186" s="183">
        <f t="shared" si="100"/>
        <v>6.0060223845128366E-2</v>
      </c>
      <c r="BS186" s="187">
        <f t="shared" si="101"/>
        <v>11641.961109551132</v>
      </c>
      <c r="BT186" s="183">
        <f t="shared" si="102"/>
        <v>699.21879023591998</v>
      </c>
      <c r="BW186" s="53">
        <f t="shared" si="94"/>
        <v>113.74176847782542</v>
      </c>
      <c r="BY186" s="14">
        <f t="shared" si="95"/>
        <v>25.135155939711641</v>
      </c>
      <c r="BZ186" s="53">
        <f t="shared" si="96"/>
        <v>70.83540966098937</v>
      </c>
    </row>
    <row r="187" spans="64:78">
      <c r="BL187" s="175">
        <f t="shared" si="103"/>
        <v>184</v>
      </c>
      <c r="BM187" s="180">
        <f t="shared" si="104"/>
        <v>701.25</v>
      </c>
      <c r="BO187" s="181">
        <f t="shared" si="97"/>
        <v>56.917457485284359</v>
      </c>
      <c r="BP187" s="181">
        <f t="shared" si="98"/>
        <v>24.581088314674133</v>
      </c>
      <c r="BQ187" s="182">
        <f t="shared" si="99"/>
        <v>97.331916273385303</v>
      </c>
      <c r="BR187" s="183">
        <f t="shared" si="100"/>
        <v>5.8841779828210851E-2</v>
      </c>
      <c r="BS187" s="187">
        <f t="shared" si="101"/>
        <v>11883.032639007497</v>
      </c>
      <c r="BT187" s="183">
        <f t="shared" si="102"/>
        <v>699.21879023592248</v>
      </c>
      <c r="BW187" s="53">
        <f t="shared" si="94"/>
        <v>113.83491497056872</v>
      </c>
      <c r="BY187" s="14">
        <f t="shared" si="95"/>
        <v>25.158442562897466</v>
      </c>
      <c r="BZ187" s="53">
        <f t="shared" si="96"/>
        <v>70.634100121299937</v>
      </c>
    </row>
    <row r="188" spans="64:78">
      <c r="BL188" s="175">
        <f t="shared" si="103"/>
        <v>185</v>
      </c>
      <c r="BM188" s="180">
        <f t="shared" si="104"/>
        <v>705</v>
      </c>
      <c r="BO188" s="181">
        <f t="shared" si="97"/>
        <v>56.963782339827979</v>
      </c>
      <c r="BP188" s="181">
        <f t="shared" si="98"/>
        <v>24.71253798480608</v>
      </c>
      <c r="BQ188" s="182">
        <f t="shared" si="99"/>
        <v>97.154141748709719</v>
      </c>
      <c r="BR188" s="183">
        <f t="shared" si="100"/>
        <v>5.7649703025383095E-2</v>
      </c>
      <c r="BS188" s="187">
        <f t="shared" si="101"/>
        <v>12128.74921364395</v>
      </c>
      <c r="BT188" s="183">
        <f t="shared" si="102"/>
        <v>699.21879023592248</v>
      </c>
      <c r="BW188" s="53">
        <f t="shared" si="94"/>
        <v>113.92756467965596</v>
      </c>
      <c r="BY188" s="14">
        <f t="shared" si="95"/>
        <v>25.181604990169276</v>
      </c>
      <c r="BZ188" s="53">
        <f t="shared" si="96"/>
        <v>70.433163169352568</v>
      </c>
    </row>
    <row r="189" spans="64:78">
      <c r="BL189" s="175">
        <f t="shared" si="103"/>
        <v>186</v>
      </c>
      <c r="BM189" s="180">
        <f t="shared" si="104"/>
        <v>708.75</v>
      </c>
      <c r="BO189" s="181">
        <f t="shared" si="97"/>
        <v>57.009861438019264</v>
      </c>
      <c r="BP189" s="181">
        <f t="shared" si="98"/>
        <v>24.843987654938029</v>
      </c>
      <c r="BQ189" s="182">
        <f t="shared" si="99"/>
        <v>96.976612980386506</v>
      </c>
      <c r="BR189" s="183">
        <f t="shared" si="100"/>
        <v>5.6483374634144899E-2</v>
      </c>
      <c r="BS189" s="187">
        <f t="shared" si="101"/>
        <v>12379.196440809588</v>
      </c>
      <c r="BT189" s="183">
        <f t="shared" si="102"/>
        <v>699.21879023592112</v>
      </c>
      <c r="BW189" s="53">
        <f t="shared" si="94"/>
        <v>114.01972287603853</v>
      </c>
      <c r="BY189" s="14">
        <f t="shared" si="95"/>
        <v>25.204644539264919</v>
      </c>
      <c r="BZ189" s="53">
        <f t="shared" si="96"/>
        <v>70.232594851933683</v>
      </c>
    </row>
    <row r="190" spans="64:78">
      <c r="BL190" s="175">
        <f t="shared" si="103"/>
        <v>187</v>
      </c>
      <c r="BM190" s="180">
        <f t="shared" si="104"/>
        <v>712.5</v>
      </c>
      <c r="BO190" s="181">
        <f t="shared" si="97"/>
        <v>57.055697373610954</v>
      </c>
      <c r="BP190" s="181">
        <f t="shared" si="98"/>
        <v>24.975437325069976</v>
      </c>
      <c r="BQ190" s="182">
        <f t="shared" si="99"/>
        <v>96.79932737466288</v>
      </c>
      <c r="BR190" s="183">
        <f t="shared" si="100"/>
        <v>5.534219187167233E-2</v>
      </c>
      <c r="BS190" s="187">
        <f t="shared" si="101"/>
        <v>12634.461458578942</v>
      </c>
      <c r="BT190" s="183">
        <f t="shared" si="102"/>
        <v>699.21879023592487</v>
      </c>
      <c r="BW190" s="53">
        <f t="shared" si="94"/>
        <v>114.11139474722191</v>
      </c>
      <c r="BY190" s="14">
        <f t="shared" si="95"/>
        <v>25.227562507060764</v>
      </c>
      <c r="BZ190" s="53">
        <f t="shared" si="96"/>
        <v>70.03239127841421</v>
      </c>
    </row>
    <row r="191" spans="64:78">
      <c r="BL191" s="175">
        <f t="shared" si="103"/>
        <v>188</v>
      </c>
      <c r="BM191" s="180">
        <f t="shared" si="104"/>
        <v>716.25</v>
      </c>
      <c r="BO191" s="181">
        <f t="shared" si="97"/>
        <v>57.101292699508932</v>
      </c>
      <c r="BP191" s="181">
        <f t="shared" si="98"/>
        <v>25.106886995201926</v>
      </c>
      <c r="BQ191" s="182">
        <f t="shared" si="99"/>
        <v>96.622282378632946</v>
      </c>
      <c r="BR191" s="183">
        <f t="shared" si="100"/>
        <v>5.4225567510746364E-2</v>
      </c>
      <c r="BS191" s="187">
        <f t="shared" si="101"/>
        <v>12894.632962529198</v>
      </c>
      <c r="BT191" s="183">
        <f t="shared" si="102"/>
        <v>699.21879023592248</v>
      </c>
      <c r="BW191" s="53">
        <f t="shared" si="94"/>
        <v>114.20258539901786</v>
      </c>
      <c r="BY191" s="14">
        <f t="shared" si="95"/>
        <v>25.250360170009753</v>
      </c>
      <c r="BZ191" s="53">
        <f t="shared" si="96"/>
        <v>69.832548619435286</v>
      </c>
    </row>
    <row r="192" spans="64:78">
      <c r="BL192" s="175">
        <f t="shared" si="103"/>
        <v>189</v>
      </c>
      <c r="BM192" s="180">
        <f t="shared" si="104"/>
        <v>720</v>
      </c>
      <c r="BO192" s="181">
        <f t="shared" si="97"/>
        <v>57.146649928625372</v>
      </c>
      <c r="BP192" s="181">
        <f t="shared" si="98"/>
        <v>25.238336665333868</v>
      </c>
      <c r="BQ192" s="182">
        <f t="shared" si="99"/>
        <v>96.445475479384555</v>
      </c>
      <c r="BR192" s="183">
        <f t="shared" si="100"/>
        <v>5.3132929430854008E-2</v>
      </c>
      <c r="BS192" s="187">
        <f t="shared" si="101"/>
        <v>13159.801232978671</v>
      </c>
      <c r="BT192" s="183">
        <f t="shared" si="102"/>
        <v>699.21879023592123</v>
      </c>
      <c r="BW192" s="53">
        <f t="shared" si="94"/>
        <v>114.29329985725074</v>
      </c>
      <c r="BY192" s="14">
        <f t="shared" si="95"/>
        <v>25.273038784567973</v>
      </c>
      <c r="BZ192" s="53">
        <f t="shared" si="96"/>
        <v>69.633063105628679</v>
      </c>
    </row>
    <row r="193" spans="64:78">
      <c r="BL193" s="175">
        <f t="shared" si="103"/>
        <v>190</v>
      </c>
      <c r="BM193" s="180">
        <f t="shared" si="104"/>
        <v>723.75</v>
      </c>
      <c r="BO193" s="181">
        <f t="shared" si="97"/>
        <v>57.191771534709858</v>
      </c>
      <c r="BP193" s="181">
        <f t="shared" si="98"/>
        <v>25.369786335465818</v>
      </c>
      <c r="BQ193" s="182">
        <f t="shared" si="99"/>
        <v>96.26890420316812</v>
      </c>
      <c r="BR193" s="183">
        <f t="shared" si="100"/>
        <v>5.2063720183896184E-2</v>
      </c>
      <c r="BS193" s="187">
        <f t="shared" si="101"/>
        <v>13430.058162693447</v>
      </c>
      <c r="BT193" s="183">
        <f t="shared" si="102"/>
        <v>699.21879023592248</v>
      </c>
      <c r="BW193" s="53">
        <f t="shared" si="94"/>
        <v>114.38354306941972</v>
      </c>
      <c r="BY193" s="14">
        <f t="shared" si="95"/>
        <v>25.295599587610216</v>
      </c>
      <c r="BZ193" s="53">
        <f t="shared" si="96"/>
        <v>69.433931026370004</v>
      </c>
    </row>
    <row r="194" spans="64:78">
      <c r="BL194" s="175">
        <f t="shared" si="103"/>
        <v>191</v>
      </c>
      <c r="BM194" s="180">
        <f t="shared" si="104"/>
        <v>727.5</v>
      </c>
      <c r="BO194" s="181">
        <f t="shared" si="97"/>
        <v>57.236659953158899</v>
      </c>
      <c r="BP194" s="181">
        <f t="shared" si="98"/>
        <v>25.501236005597764</v>
      </c>
      <c r="BQ194" s="182">
        <f t="shared" si="99"/>
        <v>96.092566114587129</v>
      </c>
      <c r="BR194" s="183">
        <f t="shared" si="100"/>
        <v>5.1017396573970038E-2</v>
      </c>
      <c r="BS194" s="187">
        <f t="shared" si="101"/>
        <v>13705.497285070742</v>
      </c>
      <c r="BT194" s="183">
        <f t="shared" si="102"/>
        <v>699.21879023592373</v>
      </c>
      <c r="BW194" s="53">
        <f t="shared" si="94"/>
        <v>114.4733199063178</v>
      </c>
      <c r="BY194" s="14">
        <f t="shared" si="95"/>
        <v>25.318043796834736</v>
      </c>
      <c r="BZ194" s="53">
        <f t="shared" si="96"/>
        <v>69.235148728564496</v>
      </c>
    </row>
    <row r="195" spans="64:78">
      <c r="BL195" s="175">
        <f t="shared" si="103"/>
        <v>192</v>
      </c>
      <c r="BM195" s="180">
        <f t="shared" si="104"/>
        <v>731.25</v>
      </c>
      <c r="BO195" s="181">
        <f t="shared" si="97"/>
        <v>57.281317581804736</v>
      </c>
      <c r="BP195" s="181">
        <f t="shared" si="98"/>
        <v>25.632685675729711</v>
      </c>
      <c r="BQ195" s="182">
        <f t="shared" si="99"/>
        <v>95.916458815809335</v>
      </c>
      <c r="BR195" s="183">
        <f t="shared" si="100"/>
        <v>4.999342925071032E-2</v>
      </c>
      <c r="BS195" s="187">
        <f t="shared" si="101"/>
        <v>13986.213802806626</v>
      </c>
      <c r="BT195" s="183">
        <f t="shared" si="102"/>
        <v>699.21879023592112</v>
      </c>
      <c r="BW195" s="53">
        <f t="shared" si="94"/>
        <v>114.56263516360947</v>
      </c>
      <c r="BY195" s="14">
        <f t="shared" si="95"/>
        <v>25.340372611157655</v>
      </c>
      <c r="BZ195" s="53">
        <f t="shared" si="96"/>
        <v>69.036712615463784</v>
      </c>
    </row>
    <row r="196" spans="64:78">
      <c r="BL196" s="175">
        <f t="shared" si="103"/>
        <v>193</v>
      </c>
      <c r="BM196" s="180">
        <f t="shared" si="104"/>
        <v>735</v>
      </c>
      <c r="BO196" s="181">
        <f t="shared" si="97"/>
        <v>57.325746781683897</v>
      </c>
      <c r="BP196" s="181">
        <f t="shared" si="98"/>
        <v>25.764135345861657</v>
      </c>
      <c r="BQ196" s="182">
        <f t="shared" si="99"/>
        <v>95.740579945798231</v>
      </c>
      <c r="BR196" s="183">
        <f t="shared" si="100"/>
        <v>4.8991302315694714E-2</v>
      </c>
      <c r="BS196" s="187">
        <f t="shared" si="101"/>
        <v>14272.304617056923</v>
      </c>
      <c r="BT196" s="183">
        <f t="shared" si="102"/>
        <v>699.21879023592123</v>
      </c>
      <c r="BW196" s="53">
        <f t="shared" ref="BW196:BW259" si="105">40*LOG10(BM196)</f>
        <v>114.65149356336779</v>
      </c>
      <c r="BY196" s="14">
        <f t="shared" ref="BY196:BY259" si="106">10*LOG10(($D$29*($D$23/1000000))/2)+$J$12+10*LOG10(BM196)</f>
        <v>25.362587211097235</v>
      </c>
      <c r="BZ196" s="53">
        <f t="shared" ref="BZ196:BZ259" si="107">$BN$4-(BW196+BP196)+$BX$4+BY196</f>
        <v>68.838619145513121</v>
      </c>
    </row>
    <row r="197" spans="64:78">
      <c r="BL197" s="175">
        <f t="shared" si="103"/>
        <v>194</v>
      </c>
      <c r="BM197" s="180">
        <f t="shared" si="104"/>
        <v>738.75</v>
      </c>
      <c r="BO197" s="181">
        <f t="shared" ref="BO197:BO260" si="108">20*LOG10(BM197)</f>
        <v>57.369949877786233</v>
      </c>
      <c r="BP197" s="181">
        <f t="shared" ref="BP197:BP260" si="109">2*$J$6*(BM197/1000)</f>
        <v>25.895585015993607</v>
      </c>
      <c r="BQ197" s="182">
        <f t="shared" ref="BQ197:BQ260" si="110">$BN$4-(BO197+BP197)+$BN$8+$BN$10</f>
        <v>95.564927179563938</v>
      </c>
      <c r="BR197" s="183">
        <f t="shared" ref="BR197:BR260" si="111">POWER(10,(BQ197+$D$16)*0.05)*1000</f>
        <v>4.8010512941439668E-2</v>
      </c>
      <c r="BS197" s="187">
        <f t="shared" ref="BS197:BS260" si="112">POWER(10,0.05*(BO197+BP197))</f>
        <v>14563.868357098891</v>
      </c>
      <c r="BT197" s="183">
        <f t="shared" ref="BT197:BT260" si="113">BR197*BS197</f>
        <v>699.21879023591998</v>
      </c>
      <c r="BW197" s="53">
        <f t="shared" si="105"/>
        <v>114.73989975557247</v>
      </c>
      <c r="BY197" s="14">
        <f t="shared" si="106"/>
        <v>25.384688759148403</v>
      </c>
      <c r="BZ197" s="53">
        <f t="shared" si="107"/>
        <v>68.64086483122766</v>
      </c>
    </row>
    <row r="198" spans="64:78">
      <c r="BL198" s="175">
        <f t="shared" ref="BL198:BL261" si="114">BL197+1</f>
        <v>195</v>
      </c>
      <c r="BM198" s="180">
        <f t="shared" ref="BM198:BM261" si="115">BM197+$J$46</f>
        <v>742.5</v>
      </c>
      <c r="BO198" s="181">
        <f t="shared" si="108"/>
        <v>57.413929159784999</v>
      </c>
      <c r="BP198" s="181">
        <f t="shared" si="109"/>
        <v>26.027034686125553</v>
      </c>
      <c r="BQ198" s="182">
        <f t="shared" si="110"/>
        <v>95.389498227433251</v>
      </c>
      <c r="BR198" s="183">
        <f t="shared" si="111"/>
        <v>4.7050571002535437E-2</v>
      </c>
      <c r="BS198" s="187">
        <f t="shared" si="112"/>
        <v>14861.005410502741</v>
      </c>
      <c r="BT198" s="183">
        <f t="shared" si="113"/>
        <v>699.21879023592248</v>
      </c>
      <c r="BW198" s="53">
        <f t="shared" si="105"/>
        <v>114.82785831957</v>
      </c>
      <c r="BY198" s="14">
        <f t="shared" si="106"/>
        <v>25.406678400147786</v>
      </c>
      <c r="BZ198" s="53">
        <f t="shared" si="107"/>
        <v>68.443446238097565</v>
      </c>
    </row>
    <row r="199" spans="64:78">
      <c r="BL199" s="175">
        <f t="shared" si="114"/>
        <v>196</v>
      </c>
      <c r="BM199" s="180">
        <f t="shared" si="115"/>
        <v>746.25</v>
      </c>
      <c r="BO199" s="181">
        <f t="shared" si="108"/>
        <v>57.457686882748511</v>
      </c>
      <c r="BP199" s="181">
        <f t="shared" si="109"/>
        <v>26.1584843562575</v>
      </c>
      <c r="BQ199" s="182">
        <f t="shared" si="110"/>
        <v>95.214290834337788</v>
      </c>
      <c r="BR199" s="183">
        <f t="shared" si="111"/>
        <v>4.6110998718479422E-2</v>
      </c>
      <c r="BS199" s="187">
        <f t="shared" si="112"/>
        <v>15163.817953821588</v>
      </c>
      <c r="BT199" s="183">
        <f t="shared" si="113"/>
        <v>699.21879023592248</v>
      </c>
      <c r="BW199" s="53">
        <f t="shared" si="105"/>
        <v>114.91537376549702</v>
      </c>
      <c r="BY199" s="14">
        <f t="shared" si="106"/>
        <v>25.428557261629543</v>
      </c>
      <c r="BZ199" s="53">
        <f t="shared" si="107"/>
        <v>68.246359983520364</v>
      </c>
    </row>
    <row r="200" spans="64:78">
      <c r="BL200" s="175">
        <f t="shared" si="114"/>
        <v>197</v>
      </c>
      <c r="BM200" s="180">
        <f t="shared" si="115"/>
        <v>750</v>
      </c>
      <c r="BO200" s="181">
        <f t="shared" si="108"/>
        <v>57.501225267834002</v>
      </c>
      <c r="BP200" s="181">
        <f t="shared" si="109"/>
        <v>26.289934026389446</v>
      </c>
      <c r="BQ200" s="182">
        <f t="shared" si="110"/>
        <v>95.039302779120362</v>
      </c>
      <c r="BR200" s="183">
        <f t="shared" si="111"/>
        <v>4.5191330307796033E-2</v>
      </c>
      <c r="BS200" s="187">
        <f t="shared" si="112"/>
        <v>15472.409983808338</v>
      </c>
      <c r="BT200" s="183">
        <f t="shared" si="113"/>
        <v>699.21879023592373</v>
      </c>
      <c r="BW200" s="53">
        <f t="shared" si="105"/>
        <v>115.002450535668</v>
      </c>
      <c r="BY200" s="14">
        <f t="shared" si="106"/>
        <v>25.450326454172288</v>
      </c>
      <c r="BZ200" s="53">
        <f t="shared" si="107"/>
        <v>68.049602735760146</v>
      </c>
    </row>
    <row r="201" spans="64:78">
      <c r="BL201" s="175">
        <f t="shared" si="114"/>
        <v>198</v>
      </c>
      <c r="BM201" s="180">
        <f t="shared" si="115"/>
        <v>753.75</v>
      </c>
      <c r="BO201" s="181">
        <f t="shared" si="108"/>
        <v>57.54454650296416</v>
      </c>
      <c r="BP201" s="181">
        <f t="shared" si="109"/>
        <v>26.421383696521396</v>
      </c>
      <c r="BQ201" s="182">
        <f t="shared" si="110"/>
        <v>94.864531873858255</v>
      </c>
      <c r="BR201" s="183">
        <f t="shared" si="111"/>
        <v>4.4291111653035231E-2</v>
      </c>
      <c r="BS201" s="187">
        <f t="shared" si="112"/>
        <v>15786.887349168777</v>
      </c>
      <c r="BT201" s="183">
        <f t="shared" si="113"/>
        <v>699.21879023592373</v>
      </c>
      <c r="BW201" s="53">
        <f t="shared" si="105"/>
        <v>115.08909300592832</v>
      </c>
      <c r="BY201" s="14">
        <f t="shared" si="106"/>
        <v>25.471987071737367</v>
      </c>
      <c r="BZ201" s="53">
        <f t="shared" si="107"/>
        <v>67.853171212932978</v>
      </c>
    </row>
    <row r="202" spans="64:78">
      <c r="BL202" s="175">
        <f t="shared" si="114"/>
        <v>199</v>
      </c>
      <c r="BM202" s="180">
        <f t="shared" si="115"/>
        <v>757.5</v>
      </c>
      <c r="BO202" s="181">
        <f t="shared" si="108"/>
        <v>57.587652743486856</v>
      </c>
      <c r="BP202" s="181">
        <f t="shared" si="109"/>
        <v>26.552833366653342</v>
      </c>
      <c r="BQ202" s="182">
        <f t="shared" si="110"/>
        <v>94.689975963203608</v>
      </c>
      <c r="BR202" s="183">
        <f t="shared" si="111"/>
        <v>4.3409899976269456E-2</v>
      </c>
      <c r="BS202" s="187">
        <f t="shared" si="112"/>
        <v>16107.357782859674</v>
      </c>
      <c r="BT202" s="183">
        <f t="shared" si="113"/>
        <v>699.21879023592373</v>
      </c>
      <c r="BW202" s="53">
        <f t="shared" si="105"/>
        <v>115.17530548697371</v>
      </c>
      <c r="BY202" s="14">
        <f t="shared" si="106"/>
        <v>25.493540191998715</v>
      </c>
      <c r="BZ202" s="53">
        <f t="shared" si="107"/>
        <v>67.657062182016986</v>
      </c>
    </row>
    <row r="203" spans="64:78">
      <c r="BL203" s="175">
        <f t="shared" si="114"/>
        <v>200</v>
      </c>
      <c r="BM203" s="180">
        <f t="shared" si="115"/>
        <v>761.25</v>
      </c>
      <c r="BO203" s="181">
        <f t="shared" si="108"/>
        <v>57.630546112818635</v>
      </c>
      <c r="BP203" s="181">
        <f t="shared" si="109"/>
        <v>26.684283036785288</v>
      </c>
      <c r="BQ203" s="182">
        <f t="shared" si="110"/>
        <v>94.515632923739872</v>
      </c>
      <c r="BR203" s="183">
        <f t="shared" si="111"/>
        <v>4.2547263524715127E-2</v>
      </c>
      <c r="BS203" s="187">
        <f t="shared" si="112"/>
        <v>16433.930934941462</v>
      </c>
      <c r="BT203" s="183">
        <f t="shared" si="113"/>
        <v>699.21879023592237</v>
      </c>
      <c r="BW203" s="53">
        <f t="shared" si="105"/>
        <v>115.26109222563727</v>
      </c>
      <c r="BY203" s="14">
        <f t="shared" si="106"/>
        <v>25.514986876664604</v>
      </c>
      <c r="BZ203" s="53">
        <f t="shared" si="107"/>
        <v>67.461272457887389</v>
      </c>
    </row>
    <row r="204" spans="64:78">
      <c r="BL204" s="175">
        <f t="shared" si="114"/>
        <v>201</v>
      </c>
      <c r="BM204" s="180">
        <f t="shared" si="115"/>
        <v>765</v>
      </c>
      <c r="BO204" s="181">
        <f t="shared" si="108"/>
        <v>57.673228703072354</v>
      </c>
      <c r="BP204" s="181">
        <f t="shared" si="109"/>
        <v>26.815732706917238</v>
      </c>
      <c r="BQ204" s="182">
        <f t="shared" si="110"/>
        <v>94.341500663354196</v>
      </c>
      <c r="BR204" s="183">
        <f t="shared" si="111"/>
        <v>4.1702781266126275E-2</v>
      </c>
      <c r="BS204" s="187">
        <f t="shared" si="112"/>
        <v>16766.718405994507</v>
      </c>
      <c r="BT204" s="183">
        <f t="shared" si="113"/>
        <v>699.21879023592226</v>
      </c>
      <c r="BW204" s="53">
        <f t="shared" si="105"/>
        <v>115.34645740614471</v>
      </c>
      <c r="BY204" s="14">
        <f t="shared" si="106"/>
        <v>25.536328171791464</v>
      </c>
      <c r="BZ204" s="53">
        <f t="shared" si="107"/>
        <v>67.265798902374854</v>
      </c>
    </row>
    <row r="205" spans="64:78">
      <c r="BL205" s="175">
        <f t="shared" si="114"/>
        <v>202</v>
      </c>
      <c r="BM205" s="180">
        <f t="shared" si="115"/>
        <v>768.75</v>
      </c>
      <c r="BO205" s="181">
        <f t="shared" si="108"/>
        <v>57.715702575669461</v>
      </c>
      <c r="BP205" s="181">
        <f t="shared" si="109"/>
        <v>26.947182377049185</v>
      </c>
      <c r="BQ205" s="182">
        <f t="shared" si="110"/>
        <v>94.16757712062514</v>
      </c>
      <c r="BR205" s="183">
        <f t="shared" si="111"/>
        <v>4.0876042593616199E-2</v>
      </c>
      <c r="BS205" s="187">
        <f t="shared" si="112"/>
        <v>17105.833781108806</v>
      </c>
      <c r="BT205" s="183">
        <f t="shared" si="113"/>
        <v>699.21879023592237</v>
      </c>
      <c r="BW205" s="53">
        <f t="shared" si="105"/>
        <v>115.43140515133892</v>
      </c>
      <c r="BY205" s="14">
        <f t="shared" si="106"/>
        <v>25.557565108090017</v>
      </c>
      <c r="BZ205" s="53">
        <f t="shared" si="107"/>
        <v>67.070638423347248</v>
      </c>
    </row>
    <row r="206" spans="64:78">
      <c r="BL206" s="175">
        <f t="shared" si="114"/>
        <v>203</v>
      </c>
      <c r="BM206" s="180">
        <f t="shared" si="115"/>
        <v>772.5</v>
      </c>
      <c r="BO206" s="181">
        <f t="shared" si="108"/>
        <v>57.757969761937446</v>
      </c>
      <c r="BP206" s="181">
        <f t="shared" si="109"/>
        <v>27.078632047181131</v>
      </c>
      <c r="BQ206" s="182">
        <f t="shared" si="110"/>
        <v>93.993860264225219</v>
      </c>
      <c r="BR206" s="183">
        <f t="shared" si="111"/>
        <v>4.0066647039580981E-2</v>
      </c>
      <c r="BS206" s="187">
        <f t="shared" si="112"/>
        <v>17451.392664456776</v>
      </c>
      <c r="BT206" s="183">
        <f t="shared" si="113"/>
        <v>699.21879023592237</v>
      </c>
      <c r="BW206" s="53">
        <f t="shared" si="105"/>
        <v>115.51593952387489</v>
      </c>
      <c r="BY206" s="14">
        <f t="shared" si="106"/>
        <v>25.57869870122401</v>
      </c>
      <c r="BZ206" s="53">
        <f t="shared" si="107"/>
        <v>66.875787973813331</v>
      </c>
    </row>
    <row r="207" spans="64:78">
      <c r="BL207" s="175">
        <f t="shared" si="114"/>
        <v>204</v>
      </c>
      <c r="BM207" s="180">
        <f t="shared" si="115"/>
        <v>776.25</v>
      </c>
      <c r="BO207" s="181">
        <f t="shared" si="108"/>
        <v>57.800032263692735</v>
      </c>
      <c r="BP207" s="181">
        <f t="shared" si="109"/>
        <v>27.210081717313077</v>
      </c>
      <c r="BQ207" s="182">
        <f t="shared" si="110"/>
        <v>93.82034809233798</v>
      </c>
      <c r="BR207" s="183">
        <f t="shared" si="111"/>
        <v>3.9274203998408669E-2</v>
      </c>
      <c r="BS207" s="187">
        <f t="shared" si="112"/>
        <v>17803.512714458928</v>
      </c>
      <c r="BT207" s="183">
        <f t="shared" si="113"/>
        <v>699.21879023592237</v>
      </c>
      <c r="BW207" s="53">
        <f t="shared" si="105"/>
        <v>115.60006452738547</v>
      </c>
      <c r="BY207" s="14">
        <f t="shared" si="106"/>
        <v>25.599729952101654</v>
      </c>
      <c r="BZ207" s="53">
        <f t="shared" si="107"/>
        <v>66.681244551048422</v>
      </c>
    </row>
    <row r="208" spans="64:78">
      <c r="BL208" s="175">
        <f t="shared" si="114"/>
        <v>205</v>
      </c>
      <c r="BM208" s="180">
        <f t="shared" si="115"/>
        <v>780</v>
      </c>
      <c r="BO208" s="181">
        <f t="shared" si="108"/>
        <v>57.841892053809609</v>
      </c>
      <c r="BP208" s="181">
        <f t="shared" si="109"/>
        <v>27.341531387445027</v>
      </c>
      <c r="BQ208" s="182">
        <f t="shared" si="110"/>
        <v>93.647038632089163</v>
      </c>
      <c r="BR208" s="183">
        <f t="shared" si="111"/>
        <v>3.8498332457671237E-2</v>
      </c>
      <c r="BS208" s="187">
        <f t="shared" si="112"/>
        <v>18162.313679552502</v>
      </c>
      <c r="BT208" s="183">
        <f t="shared" si="113"/>
        <v>699.21879023592237</v>
      </c>
      <c r="BW208" s="53">
        <f t="shared" si="105"/>
        <v>115.68378410761922</v>
      </c>
      <c r="BY208" s="14">
        <f t="shared" si="106"/>
        <v>25.620659847160091</v>
      </c>
      <c r="BZ208" s="53">
        <f t="shared" si="107"/>
        <v>66.487005195741176</v>
      </c>
    </row>
    <row r="209" spans="64:78">
      <c r="BL209" s="175">
        <f t="shared" si="114"/>
        <v>206</v>
      </c>
      <c r="BM209" s="180">
        <f t="shared" si="115"/>
        <v>783.75</v>
      </c>
      <c r="BO209" s="181">
        <f t="shared" si="108"/>
        <v>57.883551076775461</v>
      </c>
      <c r="BP209" s="181">
        <f t="shared" si="109"/>
        <v>27.47298105757697</v>
      </c>
      <c r="BQ209" s="182">
        <f t="shared" si="110"/>
        <v>93.473929938991375</v>
      </c>
      <c r="BR209" s="183">
        <f t="shared" si="111"/>
        <v>3.7738660737507805E-2</v>
      </c>
      <c r="BS209" s="187">
        <f t="shared" si="112"/>
        <v>18527.917434573457</v>
      </c>
      <c r="BT209" s="183">
        <f t="shared" si="113"/>
        <v>699.21879023592362</v>
      </c>
      <c r="BW209" s="53">
        <f t="shared" si="105"/>
        <v>115.76710215355092</v>
      </c>
      <c r="BY209" s="14">
        <f t="shared" si="106"/>
        <v>25.641489358643017</v>
      </c>
      <c r="BZ209" s="53">
        <f t="shared" si="107"/>
        <v>66.293066991160458</v>
      </c>
    </row>
    <row r="210" spans="64:78">
      <c r="BL210" s="175">
        <f t="shared" si="114"/>
        <v>207</v>
      </c>
      <c r="BM210" s="180">
        <f t="shared" si="115"/>
        <v>787.5</v>
      </c>
      <c r="BO210" s="181">
        <f t="shared" si="108"/>
        <v>57.92501124923276</v>
      </c>
      <c r="BP210" s="181">
        <f t="shared" si="109"/>
        <v>27.60443072770892</v>
      </c>
      <c r="BQ210" s="182">
        <f t="shared" si="110"/>
        <v>93.301020096402112</v>
      </c>
      <c r="BR210" s="183">
        <f t="shared" si="111"/>
        <v>3.6994826237919498E-2</v>
      </c>
      <c r="BS210" s="187">
        <f t="shared" si="112"/>
        <v>18900.448017761657</v>
      </c>
      <c r="BT210" s="183">
        <f t="shared" si="113"/>
        <v>699.21879023592248</v>
      </c>
      <c r="BW210" s="53">
        <f t="shared" si="105"/>
        <v>115.85002249846552</v>
      </c>
      <c r="BY210" s="14">
        <f t="shared" si="106"/>
        <v>25.662219444871667</v>
      </c>
      <c r="BZ210" s="53">
        <f t="shared" si="107"/>
        <v>66.099427062342542</v>
      </c>
    </row>
    <row r="211" spans="64:78">
      <c r="BL211" s="175">
        <f t="shared" si="114"/>
        <v>208</v>
      </c>
      <c r="BM211" s="180">
        <f t="shared" si="115"/>
        <v>791.25</v>
      </c>
      <c r="BO211" s="181">
        <f t="shared" si="108"/>
        <v>57.966274460508231</v>
      </c>
      <c r="BP211" s="181">
        <f t="shared" si="109"/>
        <v>27.735880397840866</v>
      </c>
      <c r="BQ211" s="182">
        <f t="shared" si="110"/>
        <v>93.128307214994692</v>
      </c>
      <c r="BR211" s="183">
        <f t="shared" si="111"/>
        <v>3.626647519370596E-2</v>
      </c>
      <c r="BS211" s="187">
        <f t="shared" si="112"/>
        <v>19280.031668400785</v>
      </c>
      <c r="BT211" s="183">
        <f t="shared" si="113"/>
        <v>699.21879023592237</v>
      </c>
      <c r="BW211" s="53">
        <f t="shared" si="105"/>
        <v>115.93254892101646</v>
      </c>
      <c r="BY211" s="14">
        <f t="shared" si="106"/>
        <v>25.682851050509402</v>
      </c>
      <c r="BZ211" s="53">
        <f t="shared" si="107"/>
        <v>65.90608257529739</v>
      </c>
    </row>
    <row r="212" spans="64:78">
      <c r="BL212" s="175">
        <f t="shared" si="114"/>
        <v>209</v>
      </c>
      <c r="BM212" s="180">
        <f t="shared" si="115"/>
        <v>795</v>
      </c>
      <c r="BO212" s="181">
        <f t="shared" si="108"/>
        <v>58.007342573129407</v>
      </c>
      <c r="BP212" s="181">
        <f t="shared" si="109"/>
        <v>27.867330067972816</v>
      </c>
      <c r="BQ212" s="182">
        <f t="shared" si="110"/>
        <v>92.955789432241573</v>
      </c>
      <c r="BR212" s="183">
        <f t="shared" si="111"/>
        <v>3.5553262436784715E-2</v>
      </c>
      <c r="BS212" s="187">
        <f t="shared" si="112"/>
        <v>19666.796865102453</v>
      </c>
      <c r="BT212" s="183">
        <f t="shared" si="113"/>
        <v>699.21879023592237</v>
      </c>
      <c r="BW212" s="53">
        <f t="shared" si="105"/>
        <v>116.01468514625881</v>
      </c>
      <c r="BY212" s="14">
        <f t="shared" si="106"/>
        <v>25.70338510681999</v>
      </c>
      <c r="BZ212" s="53">
        <f t="shared" si="107"/>
        <v>65.713030736233705</v>
      </c>
    </row>
    <row r="213" spans="64:78">
      <c r="BL213" s="175">
        <f t="shared" si="114"/>
        <v>210</v>
      </c>
      <c r="BM213" s="180">
        <f t="shared" si="115"/>
        <v>798.75</v>
      </c>
      <c r="BO213" s="181">
        <f t="shared" si="108"/>
        <v>58.048217423329127</v>
      </c>
      <c r="BP213" s="181">
        <f t="shared" si="109"/>
        <v>27.998779738104762</v>
      </c>
      <c r="BQ213" s="182">
        <f t="shared" si="110"/>
        <v>92.783464911909903</v>
      </c>
      <c r="BR213" s="183">
        <f t="shared" si="111"/>
        <v>3.4854851165643526E-2</v>
      </c>
      <c r="BS213" s="187">
        <f t="shared" si="112"/>
        <v>20060.874364746775</v>
      </c>
      <c r="BT213" s="183">
        <f t="shared" si="113"/>
        <v>699.21879023592248</v>
      </c>
      <c r="BW213" s="53">
        <f t="shared" si="105"/>
        <v>116.09643484665825</v>
      </c>
      <c r="BY213" s="14">
        <f t="shared" si="106"/>
        <v>25.723822531919851</v>
      </c>
      <c r="BZ213" s="53">
        <f t="shared" si="107"/>
        <v>65.520268790802149</v>
      </c>
    </row>
    <row r="214" spans="64:78">
      <c r="BL214" s="175">
        <f t="shared" si="114"/>
        <v>211</v>
      </c>
      <c r="BM214" s="180">
        <f t="shared" si="115"/>
        <v>802.5</v>
      </c>
      <c r="BO214" s="181">
        <f t="shared" si="108"/>
        <v>58.088900821538196</v>
      </c>
      <c r="BP214" s="181">
        <f t="shared" si="109"/>
        <v>28.130229408236708</v>
      </c>
      <c r="BQ214" s="182">
        <f t="shared" si="110"/>
        <v>92.611331843568891</v>
      </c>
      <c r="BR214" s="183">
        <f t="shared" si="111"/>
        <v>3.4170912721687381E-2</v>
      </c>
      <c r="BS214" s="187">
        <f t="shared" si="112"/>
        <v>20462.397242089079</v>
      </c>
      <c r="BT214" s="183">
        <f t="shared" si="113"/>
        <v>699.21879023592248</v>
      </c>
      <c r="BW214" s="53">
        <f t="shared" si="105"/>
        <v>116.17780164307639</v>
      </c>
      <c r="BY214" s="14">
        <f t="shared" si="106"/>
        <v>25.744164231024385</v>
      </c>
      <c r="BZ214" s="53">
        <f t="shared" si="107"/>
        <v>65.327794023356617</v>
      </c>
    </row>
    <row r="215" spans="64:78">
      <c r="BL215" s="175">
        <f t="shared" si="114"/>
        <v>212</v>
      </c>
      <c r="BM215" s="180">
        <f t="shared" si="115"/>
        <v>806.25</v>
      </c>
      <c r="BO215" s="181">
        <f t="shared" si="108"/>
        <v>58.129394552866486</v>
      </c>
      <c r="BP215" s="181">
        <f t="shared" si="109"/>
        <v>28.261679078368658</v>
      </c>
      <c r="BQ215" s="182">
        <f t="shared" si="110"/>
        <v>92.439388442108651</v>
      </c>
      <c r="BR215" s="183">
        <f t="shared" si="111"/>
        <v>3.3501126372246899E-2</v>
      </c>
      <c r="BS215" s="187">
        <f t="shared" si="112"/>
        <v>20871.500930045488</v>
      </c>
      <c r="BT215" s="183">
        <f t="shared" si="113"/>
        <v>699.2187902359226</v>
      </c>
      <c r="BW215" s="53">
        <f t="shared" si="105"/>
        <v>116.25878910573297</v>
      </c>
      <c r="BY215" s="14">
        <f t="shared" si="106"/>
        <v>25.76441109668853</v>
      </c>
      <c r="BZ215" s="53">
        <f t="shared" si="107"/>
        <v>65.135603756232243</v>
      </c>
    </row>
    <row r="216" spans="64:78">
      <c r="BL216" s="175">
        <f t="shared" si="114"/>
        <v>213</v>
      </c>
      <c r="BM216" s="180">
        <f t="shared" si="115"/>
        <v>810</v>
      </c>
      <c r="BO216" s="181">
        <f t="shared" si="108"/>
        <v>58.169700377573001</v>
      </c>
      <c r="BP216" s="181">
        <f t="shared" si="109"/>
        <v>28.393128748500605</v>
      </c>
      <c r="BQ216" s="182">
        <f t="shared" si="110"/>
        <v>92.267632947270187</v>
      </c>
      <c r="BR216" s="183">
        <f t="shared" si="111"/>
        <v>3.284517910002796E-2</v>
      </c>
      <c r="BS216" s="187">
        <f t="shared" si="112"/>
        <v>21288.323260667719</v>
      </c>
      <c r="BT216" s="183">
        <f t="shared" si="113"/>
        <v>699.21879023592248</v>
      </c>
      <c r="BW216" s="53">
        <f t="shared" si="105"/>
        <v>116.339400755146</v>
      </c>
      <c r="BY216" s="14">
        <f t="shared" si="106"/>
        <v>25.784564009041787</v>
      </c>
      <c r="BZ216" s="53">
        <f t="shared" si="107"/>
        <v>64.943695349040496</v>
      </c>
    </row>
    <row r="217" spans="64:78">
      <c r="BL217" s="175">
        <f t="shared" si="114"/>
        <v>214</v>
      </c>
      <c r="BM217" s="180">
        <f t="shared" si="115"/>
        <v>813.75</v>
      </c>
      <c r="BO217" s="181">
        <f t="shared" si="108"/>
        <v>58.20982003152497</v>
      </c>
      <c r="BP217" s="181">
        <f t="shared" si="109"/>
        <v>28.524578418632551</v>
      </c>
      <c r="BQ217" s="182">
        <f t="shared" si="110"/>
        <v>92.096063623186268</v>
      </c>
      <c r="BR217" s="183">
        <f t="shared" si="111"/>
        <v>3.2202765398787671E-2</v>
      </c>
      <c r="BS217" s="187">
        <f t="shared" si="112"/>
        <v>21713.004506819336</v>
      </c>
      <c r="BT217" s="183">
        <f t="shared" si="113"/>
        <v>699.21879023592248</v>
      </c>
      <c r="BW217" s="53">
        <f t="shared" si="105"/>
        <v>116.41964006304994</v>
      </c>
      <c r="BY217" s="14">
        <f t="shared" si="106"/>
        <v>25.804623836017772</v>
      </c>
      <c r="BZ217" s="53">
        <f t="shared" si="107"/>
        <v>64.752066197980596</v>
      </c>
    </row>
    <row r="218" spans="64:78">
      <c r="BL218" s="175">
        <f t="shared" si="114"/>
        <v>215</v>
      </c>
      <c r="BM218" s="180">
        <f t="shared" si="115"/>
        <v>817.5</v>
      </c>
      <c r="BO218" s="181">
        <f t="shared" si="108"/>
        <v>58.249755226646478</v>
      </c>
      <c r="BP218" s="181">
        <f t="shared" si="109"/>
        <v>28.656028088764497</v>
      </c>
      <c r="BQ218" s="182">
        <f t="shared" si="110"/>
        <v>91.924678757932824</v>
      </c>
      <c r="BR218" s="183">
        <f t="shared" si="111"/>
        <v>3.1573587075031009E-2</v>
      </c>
      <c r="BS218" s="187">
        <f t="shared" si="112"/>
        <v>22145.687424565007</v>
      </c>
      <c r="BT218" s="183">
        <f t="shared" si="113"/>
        <v>699.21879023592248</v>
      </c>
      <c r="BW218" s="53">
        <f t="shared" si="105"/>
        <v>116.49951045329296</v>
      </c>
      <c r="BY218" s="14">
        <f t="shared" si="106"/>
        <v>25.824591433578526</v>
      </c>
      <c r="BZ218" s="53">
        <f t="shared" si="107"/>
        <v>64.560713735166388</v>
      </c>
    </row>
    <row r="219" spans="64:78">
      <c r="BL219" s="175">
        <f t="shared" si="114"/>
        <v>216</v>
      </c>
      <c r="BM219" s="180">
        <f t="shared" si="115"/>
        <v>821.25</v>
      </c>
      <c r="BO219" s="181">
        <f t="shared" si="108"/>
        <v>58.289507651356743</v>
      </c>
      <c r="BP219" s="181">
        <f t="shared" si="109"/>
        <v>28.787477758896447</v>
      </c>
      <c r="BQ219" s="182">
        <f t="shared" si="110"/>
        <v>91.753476663090609</v>
      </c>
      <c r="BR219" s="183">
        <f t="shared" si="111"/>
        <v>3.0957353055529237E-2</v>
      </c>
      <c r="BS219" s="187">
        <f t="shared" si="112"/>
        <v>22586.517296285325</v>
      </c>
      <c r="BT219" s="183">
        <f t="shared" si="113"/>
        <v>699.21879023592248</v>
      </c>
      <c r="BW219" s="53">
        <f t="shared" si="105"/>
        <v>116.57901530271349</v>
      </c>
      <c r="BY219" s="14">
        <f t="shared" si="106"/>
        <v>25.844467645933658</v>
      </c>
      <c r="BZ219" s="53">
        <f t="shared" si="107"/>
        <v>64.369635427969058</v>
      </c>
    </row>
    <row r="220" spans="64:78">
      <c r="BL220" s="175">
        <f t="shared" si="114"/>
        <v>217</v>
      </c>
      <c r="BM220" s="180">
        <f t="shared" si="115"/>
        <v>825</v>
      </c>
      <c r="BO220" s="181">
        <f t="shared" si="108"/>
        <v>58.329078970998502</v>
      </c>
      <c r="BP220" s="181">
        <f t="shared" si="109"/>
        <v>28.91892742902839</v>
      </c>
      <c r="BQ220" s="182">
        <f t="shared" si="110"/>
        <v>91.5824556733169</v>
      </c>
      <c r="BR220" s="183">
        <f t="shared" si="111"/>
        <v>3.0353779200469961E-2</v>
      </c>
      <c r="BS220" s="187">
        <f t="shared" si="112"/>
        <v>23035.641974528713</v>
      </c>
      <c r="BT220" s="183">
        <f t="shared" si="113"/>
        <v>699.21879023592248</v>
      </c>
      <c r="BW220" s="53">
        <f t="shared" si="105"/>
        <v>116.658157941997</v>
      </c>
      <c r="BY220" s="14">
        <f t="shared" si="106"/>
        <v>25.864253305754538</v>
      </c>
      <c r="BZ220" s="53">
        <f t="shared" si="107"/>
        <v>64.178828778374481</v>
      </c>
    </row>
    <row r="221" spans="64:78">
      <c r="BL221" s="175">
        <f t="shared" si="114"/>
        <v>218</v>
      </c>
      <c r="BM221" s="180">
        <f t="shared" si="115"/>
        <v>828.75</v>
      </c>
      <c r="BO221" s="181">
        <f t="shared" si="108"/>
        <v>58.368470828256591</v>
      </c>
      <c r="BP221" s="181">
        <f t="shared" si="109"/>
        <v>29.05037709916034</v>
      </c>
      <c r="BQ221" s="182">
        <f t="shared" si="110"/>
        <v>91.411614145926862</v>
      </c>
      <c r="BR221" s="183">
        <f t="shared" si="111"/>
        <v>2.9762588122053919E-2</v>
      </c>
      <c r="BS221" s="187">
        <f t="shared" si="112"/>
        <v>23493.211926613461</v>
      </c>
      <c r="BT221" s="183">
        <f t="shared" si="113"/>
        <v>699.21879023592123</v>
      </c>
      <c r="BW221" s="53">
        <f t="shared" si="105"/>
        <v>116.73694165651318</v>
      </c>
      <c r="BY221" s="14">
        <f t="shared" si="106"/>
        <v>25.883949234383582</v>
      </c>
      <c r="BZ221" s="53">
        <f t="shared" si="107"/>
        <v>63.988291322355394</v>
      </c>
    </row>
    <row r="222" spans="64:78">
      <c r="BL222" s="175">
        <f t="shared" si="114"/>
        <v>219</v>
      </c>
      <c r="BM222" s="180">
        <f t="shared" si="115"/>
        <v>832.5</v>
      </c>
      <c r="BO222" s="181">
        <f t="shared" si="108"/>
        <v>58.407684843567154</v>
      </c>
      <c r="BP222" s="181">
        <f t="shared" si="109"/>
        <v>29.181826769292286</v>
      </c>
      <c r="BQ222" s="182">
        <f t="shared" si="110"/>
        <v>91.240950460484356</v>
      </c>
      <c r="BR222" s="183">
        <f t="shared" si="111"/>
        <v>2.9183509008361516E-2</v>
      </c>
      <c r="BS222" s="187">
        <f t="shared" si="112"/>
        <v>23959.380279992529</v>
      </c>
      <c r="BT222" s="183">
        <f t="shared" si="113"/>
        <v>699.21879023592123</v>
      </c>
      <c r="BW222" s="53">
        <f t="shared" si="105"/>
        <v>116.81536968713431</v>
      </c>
      <c r="BY222" s="14">
        <f t="shared" si="106"/>
        <v>25.903556242038864</v>
      </c>
      <c r="BZ222" s="53">
        <f t="shared" si="107"/>
        <v>63.798020629257593</v>
      </c>
    </row>
    <row r="223" spans="64:78">
      <c r="BL223" s="175">
        <f t="shared" si="114"/>
        <v>220</v>
      </c>
      <c r="BM223" s="180">
        <f t="shared" si="115"/>
        <v>836.25</v>
      </c>
      <c r="BO223" s="181">
        <f t="shared" si="108"/>
        <v>58.446722615517587</v>
      </c>
      <c r="BP223" s="181">
        <f t="shared" si="109"/>
        <v>29.313276439424236</v>
      </c>
      <c r="BQ223" s="182">
        <f t="shared" si="110"/>
        <v>91.070463018401966</v>
      </c>
      <c r="BR223" s="183">
        <f t="shared" si="111"/>
        <v>2.8616277452318109E-2</v>
      </c>
      <c r="BS223" s="187">
        <f t="shared" si="112"/>
        <v>24434.302868393563</v>
      </c>
      <c r="BT223" s="183">
        <f t="shared" si="113"/>
        <v>699.21879023592237</v>
      </c>
      <c r="BW223" s="53">
        <f t="shared" si="105"/>
        <v>116.89344523103517</v>
      </c>
      <c r="BY223" s="14">
        <f t="shared" si="106"/>
        <v>25.92307512801408</v>
      </c>
      <c r="BZ223" s="53">
        <f t="shared" si="107"/>
        <v>63.608014301199987</v>
      </c>
    </row>
    <row r="224" spans="64:78">
      <c r="BL224" s="175">
        <f t="shared" si="114"/>
        <v>221</v>
      </c>
      <c r="BM224" s="180">
        <f t="shared" si="115"/>
        <v>840</v>
      </c>
      <c r="BO224" s="181">
        <f t="shared" si="108"/>
        <v>58.485585721237634</v>
      </c>
      <c r="BP224" s="181">
        <f t="shared" si="109"/>
        <v>29.444726109556179</v>
      </c>
      <c r="BQ224" s="182">
        <f t="shared" si="110"/>
        <v>90.900150242549984</v>
      </c>
      <c r="BR224" s="183">
        <f t="shared" si="111"/>
        <v>2.8060635285593358E-2</v>
      </c>
      <c r="BS224" s="187">
        <f t="shared" si="112"/>
        <v>24918.138278747665</v>
      </c>
      <c r="BT224" s="183">
        <f t="shared" si="113"/>
        <v>699.21879023592123</v>
      </c>
      <c r="BW224" s="53">
        <f t="shared" si="105"/>
        <v>116.97117144247527</v>
      </c>
      <c r="BY224" s="14">
        <f t="shared" si="106"/>
        <v>25.942506680874104</v>
      </c>
      <c r="BZ224" s="53">
        <f t="shared" si="107"/>
        <v>63.418269972487977</v>
      </c>
    </row>
    <row r="225" spans="64:78">
      <c r="BL225" s="175">
        <f t="shared" si="114"/>
        <v>222</v>
      </c>
      <c r="BM225" s="180">
        <f t="shared" si="115"/>
        <v>843.75</v>
      </c>
      <c r="BO225" s="181">
        <f t="shared" si="108"/>
        <v>58.524275716781631</v>
      </c>
      <c r="BP225" s="181">
        <f t="shared" si="109"/>
        <v>29.576175779688128</v>
      </c>
      <c r="BQ225" s="182">
        <f t="shared" si="110"/>
        <v>90.730010576874037</v>
      </c>
      <c r="BR225" s="183">
        <f t="shared" si="111"/>
        <v>2.751633041727607E-2</v>
      </c>
      <c r="BS225" s="187">
        <f t="shared" si="112"/>
        <v>25411.047898920355</v>
      </c>
      <c r="BT225" s="183">
        <f t="shared" si="113"/>
        <v>699.21879023592135</v>
      </c>
      <c r="BW225" s="53">
        <f t="shared" si="105"/>
        <v>117.04855143356326</v>
      </c>
      <c r="BY225" s="14">
        <f t="shared" si="106"/>
        <v>25.961851678646102</v>
      </c>
      <c r="BZ225" s="53">
        <f t="shared" si="107"/>
        <v>63.228785309040035</v>
      </c>
    </row>
    <row r="226" spans="64:78">
      <c r="BL226" s="175">
        <f t="shared" si="114"/>
        <v>223</v>
      </c>
      <c r="BM226" s="180">
        <f t="shared" si="115"/>
        <v>847.5</v>
      </c>
      <c r="BO226" s="181">
        <f t="shared" si="108"/>
        <v>58.562794137502394</v>
      </c>
      <c r="BP226" s="181">
        <f t="shared" si="109"/>
        <v>29.707625449820078</v>
      </c>
      <c r="BQ226" s="182">
        <f t="shared" si="110"/>
        <v>90.560042486021331</v>
      </c>
      <c r="BR226" s="183">
        <f t="shared" si="111"/>
        <v>2.6983116677171026E-2</v>
      </c>
      <c r="BS226" s="187">
        <f t="shared" si="112"/>
        <v>25913.195966257452</v>
      </c>
      <c r="BT226" s="183">
        <f t="shared" si="113"/>
        <v>699.21879023592237</v>
      </c>
      <c r="BW226" s="53">
        <f t="shared" si="105"/>
        <v>117.12558827500479</v>
      </c>
      <c r="BY226" s="14">
        <f t="shared" si="106"/>
        <v>25.981110889006484</v>
      </c>
      <c r="BZ226" s="53">
        <f t="shared" si="107"/>
        <v>63.03955800782694</v>
      </c>
    </row>
    <row r="227" spans="64:78">
      <c r="BL227" s="175">
        <f t="shared" si="114"/>
        <v>224</v>
      </c>
      <c r="BM227" s="180">
        <f t="shared" si="115"/>
        <v>851.25</v>
      </c>
      <c r="BO227" s="181">
        <f t="shared" si="108"/>
        <v>58.601142498416827</v>
      </c>
      <c r="BP227" s="181">
        <f t="shared" si="109"/>
        <v>29.839075119952021</v>
      </c>
      <c r="BQ227" s="182">
        <f t="shared" si="110"/>
        <v>90.390244454974948</v>
      </c>
      <c r="BR227" s="183">
        <f t="shared" si="111"/>
        <v>2.6460753663570334E-2</v>
      </c>
      <c r="BS227" s="187">
        <f t="shared" si="112"/>
        <v>26424.749616960733</v>
      </c>
      <c r="BT227" s="183">
        <f t="shared" si="113"/>
        <v>699.21879023592248</v>
      </c>
      <c r="BW227" s="53">
        <f t="shared" si="105"/>
        <v>117.20228499683365</v>
      </c>
      <c r="BY227" s="14">
        <f t="shared" si="106"/>
        <v>26.0002850694637</v>
      </c>
      <c r="BZ227" s="53">
        <f t="shared" si="107"/>
        <v>62.850585796323344</v>
      </c>
    </row>
    <row r="228" spans="64:78">
      <c r="BL228" s="175">
        <f t="shared" si="114"/>
        <v>225</v>
      </c>
      <c r="BM228" s="180">
        <f t="shared" si="115"/>
        <v>855</v>
      </c>
      <c r="BO228" s="181">
        <f t="shared" si="108"/>
        <v>58.639322294563456</v>
      </c>
      <c r="BP228" s="181">
        <f t="shared" si="109"/>
        <v>29.970524790083971</v>
      </c>
      <c r="BQ228" s="182">
        <f t="shared" si="110"/>
        <v>90.220614988696369</v>
      </c>
      <c r="BR228" s="183">
        <f t="shared" si="111"/>
        <v>2.594900659535735E-2</v>
      </c>
      <c r="BS228" s="187">
        <f t="shared" si="112"/>
        <v>26945.878936306668</v>
      </c>
      <c r="BT228" s="183">
        <f t="shared" si="113"/>
        <v>699.21879023592248</v>
      </c>
      <c r="BW228" s="53">
        <f t="shared" si="105"/>
        <v>117.27864458912691</v>
      </c>
      <c r="BY228" s="14">
        <f t="shared" si="106"/>
        <v>26.019374967537015</v>
      </c>
      <c r="BZ228" s="53">
        <f t="shared" si="107"/>
        <v>62.661866431971461</v>
      </c>
    </row>
    <row r="229" spans="64:78">
      <c r="BL229" s="175">
        <f t="shared" si="114"/>
        <v>226</v>
      </c>
      <c r="BM229" s="180">
        <f t="shared" si="115"/>
        <v>858.75</v>
      </c>
      <c r="BO229" s="181">
        <f t="shared" si="108"/>
        <v>58.677335001352134</v>
      </c>
      <c r="BP229" s="181">
        <f t="shared" si="109"/>
        <v>30.101974460215917</v>
      </c>
      <c r="BQ229" s="182">
        <f t="shared" si="110"/>
        <v>90.051152611775748</v>
      </c>
      <c r="BR229" s="183">
        <f t="shared" si="111"/>
        <v>2.5447646168305527E-2</v>
      </c>
      <c r="BS229" s="187">
        <f t="shared" si="112"/>
        <v>27476.757009722332</v>
      </c>
      <c r="BT229" s="183">
        <f t="shared" si="113"/>
        <v>699.21879023592248</v>
      </c>
      <c r="BW229" s="53">
        <f t="shared" si="105"/>
        <v>117.35467000270427</v>
      </c>
      <c r="BY229" s="14">
        <f t="shared" si="106"/>
        <v>26.038381320931354</v>
      </c>
      <c r="BZ229" s="53">
        <f t="shared" si="107"/>
        <v>62.473397701656481</v>
      </c>
    </row>
    <row r="230" spans="64:78">
      <c r="BL230" s="175">
        <f t="shared" si="114"/>
        <v>227</v>
      </c>
      <c r="BM230" s="180">
        <f t="shared" si="115"/>
        <v>862.5</v>
      </c>
      <c r="BO230" s="181">
        <f t="shared" si="108"/>
        <v>58.715182074906238</v>
      </c>
      <c r="BP230" s="181">
        <f t="shared" si="109"/>
        <v>30.233424130347867</v>
      </c>
      <c r="BQ230" s="182">
        <f t="shared" si="110"/>
        <v>89.881855868089687</v>
      </c>
      <c r="BR230" s="183">
        <f t="shared" si="111"/>
        <v>2.4956448415439241E-2</v>
      </c>
      <c r="BS230" s="187">
        <f t="shared" si="112"/>
        <v>28017.559974733977</v>
      </c>
      <c r="BT230" s="183">
        <f t="shared" si="113"/>
        <v>699.21879023592362</v>
      </c>
      <c r="BW230" s="53">
        <f t="shared" si="105"/>
        <v>117.43036414981248</v>
      </c>
      <c r="BY230" s="14">
        <f t="shared" si="106"/>
        <v>26.057304857708406</v>
      </c>
      <c r="BZ230" s="53">
        <f t="shared" si="107"/>
        <v>62.285177421193396</v>
      </c>
    </row>
    <row r="231" spans="64:78">
      <c r="BL231" s="175">
        <f t="shared" si="114"/>
        <v>228</v>
      </c>
      <c r="BM231" s="180">
        <f t="shared" si="115"/>
        <v>866.25</v>
      </c>
      <c r="BO231" s="181">
        <f t="shared" si="108"/>
        <v>58.752864952397267</v>
      </c>
      <c r="BP231" s="181">
        <f t="shared" si="109"/>
        <v>30.36487380047981</v>
      </c>
      <c r="BQ231" s="182">
        <f t="shared" si="110"/>
        <v>89.712723320466722</v>
      </c>
      <c r="BR231" s="183">
        <f t="shared" si="111"/>
        <v>2.4475194571329947E-2</v>
      </c>
      <c r="BS231" s="187">
        <f t="shared" si="112"/>
        <v>28568.467073801407</v>
      </c>
      <c r="BT231" s="183">
        <f t="shared" si="113"/>
        <v>699.21879023592248</v>
      </c>
      <c r="BW231" s="53">
        <f t="shared" si="105"/>
        <v>117.50572990479453</v>
      </c>
      <c r="BY231" s="14">
        <f t="shared" si="106"/>
        <v>26.076146296453921</v>
      </c>
      <c r="BZ231" s="53">
        <f t="shared" si="107"/>
        <v>62.097203434824912</v>
      </c>
    </row>
    <row r="232" spans="64:78">
      <c r="BL232" s="175">
        <f t="shared" si="114"/>
        <v>229</v>
      </c>
      <c r="BM232" s="180">
        <f t="shared" si="115"/>
        <v>870</v>
      </c>
      <c r="BO232" s="181">
        <f t="shared" si="108"/>
        <v>58.790385052372372</v>
      </c>
      <c r="BP232" s="181">
        <f t="shared" si="109"/>
        <v>30.49632347061176</v>
      </c>
      <c r="BQ232" s="182">
        <f t="shared" si="110"/>
        <v>89.543753550359668</v>
      </c>
      <c r="BR232" s="183">
        <f t="shared" si="111"/>
        <v>2.4003670940203191E-2</v>
      </c>
      <c r="BS232" s="187">
        <f t="shared" si="112"/>
        <v>29129.660708055169</v>
      </c>
      <c r="BT232" s="183">
        <f t="shared" si="113"/>
        <v>699.2187902359226</v>
      </c>
      <c r="BW232" s="53">
        <f t="shared" si="105"/>
        <v>117.58077010474474</v>
      </c>
      <c r="BY232" s="14">
        <f t="shared" si="106"/>
        <v>26.094906346441473</v>
      </c>
      <c r="BZ232" s="53">
        <f t="shared" si="107"/>
        <v>61.909473614730288</v>
      </c>
    </row>
    <row r="233" spans="64:78">
      <c r="BL233" s="175">
        <f t="shared" si="114"/>
        <v>230</v>
      </c>
      <c r="BM233" s="180">
        <f t="shared" si="115"/>
        <v>873.75</v>
      </c>
      <c r="BO233" s="181">
        <f t="shared" si="108"/>
        <v>58.827743775074751</v>
      </c>
      <c r="BP233" s="181">
        <f t="shared" si="109"/>
        <v>30.627773140743706</v>
      </c>
      <c r="BQ233" s="182">
        <f t="shared" si="110"/>
        <v>89.374945157525332</v>
      </c>
      <c r="BR233" s="183">
        <f t="shared" si="111"/>
        <v>2.3541668767738548E-2</v>
      </c>
      <c r="BS233" s="187">
        <f t="shared" si="112"/>
        <v>29701.32649194905</v>
      </c>
      <c r="BT233" s="183">
        <f t="shared" si="113"/>
        <v>699.21879023592248</v>
      </c>
      <c r="BW233" s="53">
        <f t="shared" si="105"/>
        <v>117.6554875501495</v>
      </c>
      <c r="BY233" s="14">
        <f t="shared" si="106"/>
        <v>26.113585707792662</v>
      </c>
      <c r="BZ233" s="53">
        <f t="shared" si="107"/>
        <v>61.721985860544791</v>
      </c>
    </row>
    <row r="234" spans="64:78">
      <c r="BL234" s="175">
        <f t="shared" si="114"/>
        <v>231</v>
      </c>
      <c r="BM234" s="180">
        <f t="shared" si="115"/>
        <v>877.5</v>
      </c>
      <c r="BO234" s="181">
        <f t="shared" si="108"/>
        <v>58.864942502757238</v>
      </c>
      <c r="BP234" s="181">
        <f t="shared" si="109"/>
        <v>30.759222810875652</v>
      </c>
      <c r="BQ234" s="182">
        <f t="shared" si="110"/>
        <v>89.206296759710909</v>
      </c>
      <c r="BR234" s="183">
        <f t="shared" si="111"/>
        <v>2.3088984116446377E-2</v>
      </c>
      <c r="BS234" s="187">
        <f t="shared" si="112"/>
        <v>30283.653308846366</v>
      </c>
      <c r="BT234" s="183">
        <f t="shared" si="113"/>
        <v>699.21879023592248</v>
      </c>
      <c r="BW234" s="53">
        <f t="shared" si="105"/>
        <v>117.72988500551448</v>
      </c>
      <c r="BY234" s="14">
        <f t="shared" si="106"/>
        <v>26.132185071633906</v>
      </c>
      <c r="BZ234" s="53">
        <f t="shared" si="107"/>
        <v>61.534738098889115</v>
      </c>
    </row>
    <row r="235" spans="64:78">
      <c r="BL235" s="175">
        <f t="shared" si="114"/>
        <v>232</v>
      </c>
      <c r="BM235" s="180">
        <f t="shared" si="115"/>
        <v>881.25</v>
      </c>
      <c r="BO235" s="181">
        <f t="shared" si="108"/>
        <v>58.901982599989104</v>
      </c>
      <c r="BP235" s="181">
        <f t="shared" si="109"/>
        <v>30.890672481007599</v>
      </c>
      <c r="BQ235" s="182">
        <f t="shared" si="110"/>
        <v>89.0378069923471</v>
      </c>
      <c r="BR235" s="183">
        <f t="shared" si="111"/>
        <v>2.2645417744511644E-2</v>
      </c>
      <c r="BS235" s="187">
        <f t="shared" si="112"/>
        <v>30876.83336755343</v>
      </c>
      <c r="BT235" s="183">
        <f t="shared" si="113"/>
        <v>699.21879023592373</v>
      </c>
      <c r="BW235" s="53">
        <f t="shared" si="105"/>
        <v>117.80396519997821</v>
      </c>
      <c r="BY235" s="14">
        <f t="shared" si="106"/>
        <v>26.150705120249839</v>
      </c>
      <c r="BZ235" s="53">
        <f t="shared" si="107"/>
        <v>61.347728282909358</v>
      </c>
    </row>
    <row r="236" spans="64:78">
      <c r="BL236" s="175">
        <f t="shared" si="114"/>
        <v>233</v>
      </c>
      <c r="BM236" s="180">
        <f t="shared" si="115"/>
        <v>885</v>
      </c>
      <c r="BO236" s="181">
        <f t="shared" si="108"/>
        <v>58.938865413956513</v>
      </c>
      <c r="BP236" s="181">
        <f t="shared" si="109"/>
        <v>31.022122151139548</v>
      </c>
      <c r="BQ236" s="182">
        <f t="shared" si="110"/>
        <v>88.869474508247734</v>
      </c>
      <c r="BR236" s="183">
        <f t="shared" si="111"/>
        <v>2.2210774987996798E-2</v>
      </c>
      <c r="BS236" s="187">
        <f t="shared" si="112"/>
        <v>31481.062259817409</v>
      </c>
      <c r="BT236" s="183">
        <f t="shared" si="113"/>
        <v>699.21879023592248</v>
      </c>
      <c r="BW236" s="53">
        <f t="shared" si="105"/>
        <v>117.87773082791303</v>
      </c>
      <c r="BY236" s="14">
        <f t="shared" si="106"/>
        <v>26.169146527233544</v>
      </c>
      <c r="BZ236" s="53">
        <f t="shared" si="107"/>
        <v>61.160954391826287</v>
      </c>
    </row>
    <row r="237" spans="64:78">
      <c r="BL237" s="175">
        <f t="shared" si="114"/>
        <v>234</v>
      </c>
      <c r="BM237" s="180">
        <f t="shared" si="115"/>
        <v>888.75</v>
      </c>
      <c r="BO237" s="181">
        <f t="shared" si="108"/>
        <v>58.975592274756458</v>
      </c>
      <c r="BP237" s="181">
        <f t="shared" si="109"/>
        <v>31.153571821271498</v>
      </c>
      <c r="BQ237" s="182">
        <f t="shared" si="110"/>
        <v>88.701297977315846</v>
      </c>
      <c r="BR237" s="183">
        <f t="shared" si="111"/>
        <v>2.1784865646301523E-2</v>
      </c>
      <c r="BS237" s="187">
        <f t="shared" si="112"/>
        <v>32096.539018804131</v>
      </c>
      <c r="BT237" s="183">
        <f t="shared" si="113"/>
        <v>699.21879023592248</v>
      </c>
      <c r="BW237" s="53">
        <f t="shared" si="105"/>
        <v>117.95118454951292</v>
      </c>
      <c r="BY237" s="14">
        <f t="shared" si="106"/>
        <v>26.187509957633516</v>
      </c>
      <c r="BZ237" s="53">
        <f t="shared" si="107"/>
        <v>60.974414430494441</v>
      </c>
    </row>
    <row r="238" spans="64:78">
      <c r="BL238" s="175">
        <f t="shared" si="114"/>
        <v>235</v>
      </c>
      <c r="BM238" s="180">
        <f t="shared" si="115"/>
        <v>892.5</v>
      </c>
      <c r="BO238" s="181">
        <f t="shared" si="108"/>
        <v>59.012164495684615</v>
      </c>
      <c r="BP238" s="181">
        <f t="shared" si="109"/>
        <v>31.285021491403441</v>
      </c>
      <c r="BQ238" s="182">
        <f t="shared" si="110"/>
        <v>88.533276086255739</v>
      </c>
      <c r="BR238" s="183">
        <f t="shared" si="111"/>
        <v>2.136750387077746E-2</v>
      </c>
      <c r="BS238" s="187">
        <f t="shared" si="112"/>
        <v>32723.466178573406</v>
      </c>
      <c r="BT238" s="183">
        <f t="shared" si="113"/>
        <v>699.2187902359226</v>
      </c>
      <c r="BW238" s="53">
        <f t="shared" si="105"/>
        <v>118.02432899136923</v>
      </c>
      <c r="BY238" s="14">
        <f t="shared" si="106"/>
        <v>26.205796068097595</v>
      </c>
      <c r="BZ238" s="53">
        <f t="shared" si="107"/>
        <v>60.788106428970238</v>
      </c>
    </row>
    <row r="239" spans="64:78">
      <c r="BL239" s="175">
        <f t="shared" si="114"/>
        <v>236</v>
      </c>
      <c r="BM239" s="180">
        <f t="shared" si="115"/>
        <v>896.25</v>
      </c>
      <c r="BO239" s="181">
        <f t="shared" si="108"/>
        <v>59.048583373517125</v>
      </c>
      <c r="BP239" s="181">
        <f t="shared" si="109"/>
        <v>31.416471161535391</v>
      </c>
      <c r="BQ239" s="182">
        <f t="shared" si="110"/>
        <v>88.365407538291279</v>
      </c>
      <c r="BR239" s="183">
        <f t="shared" si="111"/>
        <v>2.0958508056404004E-2</v>
      </c>
      <c r="BS239" s="187">
        <f t="shared" si="112"/>
        <v>33362.049834566977</v>
      </c>
      <c r="BT239" s="183">
        <f t="shared" si="113"/>
        <v>699.21879023592385</v>
      </c>
      <c r="BW239" s="53">
        <f t="shared" si="105"/>
        <v>118.09716674703425</v>
      </c>
      <c r="BY239" s="14">
        <f t="shared" si="106"/>
        <v>26.22400550701385</v>
      </c>
      <c r="BZ239" s="53">
        <f t="shared" si="107"/>
        <v>60.602028442089527</v>
      </c>
    </row>
    <row r="240" spans="64:78">
      <c r="BL240" s="175">
        <f t="shared" si="114"/>
        <v>237</v>
      </c>
      <c r="BM240" s="180">
        <f t="shared" si="115"/>
        <v>900</v>
      </c>
      <c r="BO240" s="181">
        <f t="shared" si="108"/>
        <v>59.084850188786497</v>
      </c>
      <c r="BP240" s="181">
        <f t="shared" si="109"/>
        <v>31.547920831667337</v>
      </c>
      <c r="BQ240" s="182">
        <f t="shared" si="110"/>
        <v>88.197691052889965</v>
      </c>
      <c r="BR240" s="183">
        <f t="shared" si="111"/>
        <v>2.0557700736429513E-2</v>
      </c>
      <c r="BS240" s="187">
        <f t="shared" si="112"/>
        <v>34012.499705128132</v>
      </c>
      <c r="BT240" s="183">
        <f t="shared" si="113"/>
        <v>699.21879023592123</v>
      </c>
      <c r="BW240" s="53">
        <f t="shared" si="105"/>
        <v>118.16970037757299</v>
      </c>
      <c r="BY240" s="14">
        <f t="shared" si="106"/>
        <v>26.242138914648535</v>
      </c>
      <c r="BZ240" s="53">
        <f t="shared" si="107"/>
        <v>60.416178549053541</v>
      </c>
    </row>
    <row r="241" spans="64:78">
      <c r="BL241" s="175">
        <f t="shared" si="114"/>
        <v>238</v>
      </c>
      <c r="BM241" s="180">
        <f t="shared" si="115"/>
        <v>903.75</v>
      </c>
      <c r="BO241" s="181">
        <f t="shared" si="108"/>
        <v>59.120966206051747</v>
      </c>
      <c r="BP241" s="181">
        <f t="shared" si="109"/>
        <v>31.679370501799287</v>
      </c>
      <c r="BQ241" s="182">
        <f t="shared" si="110"/>
        <v>88.030125365492765</v>
      </c>
      <c r="BR241" s="183">
        <f t="shared" si="111"/>
        <v>2.0164908479890286E-2</v>
      </c>
      <c r="BS241" s="187">
        <f t="shared" si="112"/>
        <v>34675.029194068928</v>
      </c>
      <c r="BT241" s="183">
        <f t="shared" si="113"/>
        <v>699.21879023592373</v>
      </c>
      <c r="BW241" s="53">
        <f t="shared" si="105"/>
        <v>118.24193241210349</v>
      </c>
      <c r="BY241" s="14">
        <f t="shared" si="106"/>
        <v>26.260196923281161</v>
      </c>
      <c r="BZ241" s="53">
        <f t="shared" si="107"/>
        <v>60.23055485302369</v>
      </c>
    </row>
    <row r="242" spans="64:78">
      <c r="BL242" s="175">
        <f t="shared" si="114"/>
        <v>239</v>
      </c>
      <c r="BM242" s="180">
        <f t="shared" si="115"/>
        <v>907.5</v>
      </c>
      <c r="BO242" s="181">
        <f t="shared" si="108"/>
        <v>59.156932674163002</v>
      </c>
      <c r="BP242" s="181">
        <f t="shared" si="109"/>
        <v>31.81082017193123</v>
      </c>
      <c r="BQ242" s="182">
        <f t="shared" si="110"/>
        <v>87.862709227249567</v>
      </c>
      <c r="BR242" s="183">
        <f t="shared" si="111"/>
        <v>1.9779961791917766E-2</v>
      </c>
      <c r="BS242" s="187">
        <f t="shared" si="112"/>
        <v>35349.855454302662</v>
      </c>
      <c r="BT242" s="183">
        <f t="shared" si="113"/>
        <v>699.21879023592248</v>
      </c>
      <c r="BW242" s="53">
        <f t="shared" si="105"/>
        <v>118.313865348326</v>
      </c>
      <c r="BY242" s="14">
        <f t="shared" si="106"/>
        <v>26.278180157336788</v>
      </c>
      <c r="BZ242" s="53">
        <f t="shared" si="107"/>
        <v>60.045155480724887</v>
      </c>
    </row>
    <row r="243" spans="64:78">
      <c r="BL243" s="175">
        <f t="shared" si="114"/>
        <v>240</v>
      </c>
      <c r="BM243" s="180">
        <f t="shared" si="115"/>
        <v>911.25</v>
      </c>
      <c r="BO243" s="181">
        <f t="shared" si="108"/>
        <v>59.192750826520623</v>
      </c>
      <c r="BP243" s="181">
        <f t="shared" si="109"/>
        <v>31.94226984206318</v>
      </c>
      <c r="BQ243" s="182">
        <f t="shared" si="110"/>
        <v>87.69544140475999</v>
      </c>
      <c r="BR243" s="183">
        <f t="shared" si="111"/>
        <v>1.9402695016752309E-2</v>
      </c>
      <c r="BS243" s="187">
        <f t="shared" si="112"/>
        <v>36037.199452561421</v>
      </c>
      <c r="BT243" s="183">
        <f t="shared" si="113"/>
        <v>699.21879023592248</v>
      </c>
      <c r="BW243" s="53">
        <f t="shared" si="105"/>
        <v>118.38550165304125</v>
      </c>
      <c r="BY243" s="14">
        <f t="shared" si="106"/>
        <v>26.296089233515598</v>
      </c>
      <c r="BZ243" s="53">
        <f t="shared" si="107"/>
        <v>59.859978582056499</v>
      </c>
    </row>
    <row r="244" spans="64:78">
      <c r="BL244" s="175">
        <f t="shared" si="114"/>
        <v>241</v>
      </c>
      <c r="BM244" s="180">
        <f t="shared" si="115"/>
        <v>915</v>
      </c>
      <c r="BO244" s="181">
        <f t="shared" si="108"/>
        <v>59.22842188132897</v>
      </c>
      <c r="BP244" s="181">
        <f t="shared" si="109"/>
        <v>32.073719512195126</v>
      </c>
      <c r="BQ244" s="182">
        <f t="shared" si="110"/>
        <v>87.5283206798197</v>
      </c>
      <c r="BR244" s="183">
        <f t="shared" si="111"/>
        <v>1.9032946243380526E-2</v>
      </c>
      <c r="BS244" s="187">
        <f t="shared" si="112"/>
        <v>36737.286035213954</v>
      </c>
      <c r="BT244" s="183">
        <f t="shared" si="113"/>
        <v>699.21879023592123</v>
      </c>
      <c r="BW244" s="53">
        <f t="shared" si="105"/>
        <v>118.45684376265794</v>
      </c>
      <c r="BY244" s="14">
        <f t="shared" si="106"/>
        <v>26.313924760919772</v>
      </c>
      <c r="BZ244" s="53">
        <f t="shared" si="107"/>
        <v>59.675022329712021</v>
      </c>
    </row>
    <row r="245" spans="64:78">
      <c r="BL245" s="175">
        <f t="shared" si="114"/>
        <v>242</v>
      </c>
      <c r="BM245" s="180">
        <f t="shared" si="115"/>
        <v>918.75</v>
      </c>
      <c r="BO245" s="181">
        <f t="shared" si="108"/>
        <v>59.263947041845029</v>
      </c>
      <c r="BP245" s="181">
        <f t="shared" si="109"/>
        <v>32.205169182327069</v>
      </c>
      <c r="BQ245" s="182">
        <f t="shared" si="110"/>
        <v>87.361345849171698</v>
      </c>
      <c r="BR245" s="183">
        <f t="shared" si="111"/>
        <v>1.8670557213718533E-2</v>
      </c>
      <c r="BS245" s="187">
        <f t="shared" si="112"/>
        <v>37450.343995205381</v>
      </c>
      <c r="BT245" s="183">
        <f t="shared" si="113"/>
        <v>699.21879023592237</v>
      </c>
      <c r="BW245" s="53">
        <f t="shared" si="105"/>
        <v>118.52789408369006</v>
      </c>
      <c r="BY245" s="14">
        <f t="shared" si="106"/>
        <v>26.331687341177801</v>
      </c>
      <c r="BZ245" s="53">
        <f t="shared" si="107"/>
        <v>59.490284918805997</v>
      </c>
    </row>
    <row r="246" spans="64:78">
      <c r="BL246" s="175">
        <f t="shared" si="114"/>
        <v>243</v>
      </c>
      <c r="BM246" s="180">
        <f t="shared" si="115"/>
        <v>922.5</v>
      </c>
      <c r="BO246" s="181">
        <f t="shared" si="108"/>
        <v>59.299327496621963</v>
      </c>
      <c r="BP246" s="181">
        <f t="shared" si="109"/>
        <v>32.336618852459019</v>
      </c>
      <c r="BQ246" s="182">
        <f t="shared" si="110"/>
        <v>87.194515724262814</v>
      </c>
      <c r="BR246" s="183">
        <f t="shared" si="111"/>
        <v>1.8315373233264855E-2</v>
      </c>
      <c r="BS246" s="187">
        <f t="shared" si="112"/>
        <v>38176.606140135031</v>
      </c>
      <c r="BT246" s="183">
        <f t="shared" si="113"/>
        <v>699.21879023592385</v>
      </c>
      <c r="BW246" s="53">
        <f t="shared" si="105"/>
        <v>118.59865499324393</v>
      </c>
      <c r="BY246" s="14">
        <f t="shared" si="106"/>
        <v>26.349377568566268</v>
      </c>
      <c r="BZ246" s="53">
        <f t="shared" si="107"/>
        <v>59.305764566508657</v>
      </c>
    </row>
    <row r="247" spans="64:78">
      <c r="BL247" s="175">
        <f t="shared" si="114"/>
        <v>244</v>
      </c>
      <c r="BM247" s="180">
        <f t="shared" si="115"/>
        <v>926.25</v>
      </c>
      <c r="BO247" s="181">
        <f t="shared" si="108"/>
        <v>59.334564419747693</v>
      </c>
      <c r="BP247" s="181">
        <f t="shared" si="109"/>
        <v>32.468068522590968</v>
      </c>
      <c r="BQ247" s="182">
        <f t="shared" si="110"/>
        <v>87.027829131005134</v>
      </c>
      <c r="BR247" s="183">
        <f t="shared" si="111"/>
        <v>1.7967243084149362E-2</v>
      </c>
      <c r="BS247" s="187">
        <f t="shared" si="112"/>
        <v>38916.309361494132</v>
      </c>
      <c r="BT247" s="183">
        <f t="shared" si="113"/>
        <v>699.21879023592248</v>
      </c>
      <c r="BW247" s="53">
        <f t="shared" si="105"/>
        <v>118.66912883949539</v>
      </c>
      <c r="BY247" s="14">
        <f t="shared" si="106"/>
        <v>26.366996030129133</v>
      </c>
      <c r="BZ247" s="53">
        <f t="shared" si="107"/>
        <v>59.121459511688116</v>
      </c>
    </row>
    <row r="248" spans="64:78">
      <c r="BL248" s="175">
        <f t="shared" si="114"/>
        <v>245</v>
      </c>
      <c r="BM248" s="180">
        <f t="shared" si="115"/>
        <v>930</v>
      </c>
      <c r="BO248" s="181">
        <f t="shared" si="108"/>
        <v>59.369658971078707</v>
      </c>
      <c r="BP248" s="181">
        <f t="shared" si="109"/>
        <v>32.599518192722918</v>
      </c>
      <c r="BQ248" s="182">
        <f t="shared" si="110"/>
        <v>86.861284909542178</v>
      </c>
      <c r="BR248" s="183">
        <f t="shared" si="111"/>
        <v>1.762601894050804E-2</v>
      </c>
      <c r="BS248" s="187">
        <f t="shared" si="112"/>
        <v>39669.694705080612</v>
      </c>
      <c r="BT248" s="183">
        <f t="shared" si="113"/>
        <v>699.21879023592237</v>
      </c>
      <c r="BW248" s="53">
        <f t="shared" si="105"/>
        <v>118.73931794215741</v>
      </c>
      <c r="BY248" s="14">
        <f t="shared" si="106"/>
        <v>26.38454330579464</v>
      </c>
      <c r="BZ248" s="53">
        <f t="shared" si="107"/>
        <v>58.937368014559638</v>
      </c>
    </row>
    <row r="249" spans="64:78">
      <c r="BL249" s="175">
        <f t="shared" si="114"/>
        <v>246</v>
      </c>
      <c r="BM249" s="180">
        <f t="shared" si="115"/>
        <v>933.75</v>
      </c>
      <c r="BO249" s="181">
        <f t="shared" si="108"/>
        <v>59.404612296469104</v>
      </c>
      <c r="BP249" s="181">
        <f t="shared" si="109"/>
        <v>32.730967862854861</v>
      </c>
      <c r="BQ249" s="182">
        <f t="shared" si="110"/>
        <v>86.694881914019831</v>
      </c>
      <c r="BR249" s="183">
        <f t="shared" si="111"/>
        <v>1.7291556286113657E-2</v>
      </c>
      <c r="BS249" s="187">
        <f t="shared" si="112"/>
        <v>40437.007442612085</v>
      </c>
      <c r="BT249" s="183">
        <f t="shared" si="113"/>
        <v>699.21879023592373</v>
      </c>
      <c r="BW249" s="53">
        <f t="shared" si="105"/>
        <v>118.80922459293821</v>
      </c>
      <c r="BY249" s="14">
        <f t="shared" si="106"/>
        <v>26.402019968489839</v>
      </c>
      <c r="BZ249" s="53">
        <f t="shared" si="107"/>
        <v>58.753488356342103</v>
      </c>
    </row>
    <row r="250" spans="64:78">
      <c r="BL250" s="175">
        <f t="shared" si="114"/>
        <v>247</v>
      </c>
      <c r="BM250" s="180">
        <f t="shared" si="115"/>
        <v>937.5</v>
      </c>
      <c r="BO250" s="181">
        <f t="shared" si="108"/>
        <v>59.439425527995127</v>
      </c>
      <c r="BP250" s="181">
        <f t="shared" si="109"/>
        <v>32.862417532986811</v>
      </c>
      <c r="BQ250" s="182">
        <f t="shared" si="110"/>
        <v>86.528619012361858</v>
      </c>
      <c r="BR250" s="183">
        <f t="shared" si="111"/>
        <v>1.6963713834196981E-2</v>
      </c>
      <c r="BS250" s="187">
        <f t="shared" si="112"/>
        <v>41218.497144556539</v>
      </c>
      <c r="BT250" s="183">
        <f t="shared" si="113"/>
        <v>699.21879023592248</v>
      </c>
      <c r="BW250" s="53">
        <f t="shared" si="105"/>
        <v>118.87885105599025</v>
      </c>
      <c r="BY250" s="14">
        <f t="shared" si="106"/>
        <v>26.41942658425285</v>
      </c>
      <c r="BZ250" s="53">
        <f t="shared" si="107"/>
        <v>58.569818838921123</v>
      </c>
    </row>
    <row r="251" spans="64:78">
      <c r="BL251" s="175">
        <f t="shared" si="114"/>
        <v>248</v>
      </c>
      <c r="BM251" s="180">
        <f t="shared" si="115"/>
        <v>941.25</v>
      </c>
      <c r="BO251" s="181">
        <f t="shared" si="108"/>
        <v>59.474099784175138</v>
      </c>
      <c r="BP251" s="181">
        <f t="shared" si="109"/>
        <v>32.993867203118761</v>
      </c>
      <c r="BQ251" s="182">
        <f t="shared" si="110"/>
        <v>86.362495086049904</v>
      </c>
      <c r="BR251" s="183">
        <f t="shared" si="111"/>
        <v>1.664235344939367E-2</v>
      </c>
      <c r="BS251" s="187">
        <f t="shared" si="112"/>
        <v>42014.417754202732</v>
      </c>
      <c r="BT251" s="183">
        <f t="shared" si="113"/>
        <v>699.21879023592248</v>
      </c>
      <c r="BW251" s="53">
        <f t="shared" si="105"/>
        <v>118.94819956835028</v>
      </c>
      <c r="BY251" s="14">
        <f t="shared" si="106"/>
        <v>26.436763712342856</v>
      </c>
      <c r="BZ251" s="53">
        <f t="shared" si="107"/>
        <v>58.386357784519149</v>
      </c>
    </row>
    <row r="252" spans="64:78">
      <c r="BL252" s="175">
        <f t="shared" si="114"/>
        <v>249</v>
      </c>
      <c r="BM252" s="180">
        <f t="shared" si="115"/>
        <v>945</v>
      </c>
      <c r="BO252" s="181">
        <f t="shared" si="108"/>
        <v>59.508636170185262</v>
      </c>
      <c r="BP252" s="181">
        <f t="shared" si="109"/>
        <v>33.125316873250704</v>
      </c>
      <c r="BQ252" s="182">
        <f t="shared" si="110"/>
        <v>86.19650902990783</v>
      </c>
      <c r="BR252" s="183">
        <f t="shared" si="111"/>
        <v>1.6327340071754928E-2</v>
      </c>
      <c r="BS252" s="187">
        <f t="shared" si="112"/>
        <v>42825.027662988243</v>
      </c>
      <c r="BT252" s="183">
        <f t="shared" si="113"/>
        <v>699.21879023592123</v>
      </c>
      <c r="BW252" s="53">
        <f t="shared" si="105"/>
        <v>119.01727234037052</v>
      </c>
      <c r="BY252" s="14">
        <f t="shared" si="106"/>
        <v>26.454031905347918</v>
      </c>
      <c r="BZ252" s="53">
        <f t="shared" si="107"/>
        <v>58.203103535372023</v>
      </c>
    </row>
    <row r="253" spans="64:78">
      <c r="BL253" s="175">
        <f t="shared" si="114"/>
        <v>250</v>
      </c>
      <c r="BM253" s="180">
        <f t="shared" si="115"/>
        <v>948.75</v>
      </c>
      <c r="BO253" s="181">
        <f t="shared" si="108"/>
        <v>59.543035778070738</v>
      </c>
      <c r="BP253" s="181">
        <f t="shared" si="109"/>
        <v>33.256766543382653</v>
      </c>
      <c r="BQ253" s="182">
        <f t="shared" si="110"/>
        <v>86.030659751890397</v>
      </c>
      <c r="BR253" s="183">
        <f t="shared" si="111"/>
        <v>1.6018541642761716E-2</v>
      </c>
      <c r="BS253" s="187">
        <f t="shared" si="112"/>
        <v>43650.589787109478</v>
      </c>
      <c r="BT253" s="183">
        <f t="shared" si="113"/>
        <v>699.21879023592248</v>
      </c>
      <c r="BW253" s="53">
        <f t="shared" si="105"/>
        <v>119.08607155614148</v>
      </c>
      <c r="BY253" s="14">
        <f t="shared" si="106"/>
        <v>26.471231709290656</v>
      </c>
      <c r="BZ253" s="53">
        <f t="shared" si="107"/>
        <v>58.020054453411852</v>
      </c>
    </row>
    <row r="254" spans="64:78">
      <c r="BL254" s="175">
        <f t="shared" si="114"/>
        <v>251</v>
      </c>
      <c r="BM254" s="180">
        <f t="shared" si="115"/>
        <v>952.5</v>
      </c>
      <c r="BO254" s="181">
        <f t="shared" si="108"/>
        <v>59.57729968695314</v>
      </c>
      <c r="BP254" s="181">
        <f t="shared" si="109"/>
        <v>33.388216213514596</v>
      </c>
      <c r="BQ254" s="182">
        <f t="shared" si="110"/>
        <v>85.86494617287606</v>
      </c>
      <c r="BR254" s="183">
        <f t="shared" si="111"/>
        <v>1.5715829033283994E-2</v>
      </c>
      <c r="BS254" s="187">
        <f t="shared" si="112"/>
        <v>44491.37164543281</v>
      </c>
      <c r="BT254" s="183">
        <f t="shared" si="113"/>
        <v>699.21879023592123</v>
      </c>
      <c r="BW254" s="53">
        <f t="shared" si="105"/>
        <v>119.15459937390628</v>
      </c>
      <c r="BY254" s="14">
        <f t="shared" si="106"/>
        <v>26.488363663731857</v>
      </c>
      <c r="BZ254" s="53">
        <f t="shared" si="107"/>
        <v>57.837208919956311</v>
      </c>
    </row>
    <row r="255" spans="64:78">
      <c r="BL255" s="175">
        <f t="shared" si="114"/>
        <v>252</v>
      </c>
      <c r="BM255" s="180">
        <f t="shared" si="115"/>
        <v>956.25</v>
      </c>
      <c r="BO255" s="181">
        <f t="shared" si="108"/>
        <v>59.611428963233479</v>
      </c>
      <c r="BP255" s="181">
        <f t="shared" si="109"/>
        <v>33.519665883646546</v>
      </c>
      <c r="BQ255" s="182">
        <f t="shared" si="110"/>
        <v>85.699367226463778</v>
      </c>
      <c r="BR255" s="183">
        <f t="shared" si="111"/>
        <v>1.5419075973429234E-2</v>
      </c>
      <c r="BS255" s="187">
        <f t="shared" si="112"/>
        <v>45347.64543873084</v>
      </c>
      <c r="BT255" s="183">
        <f t="shared" si="113"/>
        <v>699.21879023592248</v>
      </c>
      <c r="BW255" s="53">
        <f t="shared" si="105"/>
        <v>119.22285792646696</v>
      </c>
      <c r="BY255" s="14">
        <f t="shared" si="106"/>
        <v>26.505428301872026</v>
      </c>
      <c r="BZ255" s="53">
        <f t="shared" si="107"/>
        <v>57.654565335403845</v>
      </c>
    </row>
    <row r="256" spans="64:78">
      <c r="BL256" s="175">
        <f t="shared" si="114"/>
        <v>253</v>
      </c>
      <c r="BM256" s="180">
        <f t="shared" si="115"/>
        <v>960</v>
      </c>
      <c r="BO256" s="181">
        <f t="shared" si="108"/>
        <v>59.64542466079137</v>
      </c>
      <c r="BP256" s="181">
        <f t="shared" si="109"/>
        <v>33.651115553778489</v>
      </c>
      <c r="BQ256" s="182">
        <f t="shared" si="110"/>
        <v>85.533921858773937</v>
      </c>
      <c r="BR256" s="183">
        <f t="shared" si="111"/>
        <v>1.5128158984225025E-2</v>
      </c>
      <c r="BS256" s="187">
        <f t="shared" si="112"/>
        <v>46219.688130263356</v>
      </c>
      <c r="BT256" s="183">
        <f t="shared" si="113"/>
        <v>699.21879023592237</v>
      </c>
      <c r="BW256" s="53">
        <f t="shared" si="105"/>
        <v>119.29084932158274</v>
      </c>
      <c r="BY256" s="14">
        <f t="shared" si="106"/>
        <v>26.522426150650972</v>
      </c>
      <c r="BZ256" s="53">
        <f t="shared" si="107"/>
        <v>57.472122118935062</v>
      </c>
    </row>
    <row r="257" spans="64:78">
      <c r="BL257" s="175">
        <f t="shared" si="114"/>
        <v>254</v>
      </c>
      <c r="BM257" s="180">
        <f t="shared" si="115"/>
        <v>963.75</v>
      </c>
      <c r="BO257" s="181">
        <f t="shared" si="108"/>
        <v>59.679287821180267</v>
      </c>
      <c r="BP257" s="181">
        <f t="shared" si="109"/>
        <v>33.782565223910439</v>
      </c>
      <c r="BQ257" s="182">
        <f t="shared" si="110"/>
        <v>85.36860902825309</v>
      </c>
      <c r="BR257" s="183">
        <f t="shared" si="111"/>
        <v>1.4842957311083498E-2</v>
      </c>
      <c r="BS257" s="187">
        <f t="shared" si="112"/>
        <v>47107.781527728541</v>
      </c>
      <c r="BT257" s="183">
        <f t="shared" si="113"/>
        <v>699.21879023592248</v>
      </c>
      <c r="BW257" s="53">
        <f t="shared" si="105"/>
        <v>119.35857564236053</v>
      </c>
      <c r="BY257" s="14">
        <f t="shared" si="106"/>
        <v>26.53935773084542</v>
      </c>
      <c r="BZ257" s="53">
        <f t="shared" si="107"/>
        <v>57.289877708219777</v>
      </c>
    </row>
    <row r="258" spans="64:78">
      <c r="BL258" s="175">
        <f t="shared" si="114"/>
        <v>255</v>
      </c>
      <c r="BM258" s="180">
        <f t="shared" si="115"/>
        <v>967.5</v>
      </c>
      <c r="BO258" s="181">
        <f t="shared" si="108"/>
        <v>59.713019473818974</v>
      </c>
      <c r="BP258" s="181">
        <f t="shared" si="109"/>
        <v>33.914014894042388</v>
      </c>
      <c r="BQ258" s="182">
        <f t="shared" si="110"/>
        <v>85.203427705482426</v>
      </c>
      <c r="BR258" s="183">
        <f t="shared" si="111"/>
        <v>1.4563352858995805E-2</v>
      </c>
      <c r="BS258" s="187">
        <f t="shared" si="112"/>
        <v>48012.212366605818</v>
      </c>
      <c r="BT258" s="183">
        <f t="shared" si="113"/>
        <v>699.2187902359226</v>
      </c>
      <c r="BW258" s="53">
        <f t="shared" si="105"/>
        <v>119.42603894763795</v>
      </c>
      <c r="BY258" s="14">
        <f t="shared" si="106"/>
        <v>26.556223557164774</v>
      </c>
      <c r="BZ258" s="53">
        <f t="shared" si="107"/>
        <v>57.107830559129752</v>
      </c>
    </row>
    <row r="259" spans="64:78">
      <c r="BL259" s="175">
        <f t="shared" si="114"/>
        <v>256</v>
      </c>
      <c r="BM259" s="180">
        <f t="shared" si="115"/>
        <v>971.25</v>
      </c>
      <c r="BO259" s="181">
        <f t="shared" si="108"/>
        <v>59.746620636179415</v>
      </c>
      <c r="BP259" s="181">
        <f t="shared" si="109"/>
        <v>34.045464564174331</v>
      </c>
      <c r="BQ259" s="182">
        <f t="shared" si="110"/>
        <v>85.038376872990057</v>
      </c>
      <c r="BR259" s="183">
        <f t="shared" si="111"/>
        <v>1.4289230129408071E-2</v>
      </c>
      <c r="BS259" s="187">
        <f t="shared" si="112"/>
        <v>48933.27239491295</v>
      </c>
      <c r="BT259" s="183">
        <f t="shared" si="113"/>
        <v>699.21879023592237</v>
      </c>
      <c r="BW259" s="53">
        <f t="shared" si="105"/>
        <v>119.49324127235883</v>
      </c>
      <c r="BY259" s="14">
        <f t="shared" si="106"/>
        <v>26.573024138344994</v>
      </c>
      <c r="BZ259" s="53">
        <f t="shared" si="107"/>
        <v>56.925979145457163</v>
      </c>
    </row>
    <row r="260" spans="64:78">
      <c r="BL260" s="175">
        <f t="shared" si="114"/>
        <v>257</v>
      </c>
      <c r="BM260" s="180">
        <f t="shared" si="115"/>
        <v>975</v>
      </c>
      <c r="BO260" s="181">
        <f t="shared" si="108"/>
        <v>59.780092313970741</v>
      </c>
      <c r="BP260" s="181">
        <f t="shared" si="109"/>
        <v>34.176914234306281</v>
      </c>
      <c r="BQ260" s="182">
        <f t="shared" si="110"/>
        <v>84.873455525066774</v>
      </c>
      <c r="BR260" s="183">
        <f t="shared" si="111"/>
        <v>1.4020476158729738E-2</v>
      </c>
      <c r="BS260" s="187">
        <f t="shared" si="112"/>
        <v>49871.258459403994</v>
      </c>
      <c r="BT260" s="183">
        <f t="shared" si="113"/>
        <v>699.21879023592248</v>
      </c>
      <c r="BW260" s="53">
        <f t="shared" ref="BW260:BW323" si="116">40*LOG10(BM260)</f>
        <v>119.56018462794148</v>
      </c>
      <c r="BY260" s="14">
        <f t="shared" ref="BY260:BY323" si="117">10*LOG10(($D$29*($D$23/1000000))/2)+$J$12+10*LOG10(BM260)</f>
        <v>26.589759977240657</v>
      </c>
      <c r="BZ260" s="53">
        <f t="shared" ref="BZ260:BZ323" si="118">$BN$4-(BW260+BP260)+$BX$4+BY260</f>
        <v>56.744321958638224</v>
      </c>
    </row>
    <row r="261" spans="64:78">
      <c r="BL261" s="175">
        <f t="shared" si="114"/>
        <v>258</v>
      </c>
      <c r="BM261" s="180">
        <f t="shared" si="115"/>
        <v>978.75</v>
      </c>
      <c r="BO261" s="181">
        <f t="shared" ref="BO261:BO324" si="119">20*LOG10(BM261)</f>
        <v>59.813435501319994</v>
      </c>
      <c r="BP261" s="181">
        <f t="shared" ref="BP261:BP324" si="120">2*$J$6*(BM261/1000)</f>
        <v>34.308363904438231</v>
      </c>
      <c r="BQ261" s="182">
        <f t="shared" ref="BQ261:BQ324" si="121">$BN$4-(BO261+BP261)+$BN$8+$BN$10</f>
        <v>84.708662667585571</v>
      </c>
      <c r="BR261" s="183">
        <f t="shared" ref="BR261:BR324" si="122">POWER(10,(BQ261+$D$16)*0.05)*1000</f>
        <v>1.3756980458428979E-2</v>
      </c>
      <c r="BS261" s="187">
        <f t="shared" ref="BS261:BS324" si="123">POWER(10,0.05*(BO261+BP261))</f>
        <v>50826.472593228646</v>
      </c>
      <c r="BT261" s="183">
        <f t="shared" ref="BT261:BT324" si="124">BR261*BS261</f>
        <v>699.2187902359226</v>
      </c>
      <c r="BW261" s="53">
        <f t="shared" si="116"/>
        <v>119.62687100263999</v>
      </c>
      <c r="BY261" s="14">
        <f t="shared" si="117"/>
        <v>26.606431570915284</v>
      </c>
      <c r="BZ261" s="53">
        <f t="shared" si="118"/>
        <v>56.562857507482398</v>
      </c>
    </row>
    <row r="262" spans="64:78">
      <c r="BL262" s="175">
        <f t="shared" ref="BL262:BL325" si="125">BL261+1</f>
        <v>259</v>
      </c>
      <c r="BM262" s="180">
        <f t="shared" ref="BM262:BM325" si="126">BM261+$J$46</f>
        <v>982.5</v>
      </c>
      <c r="BO262" s="181">
        <f t="shared" si="119"/>
        <v>59.84665118094928</v>
      </c>
      <c r="BP262" s="181">
        <f t="shared" si="120"/>
        <v>34.439813574570181</v>
      </c>
      <c r="BQ262" s="182">
        <f t="shared" si="121"/>
        <v>84.543997317824335</v>
      </c>
      <c r="BR262" s="183">
        <f t="shared" si="122"/>
        <v>1.3498634956669338E-2</v>
      </c>
      <c r="BS262" s="187">
        <f t="shared" si="123"/>
        <v>51799.222105080771</v>
      </c>
      <c r="BT262" s="183">
        <f t="shared" si="124"/>
        <v>699.21879023592237</v>
      </c>
      <c r="BW262" s="53">
        <f t="shared" si="116"/>
        <v>119.69330236189856</v>
      </c>
      <c r="BY262" s="14">
        <f t="shared" si="117"/>
        <v>26.623039410729927</v>
      </c>
      <c r="BZ262" s="53">
        <f t="shared" si="118"/>
        <v>56.381584317906501</v>
      </c>
    </row>
    <row r="263" spans="64:78">
      <c r="BL263" s="175">
        <f t="shared" si="125"/>
        <v>260</v>
      </c>
      <c r="BM263" s="180">
        <f t="shared" si="126"/>
        <v>986.25</v>
      </c>
      <c r="BO263" s="181">
        <f t="shared" si="119"/>
        <v>59.879740324349541</v>
      </c>
      <c r="BP263" s="181">
        <f t="shared" si="120"/>
        <v>34.571263244702124</v>
      </c>
      <c r="BQ263" s="182">
        <f t="shared" si="121"/>
        <v>84.379458504292131</v>
      </c>
      <c r="BR263" s="183">
        <f t="shared" si="122"/>
        <v>1.3245333941444448E-2</v>
      </c>
      <c r="BS263" s="187">
        <f t="shared" si="123"/>
        <v>52789.819669859557</v>
      </c>
      <c r="BT263" s="183">
        <f t="shared" si="124"/>
        <v>699.21879023592248</v>
      </c>
      <c r="BW263" s="53">
        <f t="shared" si="116"/>
        <v>119.75948064869908</v>
      </c>
      <c r="BY263" s="14">
        <f t="shared" si="117"/>
        <v>26.639583982430057</v>
      </c>
      <c r="BZ263" s="53">
        <f t="shared" si="118"/>
        <v>56.200500932674174</v>
      </c>
    </row>
    <row r="264" spans="64:78">
      <c r="BL264" s="175">
        <f t="shared" si="125"/>
        <v>261</v>
      </c>
      <c r="BM264" s="180">
        <f t="shared" si="126"/>
        <v>990</v>
      </c>
      <c r="BO264" s="181">
        <f t="shared" si="119"/>
        <v>59.912703891951004</v>
      </c>
      <c r="BP264" s="181">
        <f t="shared" si="120"/>
        <v>34.702712914834073</v>
      </c>
      <c r="BQ264" s="182">
        <f t="shared" si="121"/>
        <v>84.215045266558718</v>
      </c>
      <c r="BR264" s="183">
        <f t="shared" si="122"/>
        <v>1.2996974005168778E-2</v>
      </c>
      <c r="BS264" s="187">
        <f t="shared" si="123"/>
        <v>53798.58342086777</v>
      </c>
      <c r="BT264" s="183">
        <f t="shared" si="124"/>
        <v>699.21879023592237</v>
      </c>
      <c r="BW264" s="53">
        <f t="shared" si="116"/>
        <v>119.82540778390201</v>
      </c>
      <c r="BY264" s="14">
        <f t="shared" si="117"/>
        <v>26.656065766230789</v>
      </c>
      <c r="BZ264" s="53">
        <f t="shared" si="118"/>
        <v>56.01960591114004</v>
      </c>
    </row>
    <row r="265" spans="64:78">
      <c r="BL265" s="175">
        <f t="shared" si="125"/>
        <v>262</v>
      </c>
      <c r="BM265" s="180">
        <f t="shared" si="126"/>
        <v>993.75</v>
      </c>
      <c r="BO265" s="181">
        <f t="shared" si="119"/>
        <v>59.945542833290531</v>
      </c>
      <c r="BP265" s="181">
        <f t="shared" si="120"/>
        <v>34.834162584966016</v>
      </c>
      <c r="BQ265" s="182">
        <f t="shared" si="121"/>
        <v>84.050756655087241</v>
      </c>
      <c r="BR265" s="183">
        <f t="shared" si="122"/>
        <v>1.2753453990682851E-2</v>
      </c>
      <c r="BS265" s="187">
        <f t="shared" si="123"/>
        <v>54825.837043576037</v>
      </c>
      <c r="BT265" s="183">
        <f t="shared" si="124"/>
        <v>699.21879023592248</v>
      </c>
      <c r="BW265" s="53">
        <f t="shared" si="116"/>
        <v>119.89108566658106</v>
      </c>
      <c r="BY265" s="14">
        <f t="shared" si="117"/>
        <v>26.672485236900553</v>
      </c>
      <c r="BZ265" s="53">
        <f t="shared" si="118"/>
        <v>55.83889782899881</v>
      </c>
    </row>
    <row r="266" spans="64:78">
      <c r="BL266" s="175">
        <f t="shared" si="125"/>
        <v>263</v>
      </c>
      <c r="BM266" s="180">
        <f t="shared" si="126"/>
        <v>997.5</v>
      </c>
      <c r="BO266" s="181">
        <f t="shared" si="119"/>
        <v>59.978258087175718</v>
      </c>
      <c r="BP266" s="181">
        <f t="shared" si="120"/>
        <v>34.965612255097966</v>
      </c>
      <c r="BQ266" s="182">
        <f t="shared" si="121"/>
        <v>83.886591731070112</v>
      </c>
      <c r="BR266" s="183">
        <f t="shared" si="122"/>
        <v>1.2514674938634118E-2</v>
      </c>
      <c r="BS266" s="187">
        <f t="shared" si="123"/>
        <v>55871.909870975593</v>
      </c>
      <c r="BT266" s="183">
        <f t="shared" si="124"/>
        <v>699.21879023592248</v>
      </c>
      <c r="BW266" s="53">
        <f t="shared" si="116"/>
        <v>119.95651617435144</v>
      </c>
      <c r="BY266" s="14">
        <f t="shared" si="117"/>
        <v>26.688842863843146</v>
      </c>
      <c r="BZ266" s="53">
        <f t="shared" si="118"/>
        <v>55.658375278039074</v>
      </c>
    </row>
    <row r="267" spans="64:78">
      <c r="BL267" s="175">
        <f t="shared" si="125"/>
        <v>264</v>
      </c>
      <c r="BM267" s="180">
        <f t="shared" si="126"/>
        <v>1001.25</v>
      </c>
      <c r="BO267" s="181">
        <f t="shared" si="119"/>
        <v>60.010850581845887</v>
      </c>
      <c r="BP267" s="181">
        <f t="shared" si="120"/>
        <v>35.097061925229909</v>
      </c>
      <c r="BQ267" s="182">
        <f t="shared" si="121"/>
        <v>83.722549566268</v>
      </c>
      <c r="BR267" s="183">
        <f t="shared" si="122"/>
        <v>1.2280540036194458E-2</v>
      </c>
      <c r="BS267" s="187">
        <f t="shared" si="123"/>
        <v>56937.136980549105</v>
      </c>
      <c r="BT267" s="183">
        <f t="shared" si="124"/>
        <v>699.21879023592135</v>
      </c>
      <c r="BW267" s="53">
        <f t="shared" si="116"/>
        <v>120.02170116369177</v>
      </c>
      <c r="BY267" s="14">
        <f t="shared" si="117"/>
        <v>26.70513911117823</v>
      </c>
      <c r="BZ267" s="53">
        <f t="shared" si="118"/>
        <v>55.478036865901856</v>
      </c>
    </row>
    <row r="268" spans="64:78">
      <c r="BL268" s="175">
        <f t="shared" si="125"/>
        <v>265</v>
      </c>
      <c r="BM268" s="180">
        <f t="shared" si="126"/>
        <v>1005</v>
      </c>
      <c r="BO268" s="181">
        <f t="shared" si="119"/>
        <v>60.043321235130158</v>
      </c>
      <c r="BP268" s="181">
        <f t="shared" si="120"/>
        <v>35.228511595361859</v>
      </c>
      <c r="BQ268" s="182">
        <f t="shared" si="121"/>
        <v>83.558629242851779</v>
      </c>
      <c r="BR268" s="183">
        <f t="shared" si="122"/>
        <v>1.2050954567077382E-2</v>
      </c>
      <c r="BS268" s="187">
        <f t="shared" si="123"/>
        <v>58021.859292885725</v>
      </c>
      <c r="BT268" s="183">
        <f t="shared" si="124"/>
        <v>699.21879023592248</v>
      </c>
      <c r="BW268" s="53">
        <f t="shared" si="116"/>
        <v>120.08664247026032</v>
      </c>
      <c r="BY268" s="14">
        <f t="shared" si="117"/>
        <v>26.721374437820366</v>
      </c>
      <c r="BZ268" s="53">
        <f t="shared" si="118"/>
        <v>55.29788121584351</v>
      </c>
    </row>
    <row r="269" spans="64:78">
      <c r="BL269" s="175">
        <f t="shared" si="125"/>
        <v>266</v>
      </c>
      <c r="BM269" s="180">
        <f t="shared" si="126"/>
        <v>1008.75</v>
      </c>
      <c r="BO269" s="181">
        <f t="shared" si="119"/>
        <v>60.075670954602536</v>
      </c>
      <c r="BP269" s="181">
        <f t="shared" si="120"/>
        <v>35.359961265493808</v>
      </c>
      <c r="BQ269" s="182">
        <f t="shared" si="121"/>
        <v>83.394829853247444</v>
      </c>
      <c r="BR269" s="183">
        <f t="shared" si="122"/>
        <v>1.1825825862818709E-2</v>
      </c>
      <c r="BS269" s="187">
        <f t="shared" si="123"/>
        <v>59126.423671966906</v>
      </c>
      <c r="BT269" s="183">
        <f t="shared" si="124"/>
        <v>699.2187902359226</v>
      </c>
      <c r="BW269" s="53">
        <f t="shared" si="116"/>
        <v>120.15134190920507</v>
      </c>
      <c r="BY269" s="14">
        <f t="shared" si="117"/>
        <v>26.737549297556555</v>
      </c>
      <c r="BZ269" s="53">
        <f t="shared" si="118"/>
        <v>55.117906966503014</v>
      </c>
    </row>
    <row r="270" spans="64:78">
      <c r="BL270" s="175">
        <f t="shared" si="125"/>
        <v>267</v>
      </c>
      <c r="BM270" s="180">
        <f t="shared" si="126"/>
        <v>1012.5</v>
      </c>
      <c r="BO270" s="181">
        <f t="shared" si="119"/>
        <v>60.107900637734126</v>
      </c>
      <c r="BP270" s="181">
        <f t="shared" si="120"/>
        <v>35.491410935625751</v>
      </c>
      <c r="BQ270" s="182">
        <f t="shared" si="121"/>
        <v>83.231150499983926</v>
      </c>
      <c r="BR270" s="183">
        <f t="shared" si="122"/>
        <v>1.1605063255285913E-2</v>
      </c>
      <c r="BS270" s="187">
        <f t="shared" si="123"/>
        <v>60251.18302715326</v>
      </c>
      <c r="BT270" s="183">
        <f t="shared" si="124"/>
        <v>699.2187902359226</v>
      </c>
      <c r="BW270" s="53">
        <f t="shared" si="116"/>
        <v>120.21580127546825</v>
      </c>
      <c r="BY270" s="14">
        <f t="shared" si="117"/>
        <v>26.75366413912235</v>
      </c>
      <c r="BZ270" s="53">
        <f t="shared" si="118"/>
        <v>54.938112771673673</v>
      </c>
    </row>
    <row r="271" spans="64:78">
      <c r="BL271" s="175">
        <f t="shared" si="125"/>
        <v>268</v>
      </c>
      <c r="BM271" s="180">
        <f t="shared" si="126"/>
        <v>1016.25</v>
      </c>
      <c r="BO271" s="181">
        <f t="shared" si="119"/>
        <v>60.140011172042492</v>
      </c>
      <c r="BP271" s="181">
        <f t="shared" si="120"/>
        <v>35.622860605757708</v>
      </c>
      <c r="BQ271" s="182">
        <f t="shared" si="121"/>
        <v>83.067590295543596</v>
      </c>
      <c r="BR271" s="183">
        <f t="shared" si="122"/>
        <v>1.1388578030381834E-2</v>
      </c>
      <c r="BS271" s="187">
        <f t="shared" si="123"/>
        <v>61396.496416899827</v>
      </c>
      <c r="BT271" s="183">
        <f t="shared" si="124"/>
        <v>699.21879023592237</v>
      </c>
      <c r="BW271" s="53">
        <f t="shared" si="116"/>
        <v>120.28002234408498</v>
      </c>
      <c r="BY271" s="14">
        <f t="shared" si="117"/>
        <v>26.769719406276533</v>
      </c>
      <c r="BZ271" s="53">
        <f t="shared" si="118"/>
        <v>54.758497300079156</v>
      </c>
    </row>
    <row r="272" spans="64:78">
      <c r="BL272" s="175">
        <f t="shared" si="125"/>
        <v>269</v>
      </c>
      <c r="BM272" s="180">
        <f t="shared" si="126"/>
        <v>1020</v>
      </c>
      <c r="BO272" s="181">
        <f t="shared" si="119"/>
        <v>60.172003435238352</v>
      </c>
      <c r="BP272" s="181">
        <f t="shared" si="120"/>
        <v>35.754310275889651</v>
      </c>
      <c r="BQ272" s="182">
        <f t="shared" si="121"/>
        <v>82.904148362215793</v>
      </c>
      <c r="BR272" s="183">
        <f t="shared" si="122"/>
        <v>1.1176283382910698E-2</v>
      </c>
      <c r="BS272" s="187">
        <f t="shared" si="123"/>
        <v>62562.72915422645</v>
      </c>
      <c r="BT272" s="183">
        <f t="shared" si="124"/>
        <v>699.21879023592373</v>
      </c>
      <c r="BW272" s="53">
        <f t="shared" si="116"/>
        <v>120.3440068704767</v>
      </c>
      <c r="BY272" s="14">
        <f t="shared" si="117"/>
        <v>26.785715537874463</v>
      </c>
      <c r="BZ272" s="53">
        <f t="shared" si="118"/>
        <v>54.579059235153437</v>
      </c>
    </row>
    <row r="273" spans="64:78">
      <c r="BL273" s="175">
        <f t="shared" si="125"/>
        <v>270</v>
      </c>
      <c r="BM273" s="180">
        <f t="shared" si="126"/>
        <v>1023.75</v>
      </c>
      <c r="BO273" s="181">
        <f t="shared" si="119"/>
        <v>60.203878295369499</v>
      </c>
      <c r="BP273" s="181">
        <f t="shared" si="120"/>
        <v>35.885759946021594</v>
      </c>
      <c r="BQ273" s="182">
        <f t="shared" si="121"/>
        <v>82.740823831952696</v>
      </c>
      <c r="BR273" s="183">
        <f t="shared" si="122"/>
        <v>1.0968094372573255E-2</v>
      </c>
      <c r="BS273" s="187">
        <f t="shared" si="123"/>
        <v>63750.252913977878</v>
      </c>
      <c r="BT273" s="183">
        <f t="shared" si="124"/>
        <v>699.21879023592248</v>
      </c>
      <c r="BW273" s="53">
        <f t="shared" si="116"/>
        <v>120.407756590739</v>
      </c>
      <c r="BY273" s="14">
        <f t="shared" si="117"/>
        <v>26.801652967940036</v>
      </c>
      <c r="BZ273" s="53">
        <f t="shared" si="118"/>
        <v>54.39979727482477</v>
      </c>
    </row>
    <row r="274" spans="64:78">
      <c r="BL274" s="175">
        <f t="shared" si="125"/>
        <v>271</v>
      </c>
      <c r="BM274" s="180">
        <f t="shared" si="126"/>
        <v>1027.5</v>
      </c>
      <c r="BO274" s="181">
        <f t="shared" si="119"/>
        <v>60.235636610962132</v>
      </c>
      <c r="BP274" s="181">
        <f t="shared" si="120"/>
        <v>36.017209616153544</v>
      </c>
      <c r="BQ274" s="182">
        <f t="shared" si="121"/>
        <v>82.577615846228127</v>
      </c>
      <c r="BR274" s="183">
        <f t="shared" si="122"/>
        <v>1.0763927881061433E-2</v>
      </c>
      <c r="BS274" s="187">
        <f t="shared" si="123"/>
        <v>64959.445841899644</v>
      </c>
      <c r="BT274" s="183">
        <f t="shared" si="124"/>
        <v>699.21879023592373</v>
      </c>
      <c r="BW274" s="53">
        <f t="shared" si="116"/>
        <v>120.47127322192426</v>
      </c>
      <c r="BY274" s="14">
        <f t="shared" si="117"/>
        <v>26.817532125736353</v>
      </c>
      <c r="BZ274" s="53">
        <f t="shared" si="118"/>
        <v>54.220710131303875</v>
      </c>
    </row>
    <row r="275" spans="64:78">
      <c r="BL275" s="175">
        <f t="shared" si="125"/>
        <v>272</v>
      </c>
      <c r="BM275" s="180">
        <f t="shared" si="126"/>
        <v>1031.25</v>
      </c>
      <c r="BO275" s="181">
        <f t="shared" si="119"/>
        <v>60.267279231159634</v>
      </c>
      <c r="BP275" s="181">
        <f t="shared" si="120"/>
        <v>36.148659286285493</v>
      </c>
      <c r="BQ275" s="182">
        <f t="shared" si="121"/>
        <v>82.414523555898668</v>
      </c>
      <c r="BR275" s="183">
        <f t="shared" si="122"/>
        <v>1.0563702570221578E-2</v>
      </c>
      <c r="BS275" s="187">
        <f t="shared" si="123"/>
        <v>66190.692665559982</v>
      </c>
      <c r="BT275" s="183">
        <f t="shared" si="124"/>
        <v>699.21879023592248</v>
      </c>
      <c r="BW275" s="53">
        <f t="shared" si="116"/>
        <v>120.53455846231927</v>
      </c>
      <c r="BY275" s="14">
        <f t="shared" si="117"/>
        <v>26.833353435835104</v>
      </c>
      <c r="BZ275" s="53">
        <f t="shared" si="118"/>
        <v>54.041796530875672</v>
      </c>
    </row>
    <row r="276" spans="64:78">
      <c r="BL276" s="175">
        <f t="shared" si="125"/>
        <v>273</v>
      </c>
      <c r="BM276" s="180">
        <f t="shared" si="126"/>
        <v>1035</v>
      </c>
      <c r="BO276" s="181">
        <f t="shared" si="119"/>
        <v>60.298806995858733</v>
      </c>
      <c r="BP276" s="181">
        <f t="shared" si="120"/>
        <v>36.280108956417436</v>
      </c>
      <c r="BQ276" s="182">
        <f t="shared" si="121"/>
        <v>82.251546121067634</v>
      </c>
      <c r="BR276" s="183">
        <f t="shared" si="122"/>
        <v>1.0367338841257893E-2</v>
      </c>
      <c r="BS276" s="187">
        <f t="shared" si="123"/>
        <v>67444.38480715132</v>
      </c>
      <c r="BT276" s="183">
        <f t="shared" si="124"/>
        <v>699.21879023592362</v>
      </c>
      <c r="BW276" s="53">
        <f t="shared" si="116"/>
        <v>120.59761399171747</v>
      </c>
      <c r="BY276" s="14">
        <f t="shared" si="117"/>
        <v>26.849117318184653</v>
      </c>
      <c r="BZ276" s="53">
        <f t="shared" si="118"/>
        <v>53.863055213695077</v>
      </c>
    </row>
    <row r="277" spans="64:78">
      <c r="BL277" s="175">
        <f t="shared" si="125"/>
        <v>274</v>
      </c>
      <c r="BM277" s="180">
        <f t="shared" si="126"/>
        <v>1038.75</v>
      </c>
      <c r="BO277" s="181">
        <f t="shared" si="119"/>
        <v>60.330220735843348</v>
      </c>
      <c r="BP277" s="181">
        <f t="shared" si="120"/>
        <v>36.411558626549386</v>
      </c>
      <c r="BQ277" s="182">
        <f t="shared" si="121"/>
        <v>82.088682710951062</v>
      </c>
      <c r="BR277" s="183">
        <f t="shared" si="122"/>
        <v>1.0174758794946892E-2</v>
      </c>
      <c r="BS277" s="187">
        <f t="shared" si="123"/>
        <v>68720.920498201682</v>
      </c>
      <c r="BT277" s="183">
        <f t="shared" si="124"/>
        <v>699.21879023592373</v>
      </c>
      <c r="BW277" s="53">
        <f t="shared" si="116"/>
        <v>120.6604414716867</v>
      </c>
      <c r="BY277" s="14">
        <f t="shared" si="117"/>
        <v>26.864824188176961</v>
      </c>
      <c r="BZ277" s="53">
        <f t="shared" si="118"/>
        <v>53.684484933586198</v>
      </c>
    </row>
    <row r="278" spans="64:78">
      <c r="BL278" s="175">
        <f t="shared" si="125"/>
        <v>275</v>
      </c>
      <c r="BM278" s="180">
        <f t="shared" si="126"/>
        <v>1042.5</v>
      </c>
      <c r="BO278" s="181">
        <f t="shared" si="119"/>
        <v>60.361521272915901</v>
      </c>
      <c r="BP278" s="181">
        <f t="shared" si="120"/>
        <v>36.543008296681329</v>
      </c>
      <c r="BQ278" s="182">
        <f t="shared" si="121"/>
        <v>81.925932503746566</v>
      </c>
      <c r="BR278" s="183">
        <f t="shared" si="122"/>
        <v>9.9858861928367772E-3</v>
      </c>
      <c r="BS278" s="187">
        <f t="shared" si="123"/>
        <v>70020.704896226205</v>
      </c>
      <c r="BT278" s="183">
        <f t="shared" si="124"/>
        <v>699.21879023592373</v>
      </c>
      <c r="BW278" s="53">
        <f t="shared" si="116"/>
        <v>120.7230425458318</v>
      </c>
      <c r="BY278" s="14">
        <f t="shared" si="117"/>
        <v>26.880474456713237</v>
      </c>
      <c r="BZ278" s="53">
        <f t="shared" si="118"/>
        <v>53.506084457845439</v>
      </c>
    </row>
    <row r="279" spans="64:78">
      <c r="BL279" s="175">
        <f t="shared" si="125"/>
        <v>276</v>
      </c>
      <c r="BM279" s="180">
        <f t="shared" si="126"/>
        <v>1046.25</v>
      </c>
      <c r="BO279" s="181">
        <f t="shared" si="119"/>
        <v>60.392709420026321</v>
      </c>
      <c r="BP279" s="181">
        <f t="shared" si="120"/>
        <v>36.674457966813279</v>
      </c>
      <c r="BQ279" s="182">
        <f t="shared" si="121"/>
        <v>81.763294686504196</v>
      </c>
      <c r="BR279" s="183">
        <f t="shared" si="122"/>
        <v>9.8006464194038585E-3</v>
      </c>
      <c r="BS279" s="187">
        <f t="shared" si="123"/>
        <v>71344.15020335502</v>
      </c>
      <c r="BT279" s="183">
        <f t="shared" si="124"/>
        <v>699.21879023592248</v>
      </c>
      <c r="BW279" s="53">
        <f t="shared" si="116"/>
        <v>120.78541884005264</v>
      </c>
      <c r="BY279" s="14">
        <f t="shared" si="117"/>
        <v>26.896068530268447</v>
      </c>
      <c r="BZ279" s="53">
        <f t="shared" si="118"/>
        <v>53.32785256704787</v>
      </c>
    </row>
    <row r="280" spans="64:78">
      <c r="BL280" s="175">
        <f t="shared" si="125"/>
        <v>277</v>
      </c>
      <c r="BM280" s="180">
        <f t="shared" si="126"/>
        <v>1050</v>
      </c>
      <c r="BO280" s="181">
        <f t="shared" si="119"/>
        <v>60.423785981398765</v>
      </c>
      <c r="BP280" s="181">
        <f t="shared" si="120"/>
        <v>36.805907636945228</v>
      </c>
      <c r="BQ280" s="182">
        <f t="shared" si="121"/>
        <v>81.600768454999809</v>
      </c>
      <c r="BR280" s="183">
        <f t="shared" si="122"/>
        <v>9.6189664451412239E-3</v>
      </c>
      <c r="BS280" s="187">
        <f t="shared" si="123"/>
        <v>72691.675786967215</v>
      </c>
      <c r="BT280" s="183">
        <f t="shared" si="124"/>
        <v>699.21879023592237</v>
      </c>
      <c r="BW280" s="53">
        <f t="shared" si="116"/>
        <v>120.84757196279753</v>
      </c>
      <c r="BY280" s="14">
        <f t="shared" si="117"/>
        <v>26.91160681095467</v>
      </c>
      <c r="BZ280" s="53">
        <f t="shared" si="118"/>
        <v>53.14978805485724</v>
      </c>
    </row>
    <row r="281" spans="64:78">
      <c r="BL281" s="175">
        <f t="shared" si="125"/>
        <v>278</v>
      </c>
      <c r="BM281" s="180">
        <f t="shared" si="126"/>
        <v>1053.75</v>
      </c>
      <c r="BO281" s="181">
        <f t="shared" si="119"/>
        <v>60.454751752655973</v>
      </c>
      <c r="BP281" s="181">
        <f t="shared" si="120"/>
        <v>36.937357307077171</v>
      </c>
      <c r="BQ281" s="182">
        <f t="shared" si="121"/>
        <v>81.438353013610651</v>
      </c>
      <c r="BR281" s="183">
        <f t="shared" si="122"/>
        <v>9.4407747905541246E-3</v>
      </c>
      <c r="BS281" s="187">
        <f t="shared" si="123"/>
        <v>74063.708302365209</v>
      </c>
      <c r="BT281" s="183">
        <f t="shared" si="124"/>
        <v>699.21879023592373</v>
      </c>
      <c r="BW281" s="53">
        <f t="shared" si="116"/>
        <v>120.90950350531195</v>
      </c>
      <c r="BY281" s="14">
        <f t="shared" si="117"/>
        <v>26.927089696583273</v>
      </c>
      <c r="BZ281" s="53">
        <f t="shared" si="118"/>
        <v>52.971889727839489</v>
      </c>
    </row>
    <row r="282" spans="64:78">
      <c r="BL282" s="175">
        <f t="shared" si="125"/>
        <v>279</v>
      </c>
      <c r="BM282" s="180">
        <f t="shared" si="126"/>
        <v>1057.5</v>
      </c>
      <c r="BO282" s="181">
        <f t="shared" si="119"/>
        <v>60.485607520941599</v>
      </c>
      <c r="BP282" s="181">
        <f t="shared" si="120"/>
        <v>37.068806977209128</v>
      </c>
      <c r="BQ282" s="182">
        <f t="shared" si="121"/>
        <v>81.276047575193076</v>
      </c>
      <c r="BR282" s="183">
        <f t="shared" si="122"/>
        <v>9.2660014910377429E-3</v>
      </c>
      <c r="BS282" s="187">
        <f t="shared" si="123"/>
        <v>75460.681817526332</v>
      </c>
      <c r="BT282" s="183">
        <f t="shared" si="124"/>
        <v>699.21879023592373</v>
      </c>
      <c r="BW282" s="53">
        <f t="shared" si="116"/>
        <v>120.9712150418832</v>
      </c>
      <c r="BY282" s="14">
        <f t="shared" si="117"/>
        <v>26.942517580726086</v>
      </c>
      <c r="BZ282" s="53">
        <f t="shared" si="118"/>
        <v>52.794156405279082</v>
      </c>
    </row>
    <row r="283" spans="64:78">
      <c r="BL283" s="175">
        <f t="shared" si="125"/>
        <v>280</v>
      </c>
      <c r="BM283" s="180">
        <f t="shared" si="126"/>
        <v>1061.25</v>
      </c>
      <c r="BO283" s="181">
        <f t="shared" si="119"/>
        <v>60.516354065040183</v>
      </c>
      <c r="BP283" s="181">
        <f t="shared" si="120"/>
        <v>37.200256647341071</v>
      </c>
      <c r="BQ283" s="182">
        <f t="shared" si="121"/>
        <v>81.113851360962542</v>
      </c>
      <c r="BR283" s="183">
        <f t="shared" si="122"/>
        <v>9.0945780626142652E-3</v>
      </c>
      <c r="BS283" s="187">
        <f t="shared" si="123"/>
        <v>76883.037939962422</v>
      </c>
      <c r="BT283" s="183">
        <f t="shared" si="124"/>
        <v>699.21879023592248</v>
      </c>
      <c r="BW283" s="53">
        <f t="shared" si="116"/>
        <v>121.03270813008037</v>
      </c>
      <c r="BY283" s="14">
        <f t="shared" si="117"/>
        <v>26.957890852775378</v>
      </c>
      <c r="BZ283" s="53">
        <f t="shared" si="118"/>
        <v>52.616586918999261</v>
      </c>
    </row>
    <row r="284" spans="64:78">
      <c r="BL284" s="175">
        <f t="shared" si="125"/>
        <v>281</v>
      </c>
      <c r="BM284" s="180">
        <f t="shared" si="126"/>
        <v>1065</v>
      </c>
      <c r="BO284" s="181">
        <f t="shared" si="119"/>
        <v>60.546992155495126</v>
      </c>
      <c r="BP284" s="181">
        <f t="shared" si="120"/>
        <v>37.331706317473014</v>
      </c>
      <c r="BQ284" s="182">
        <f t="shared" si="121"/>
        <v>80.951763600375656</v>
      </c>
      <c r="BR284" s="183">
        <f t="shared" si="122"/>
        <v>8.9264374685058216E-3</v>
      </c>
      <c r="BS284" s="187">
        <f t="shared" si="123"/>
        <v>78331.225945725833</v>
      </c>
      <c r="BT284" s="183">
        <f t="shared" si="124"/>
        <v>699.21879023592248</v>
      </c>
      <c r="BW284" s="53">
        <f t="shared" si="116"/>
        <v>121.09398431099025</v>
      </c>
      <c r="BY284" s="14">
        <f t="shared" si="117"/>
        <v>26.97320989800285</v>
      </c>
      <c r="BZ284" s="53">
        <f t="shared" si="118"/>
        <v>52.439180113184918</v>
      </c>
    </row>
    <row r="285" spans="64:78">
      <c r="BL285" s="175">
        <f t="shared" si="125"/>
        <v>282</v>
      </c>
      <c r="BM285" s="180">
        <f t="shared" si="126"/>
        <v>1068.75</v>
      </c>
      <c r="BO285" s="181">
        <f t="shared" si="119"/>
        <v>60.577522554724581</v>
      </c>
      <c r="BP285" s="181">
        <f t="shared" si="120"/>
        <v>37.463155987604964</v>
      </c>
      <c r="BQ285" s="182">
        <f t="shared" si="121"/>
        <v>80.789783531014251</v>
      </c>
      <c r="BR285" s="183">
        <f t="shared" si="122"/>
        <v>8.7615140865212899E-3</v>
      </c>
      <c r="BS285" s="187">
        <f t="shared" si="123"/>
        <v>79805.702910596287</v>
      </c>
      <c r="BT285" s="183">
        <f t="shared" si="124"/>
        <v>699.21879023592248</v>
      </c>
      <c r="BW285" s="53">
        <f t="shared" si="116"/>
        <v>121.15504510944916</v>
      </c>
      <c r="BY285" s="14">
        <f t="shared" si="117"/>
        <v>26.988475097617577</v>
      </c>
      <c r="BZ285" s="53">
        <f t="shared" si="118"/>
        <v>52.261934844208795</v>
      </c>
    </row>
    <row r="286" spans="64:78">
      <c r="BL286" s="175">
        <f t="shared" si="125"/>
        <v>283</v>
      </c>
      <c r="BM286" s="180">
        <f t="shared" si="126"/>
        <v>1072.5</v>
      </c>
      <c r="BO286" s="181">
        <f t="shared" si="119"/>
        <v>60.607946017135241</v>
      </c>
      <c r="BP286" s="181">
        <f t="shared" si="120"/>
        <v>37.594605657736913</v>
      </c>
      <c r="BQ286" s="182">
        <f t="shared" si="121"/>
        <v>80.627910398471641</v>
      </c>
      <c r="BR286" s="183">
        <f t="shared" si="122"/>
        <v>8.5997436772355142E-3</v>
      </c>
      <c r="BS286" s="187">
        <f t="shared" si="123"/>
        <v>81306.93384348556</v>
      </c>
      <c r="BT286" s="183">
        <f t="shared" si="124"/>
        <v>699.21879023592123</v>
      </c>
      <c r="BW286" s="53">
        <f t="shared" si="116"/>
        <v>121.21589203427048</v>
      </c>
      <c r="BY286" s="14">
        <f t="shared" si="117"/>
        <v>27.003686828822907</v>
      </c>
      <c r="BZ286" s="53">
        <f t="shared" si="118"/>
        <v>52.084849980460831</v>
      </c>
    </row>
    <row r="287" spans="64:78">
      <c r="BL287" s="175">
        <f t="shared" si="125"/>
        <v>284</v>
      </c>
      <c r="BM287" s="180">
        <f t="shared" si="126"/>
        <v>1076.25</v>
      </c>
      <c r="BO287" s="181">
        <f t="shared" si="119"/>
        <v>60.638263289234224</v>
      </c>
      <c r="BP287" s="181">
        <f t="shared" si="120"/>
        <v>37.726055327868856</v>
      </c>
      <c r="BQ287" s="182">
        <f t="shared" si="121"/>
        <v>80.466143456240715</v>
      </c>
      <c r="BR287" s="183">
        <f t="shared" si="122"/>
        <v>8.4410633529399936E-3</v>
      </c>
      <c r="BS287" s="187">
        <f t="shared" si="123"/>
        <v>82835.391822096455</v>
      </c>
      <c r="BT287" s="183">
        <f t="shared" si="124"/>
        <v>699.21879023592362</v>
      </c>
      <c r="BW287" s="53">
        <f t="shared" si="116"/>
        <v>121.27652657846845</v>
      </c>
      <c r="BY287" s="14">
        <f t="shared" si="117"/>
        <v>27.018845464872399</v>
      </c>
      <c r="BZ287" s="53">
        <f t="shared" si="118"/>
        <v>51.907924402180427</v>
      </c>
    </row>
    <row r="288" spans="64:78">
      <c r="BL288" s="175">
        <f t="shared" si="125"/>
        <v>285</v>
      </c>
      <c r="BM288" s="180">
        <f t="shared" si="126"/>
        <v>1080</v>
      </c>
      <c r="BO288" s="181">
        <f t="shared" si="119"/>
        <v>60.668475109738999</v>
      </c>
      <c r="BP288" s="181">
        <f t="shared" si="120"/>
        <v>37.857504998000806</v>
      </c>
      <c r="BQ288" s="182">
        <f t="shared" si="121"/>
        <v>80.304481965603998</v>
      </c>
      <c r="BR288" s="183">
        <f t="shared" si="122"/>
        <v>8.2854115473441504E-3</v>
      </c>
      <c r="BS288" s="187">
        <f t="shared" si="123"/>
        <v>84391.558130875826</v>
      </c>
      <c r="BT288" s="183">
        <f t="shared" si="124"/>
        <v>699.21879023592373</v>
      </c>
      <c r="BW288" s="53">
        <f t="shared" si="116"/>
        <v>121.336950219478</v>
      </c>
      <c r="BY288" s="14">
        <f t="shared" si="117"/>
        <v>27.033951375124786</v>
      </c>
      <c r="BZ288" s="53">
        <f t="shared" si="118"/>
        <v>51.731157001291308</v>
      </c>
    </row>
    <row r="289" spans="64:78">
      <c r="BL289" s="175">
        <f t="shared" si="125"/>
        <v>286</v>
      </c>
      <c r="BM289" s="180">
        <f t="shared" si="126"/>
        <v>1083.75</v>
      </c>
      <c r="BO289" s="181">
        <f t="shared" si="119"/>
        <v>60.698582209685334</v>
      </c>
      <c r="BP289" s="181">
        <f t="shared" si="120"/>
        <v>37.988954668132749</v>
      </c>
      <c r="BQ289" s="182">
        <f t="shared" si="121"/>
        <v>80.14292519552572</v>
      </c>
      <c r="BR289" s="183">
        <f t="shared" si="122"/>
        <v>8.1327279860084877E-3</v>
      </c>
      <c r="BS289" s="187">
        <f t="shared" si="123"/>
        <v>85975.922401297052</v>
      </c>
      <c r="BT289" s="183">
        <f t="shared" si="124"/>
        <v>699.2187902359226</v>
      </c>
      <c r="BW289" s="53">
        <f t="shared" si="116"/>
        <v>121.39716441937067</v>
      </c>
      <c r="BY289" s="14">
        <f t="shared" si="117"/>
        <v>27.049004925097954</v>
      </c>
      <c r="BZ289" s="53">
        <f t="shared" si="118"/>
        <v>51.554546681239877</v>
      </c>
    </row>
    <row r="290" spans="64:78">
      <c r="BL290" s="175">
        <f t="shared" si="125"/>
        <v>287</v>
      </c>
      <c r="BM290" s="180">
        <f t="shared" si="126"/>
        <v>1087.5</v>
      </c>
      <c r="BO290" s="181">
        <f t="shared" si="119"/>
        <v>60.728585312533497</v>
      </c>
      <c r="BP290" s="181">
        <f t="shared" si="120"/>
        <v>38.120404338264699</v>
      </c>
      <c r="BQ290" s="182">
        <f t="shared" si="121"/>
        <v>79.981472422545608</v>
      </c>
      <c r="BR290" s="183">
        <f t="shared" si="122"/>
        <v>7.9829536574894285E-3</v>
      </c>
      <c r="BS290" s="187">
        <f t="shared" si="123"/>
        <v>87588.982754513723</v>
      </c>
      <c r="BT290" s="183">
        <f t="shared" si="124"/>
        <v>699.21879023592385</v>
      </c>
      <c r="BW290" s="53">
        <f t="shared" si="116"/>
        <v>121.45717062506699</v>
      </c>
      <c r="BY290" s="14">
        <f t="shared" si="117"/>
        <v>27.064006476522035</v>
      </c>
      <c r="BZ290" s="53">
        <f t="shared" si="118"/>
        <v>51.378092356835666</v>
      </c>
    </row>
    <row r="291" spans="64:78">
      <c r="BL291" s="175">
        <f t="shared" si="125"/>
        <v>288</v>
      </c>
      <c r="BM291" s="180">
        <f t="shared" si="126"/>
        <v>1091.25</v>
      </c>
      <c r="BO291" s="181">
        <f t="shared" si="119"/>
        <v>60.758485134272526</v>
      </c>
      <c r="BP291" s="181">
        <f t="shared" si="120"/>
        <v>38.251854008396649</v>
      </c>
      <c r="BQ291" s="182">
        <f t="shared" si="121"/>
        <v>79.820122930674614</v>
      </c>
      <c r="BR291" s="183">
        <f t="shared" si="122"/>
        <v>7.8360307851776476E-3</v>
      </c>
      <c r="BS291" s="187">
        <f t="shared" si="123"/>
        <v>89231.24594642219</v>
      </c>
      <c r="BT291" s="183">
        <f t="shared" si="124"/>
        <v>699.21879023592248</v>
      </c>
      <c r="BW291" s="53">
        <f t="shared" si="116"/>
        <v>121.51697026854505</v>
      </c>
      <c r="BY291" s="14">
        <f t="shared" si="117"/>
        <v>27.07895638739155</v>
      </c>
      <c r="BZ291" s="53">
        <f t="shared" si="118"/>
        <v>51.201792954095176</v>
      </c>
    </row>
    <row r="292" spans="64:78">
      <c r="BL292" s="175">
        <f t="shared" si="125"/>
        <v>289</v>
      </c>
      <c r="BM292" s="180">
        <f t="shared" si="126"/>
        <v>1095</v>
      </c>
      <c r="BO292" s="181">
        <f t="shared" si="119"/>
        <v>60.788282383522741</v>
      </c>
      <c r="BP292" s="181">
        <f t="shared" si="120"/>
        <v>38.383303678528591</v>
      </c>
      <c r="BQ292" s="182">
        <f t="shared" si="121"/>
        <v>79.658876011292463</v>
      </c>
      <c r="BR292" s="183">
        <f t="shared" si="122"/>
        <v>7.6919027998120929E-3</v>
      </c>
      <c r="BS292" s="187">
        <f t="shared" si="123"/>
        <v>90903.227515174163</v>
      </c>
      <c r="BT292" s="183">
        <f t="shared" si="124"/>
        <v>699.21879023592385</v>
      </c>
      <c r="BW292" s="53">
        <f t="shared" si="116"/>
        <v>121.57656476704548</v>
      </c>
      <c r="BY292" s="14">
        <f t="shared" si="117"/>
        <v>27.093855012016657</v>
      </c>
      <c r="BZ292" s="53">
        <f t="shared" si="118"/>
        <v>51.025647410087913</v>
      </c>
    </row>
    <row r="293" spans="64:78">
      <c r="BL293" s="175">
        <f t="shared" si="125"/>
        <v>290</v>
      </c>
      <c r="BM293" s="180">
        <f t="shared" si="126"/>
        <v>1098.75</v>
      </c>
      <c r="BO293" s="181">
        <f t="shared" si="119"/>
        <v>60.81797776163657</v>
      </c>
      <c r="BP293" s="181">
        <f t="shared" si="120"/>
        <v>38.514753348660534</v>
      </c>
      <c r="BQ293" s="182">
        <f t="shared" si="121"/>
        <v>79.497730963046692</v>
      </c>
      <c r="BR293" s="183">
        <f t="shared" si="122"/>
        <v>7.5505143126512759E-3</v>
      </c>
      <c r="BS293" s="187">
        <f t="shared" si="123"/>
        <v>92605.451931181073</v>
      </c>
      <c r="BT293" s="183">
        <f t="shared" si="124"/>
        <v>699.21879023592237</v>
      </c>
      <c r="BW293" s="53">
        <f t="shared" si="116"/>
        <v>121.63595552327314</v>
      </c>
      <c r="BY293" s="14">
        <f t="shared" si="117"/>
        <v>27.108702701073572</v>
      </c>
      <c r="BZ293" s="53">
        <f t="shared" si="118"/>
        <v>50.849654672785235</v>
      </c>
    </row>
    <row r="294" spans="64:78">
      <c r="BL294" s="175">
        <f t="shared" si="125"/>
        <v>291</v>
      </c>
      <c r="BM294" s="180">
        <f t="shared" si="126"/>
        <v>1102.5</v>
      </c>
      <c r="BO294" s="181">
        <f t="shared" si="119"/>
        <v>60.847571962797524</v>
      </c>
      <c r="BP294" s="181">
        <f t="shared" si="120"/>
        <v>38.646203018792491</v>
      </c>
      <c r="BQ294" s="182">
        <f t="shared" si="121"/>
        <v>79.336687091753788</v>
      </c>
      <c r="BR294" s="183">
        <f t="shared" si="122"/>
        <v>7.4118110892857922E-3</v>
      </c>
      <c r="BS294" s="187">
        <f t="shared" si="123"/>
        <v>94338.452749650562</v>
      </c>
      <c r="BT294" s="183">
        <f t="shared" si="124"/>
        <v>699.21879023592373</v>
      </c>
      <c r="BW294" s="53">
        <f t="shared" si="116"/>
        <v>121.69514392559505</v>
      </c>
      <c r="BY294" s="14">
        <f t="shared" si="117"/>
        <v>27.123499801654049</v>
      </c>
      <c r="BZ294" s="53">
        <f t="shared" si="118"/>
        <v>50.673813700911836</v>
      </c>
    </row>
    <row r="295" spans="64:78">
      <c r="BL295" s="175">
        <f t="shared" si="125"/>
        <v>292</v>
      </c>
      <c r="BM295" s="180">
        <f t="shared" si="126"/>
        <v>1106.25</v>
      </c>
      <c r="BO295" s="181">
        <f t="shared" si="119"/>
        <v>60.877065674117638</v>
      </c>
      <c r="BP295" s="181">
        <f t="shared" si="120"/>
        <v>38.777652688924434</v>
      </c>
      <c r="BQ295" s="182">
        <f t="shared" si="121"/>
        <v>79.175743710301731</v>
      </c>
      <c r="BR295" s="183">
        <f t="shared" si="122"/>
        <v>7.2757400240745125E-3</v>
      </c>
      <c r="BS295" s="187">
        <f t="shared" si="123"/>
        <v>96102.772765697373</v>
      </c>
      <c r="BT295" s="183">
        <f t="shared" si="124"/>
        <v>699.21879023592237</v>
      </c>
      <c r="BW295" s="53">
        <f t="shared" si="116"/>
        <v>121.75413134823528</v>
      </c>
      <c r="BY295" s="14">
        <f t="shared" si="117"/>
        <v>27.138246657314106</v>
      </c>
      <c r="BZ295" s="53">
        <f t="shared" si="118"/>
        <v>50.498123463799736</v>
      </c>
    </row>
    <row r="296" spans="64:78">
      <c r="BL296" s="175">
        <f t="shared" si="125"/>
        <v>293</v>
      </c>
      <c r="BM296" s="180">
        <f t="shared" si="126"/>
        <v>1110</v>
      </c>
      <c r="BO296" s="181">
        <f t="shared" si="119"/>
        <v>60.906459575733152</v>
      </c>
      <c r="BP296" s="181">
        <f t="shared" si="120"/>
        <v>38.909102359056384</v>
      </c>
      <c r="BQ296" s="182">
        <f t="shared" si="121"/>
        <v>79.014900138554253</v>
      </c>
      <c r="BR296" s="183">
        <f t="shared" si="122"/>
        <v>7.142249115189076E-3</v>
      </c>
      <c r="BS296" s="187">
        <f t="shared" si="123"/>
        <v>97898.964172073989</v>
      </c>
      <c r="BT296" s="183">
        <f t="shared" si="124"/>
        <v>699.21879023592248</v>
      </c>
      <c r="BW296" s="53">
        <f t="shared" si="116"/>
        <v>121.8129191514663</v>
      </c>
      <c r="BY296" s="14">
        <f t="shared" si="117"/>
        <v>27.152943608121863</v>
      </c>
      <c r="BZ296" s="53">
        <f t="shared" si="118"/>
        <v>50.322582941244491</v>
      </c>
    </row>
    <row r="297" spans="64:78">
      <c r="BL297" s="175">
        <f t="shared" si="125"/>
        <v>294</v>
      </c>
      <c r="BM297" s="180">
        <f t="shared" si="126"/>
        <v>1113.75</v>
      </c>
      <c r="BO297" s="181">
        <f t="shared" si="119"/>
        <v>60.935754340898626</v>
      </c>
      <c r="BP297" s="181">
        <f t="shared" si="120"/>
        <v>39.040552029188333</v>
      </c>
      <c r="BQ297" s="182">
        <f t="shared" si="121"/>
        <v>78.854155703256836</v>
      </c>
      <c r="BR297" s="183">
        <f t="shared" si="122"/>
        <v>7.0112874402504972E-3</v>
      </c>
      <c r="BS297" s="187">
        <f t="shared" si="123"/>
        <v>99727.588719560779</v>
      </c>
      <c r="BT297" s="183">
        <f t="shared" si="124"/>
        <v>699.21879023592362</v>
      </c>
      <c r="BW297" s="53">
        <f t="shared" si="116"/>
        <v>121.87150868179725</v>
      </c>
      <c r="BY297" s="14">
        <f t="shared" si="117"/>
        <v>27.1675909907046</v>
      </c>
      <c r="BZ297" s="53">
        <f t="shared" si="118"/>
        <v>50.147191123364323</v>
      </c>
    </row>
    <row r="298" spans="64:78">
      <c r="BL298" s="175">
        <f t="shared" si="125"/>
        <v>295</v>
      </c>
      <c r="BM298" s="180">
        <f t="shared" si="126"/>
        <v>1117.5</v>
      </c>
      <c r="BO298" s="181">
        <f t="shared" si="119"/>
        <v>60.964950636079479</v>
      </c>
      <c r="BP298" s="181">
        <f t="shared" si="120"/>
        <v>39.172001699320276</v>
      </c>
      <c r="BQ298" s="182">
        <f t="shared" si="121"/>
        <v>78.693509737944041</v>
      </c>
      <c r="BR298" s="183">
        <f t="shared" si="122"/>
        <v>6.8828051325428539E-3</v>
      </c>
      <c r="BS298" s="187">
        <f t="shared" si="123"/>
        <v>101589.21788006472</v>
      </c>
      <c r="BT298" s="183">
        <f t="shared" si="124"/>
        <v>699.21879023592373</v>
      </c>
      <c r="BW298" s="53">
        <f t="shared" si="116"/>
        <v>121.92990127215896</v>
      </c>
      <c r="BY298" s="14">
        <f t="shared" si="117"/>
        <v>27.182189138295026</v>
      </c>
      <c r="BZ298" s="53">
        <f t="shared" si="118"/>
        <v>49.971947010461122</v>
      </c>
    </row>
    <row r="299" spans="64:78">
      <c r="BL299" s="175">
        <f t="shared" si="125"/>
        <v>296</v>
      </c>
      <c r="BM299" s="180">
        <f t="shared" si="126"/>
        <v>1121.25</v>
      </c>
      <c r="BO299" s="181">
        <f t="shared" si="119"/>
        <v>60.99404912104297</v>
      </c>
      <c r="BP299" s="181">
        <f t="shared" si="120"/>
        <v>39.303451369452226</v>
      </c>
      <c r="BQ299" s="182">
        <f t="shared" si="121"/>
        <v>78.5329615828486</v>
      </c>
      <c r="BR299" s="183">
        <f t="shared" si="122"/>
        <v>6.7567533577893128E-3</v>
      </c>
      <c r="BS299" s="187">
        <f t="shared" si="123"/>
        <v>103484.43301246871</v>
      </c>
      <c r="BT299" s="183">
        <f t="shared" si="124"/>
        <v>699.21879023592123</v>
      </c>
      <c r="BW299" s="53">
        <f t="shared" si="116"/>
        <v>121.98809824208594</v>
      </c>
      <c r="BY299" s="14">
        <f t="shared" si="117"/>
        <v>27.196738380776772</v>
      </c>
      <c r="BZ299" s="53">
        <f t="shared" si="118"/>
        <v>49.796849612883939</v>
      </c>
    </row>
    <row r="300" spans="64:78">
      <c r="BL300" s="175">
        <f t="shared" si="125"/>
        <v>297</v>
      </c>
      <c r="BM300" s="180">
        <f t="shared" si="126"/>
        <v>1125</v>
      </c>
      <c r="BO300" s="181">
        <f t="shared" si="119"/>
        <v>61.023050448947629</v>
      </c>
      <c r="BP300" s="181">
        <f t="shared" si="120"/>
        <v>39.434901039584169</v>
      </c>
      <c r="BQ300" s="182">
        <f t="shared" si="121"/>
        <v>78.372510584812005</v>
      </c>
      <c r="BR300" s="183">
        <f t="shared" si="122"/>
        <v>6.6330842914760768E-3</v>
      </c>
      <c r="BS300" s="187">
        <f t="shared" si="123"/>
        <v>105413.82553127856</v>
      </c>
      <c r="BT300" s="183">
        <f t="shared" si="124"/>
        <v>699.21879023592362</v>
      </c>
      <c r="BW300" s="53">
        <f t="shared" si="116"/>
        <v>122.04610089789526</v>
      </c>
      <c r="BY300" s="14">
        <f t="shared" si="117"/>
        <v>27.211239044729101</v>
      </c>
      <c r="BZ300" s="53">
        <f t="shared" si="118"/>
        <v>49.621897950895004</v>
      </c>
    </row>
    <row r="301" spans="64:78">
      <c r="BL301" s="175">
        <f t="shared" si="125"/>
        <v>298</v>
      </c>
      <c r="BM301" s="180">
        <f t="shared" si="126"/>
        <v>1128.75</v>
      </c>
      <c r="BO301" s="181">
        <f t="shared" si="119"/>
        <v>61.05195526643125</v>
      </c>
      <c r="BP301" s="181">
        <f t="shared" si="120"/>
        <v>39.566350709716119</v>
      </c>
      <c r="BQ301" s="182">
        <f t="shared" si="121"/>
        <v>78.212156097196427</v>
      </c>
      <c r="BR301" s="183">
        <f t="shared" si="122"/>
        <v>6.5117510967099227E-3</v>
      </c>
      <c r="BS301" s="187">
        <f t="shared" si="123"/>
        <v>107377.99707811383</v>
      </c>
      <c r="BT301" s="183">
        <f t="shared" si="124"/>
        <v>699.2187902359226</v>
      </c>
      <c r="BW301" s="53">
        <f t="shared" si="116"/>
        <v>122.1039105328625</v>
      </c>
      <c r="BY301" s="14">
        <f t="shared" si="117"/>
        <v>27.225691453470912</v>
      </c>
      <c r="BZ301" s="53">
        <f t="shared" si="118"/>
        <v>49.447091054537623</v>
      </c>
    </row>
    <row r="302" spans="64:78">
      <c r="BL302" s="175">
        <f t="shared" si="125"/>
        <v>299</v>
      </c>
      <c r="BM302" s="180">
        <f t="shared" si="126"/>
        <v>1132.5</v>
      </c>
      <c r="BO302" s="181">
        <f t="shared" si="119"/>
        <v>61.080764213697385</v>
      </c>
      <c r="BP302" s="181">
        <f t="shared" si="120"/>
        <v>39.697800379848069</v>
      </c>
      <c r="BQ302" s="182">
        <f t="shared" si="121"/>
        <v>78.051897479798342</v>
      </c>
      <c r="BR302" s="183">
        <f t="shared" si="122"/>
        <v>6.3927079025964638E-3</v>
      </c>
      <c r="BS302" s="187">
        <f t="shared" si="123"/>
        <v>109377.55969609179</v>
      </c>
      <c r="BT302" s="183">
        <f t="shared" si="124"/>
        <v>699.21879023592248</v>
      </c>
      <c r="BW302" s="53">
        <f t="shared" si="116"/>
        <v>122.16152842739477</v>
      </c>
      <c r="BY302" s="14">
        <f t="shared" si="117"/>
        <v>27.24009592710398</v>
      </c>
      <c r="BZ302" s="53">
        <f t="shared" si="118"/>
        <v>49.272427963506473</v>
      </c>
    </row>
    <row r="303" spans="64:78">
      <c r="BL303" s="175">
        <f t="shared" si="125"/>
        <v>300</v>
      </c>
      <c r="BM303" s="180">
        <f t="shared" si="126"/>
        <v>1136.25</v>
      </c>
      <c r="BO303" s="181">
        <f t="shared" si="119"/>
        <v>61.109477924600483</v>
      </c>
      <c r="BP303" s="181">
        <f t="shared" si="120"/>
        <v>39.829250049980011</v>
      </c>
      <c r="BQ303" s="182">
        <f t="shared" si="121"/>
        <v>77.891734098763294</v>
      </c>
      <c r="BR303" s="183">
        <f t="shared" si="122"/>
        <v>6.2759097831251052E-3</v>
      </c>
      <c r="BS303" s="187">
        <f t="shared" si="123"/>
        <v>111413.1360071503</v>
      </c>
      <c r="BT303" s="183">
        <f t="shared" si="124"/>
        <v>699.21879023592248</v>
      </c>
      <c r="BW303" s="53">
        <f t="shared" si="116"/>
        <v>122.21895584920097</v>
      </c>
      <c r="BY303" s="14">
        <f t="shared" si="117"/>
        <v>27.254452782555529</v>
      </c>
      <c r="BZ303" s="53">
        <f t="shared" si="118"/>
        <v>49.097907727019887</v>
      </c>
    </row>
    <row r="304" spans="64:78">
      <c r="BL304" s="175">
        <f t="shared" si="125"/>
        <v>301</v>
      </c>
      <c r="BM304" s="180">
        <f t="shared" si="126"/>
        <v>1140</v>
      </c>
      <c r="BO304" s="181">
        <f t="shared" si="119"/>
        <v>61.138097026729454</v>
      </c>
      <c r="BP304" s="181">
        <f t="shared" si="120"/>
        <v>39.960699720111954</v>
      </c>
      <c r="BQ304" s="182">
        <f t="shared" si="121"/>
        <v>77.731665326502394</v>
      </c>
      <c r="BR304" s="183">
        <f t="shared" si="122"/>
        <v>6.1613127365483964E-3</v>
      </c>
      <c r="BS304" s="187">
        <f t="shared" si="123"/>
        <v>113485.35939236023</v>
      </c>
      <c r="BT304" s="183">
        <f t="shared" si="124"/>
        <v>699.21879023592123</v>
      </c>
      <c r="BW304" s="53">
        <f t="shared" si="116"/>
        <v>122.27619405345891</v>
      </c>
      <c r="BY304" s="14">
        <f t="shared" si="117"/>
        <v>27.268762333620014</v>
      </c>
      <c r="BZ304" s="53">
        <f t="shared" si="118"/>
        <v>48.923529403694474</v>
      </c>
    </row>
    <row r="305" spans="64:78">
      <c r="BL305" s="175">
        <f t="shared" si="125"/>
        <v>302</v>
      </c>
      <c r="BM305" s="180">
        <f t="shared" si="126"/>
        <v>1143.75</v>
      </c>
      <c r="BO305" s="181">
        <f t="shared" si="119"/>
        <v>61.166622141490095</v>
      </c>
      <c r="BP305" s="181">
        <f t="shared" si="120"/>
        <v>40.092149390243911</v>
      </c>
      <c r="BQ305" s="182">
        <f t="shared" si="121"/>
        <v>77.571690541609797</v>
      </c>
      <c r="BR305" s="183">
        <f t="shared" si="122"/>
        <v>6.0488736652429429E-3</v>
      </c>
      <c r="BS305" s="187">
        <f t="shared" si="123"/>
        <v>115594.87417527995</v>
      </c>
      <c r="BT305" s="183">
        <f t="shared" si="124"/>
        <v>699.21879023592248</v>
      </c>
      <c r="BW305" s="53">
        <f t="shared" si="116"/>
        <v>122.33324428298019</v>
      </c>
      <c r="BY305" s="14">
        <f t="shared" si="117"/>
        <v>27.283024891000334</v>
      </c>
      <c r="BZ305" s="53">
        <f t="shared" si="118"/>
        <v>48.749292061421556</v>
      </c>
    </row>
    <row r="306" spans="64:78">
      <c r="BL306" s="175">
        <f t="shared" si="125"/>
        <v>303</v>
      </c>
      <c r="BM306" s="180">
        <f t="shared" si="126"/>
        <v>1147.5</v>
      </c>
      <c r="BO306" s="181">
        <f t="shared" si="119"/>
        <v>61.195053884185981</v>
      </c>
      <c r="BP306" s="181">
        <f t="shared" si="120"/>
        <v>40.223599060375854</v>
      </c>
      <c r="BQ306" s="182">
        <f t="shared" si="121"/>
        <v>77.411809128781954</v>
      </c>
      <c r="BR306" s="183">
        <f t="shared" si="122"/>
        <v>5.9385503560400498E-3</v>
      </c>
      <c r="BS306" s="187">
        <f t="shared" si="123"/>
        <v>117742.33580839352</v>
      </c>
      <c r="BT306" s="183">
        <f t="shared" si="124"/>
        <v>699.21879023592237</v>
      </c>
      <c r="BW306" s="53">
        <f t="shared" si="116"/>
        <v>122.39010776837196</v>
      </c>
      <c r="BY306" s="14">
        <f t="shared" si="117"/>
        <v>27.297240762348277</v>
      </c>
      <c r="BZ306" s="53">
        <f t="shared" si="118"/>
        <v>48.575194777245798</v>
      </c>
    </row>
    <row r="307" spans="64:78">
      <c r="BL307" s="175">
        <f t="shared" si="125"/>
        <v>304</v>
      </c>
      <c r="BM307" s="180">
        <f t="shared" si="126"/>
        <v>1151.25</v>
      </c>
      <c r="BO307" s="181">
        <f t="shared" si="119"/>
        <v>61.223392864098109</v>
      </c>
      <c r="BP307" s="181">
        <f t="shared" si="120"/>
        <v>40.355048730507804</v>
      </c>
      <c r="BQ307" s="182">
        <f t="shared" si="121"/>
        <v>77.252020478737876</v>
      </c>
      <c r="BR307" s="183">
        <f t="shared" si="122"/>
        <v>5.830301461013947E-3</v>
      </c>
      <c r="BS307" s="187">
        <f t="shared" si="123"/>
        <v>119928.41106269682</v>
      </c>
      <c r="BT307" s="183">
        <f t="shared" si="124"/>
        <v>699.21879023592248</v>
      </c>
      <c r="BW307" s="53">
        <f t="shared" si="116"/>
        <v>122.44678572819622</v>
      </c>
      <c r="BY307" s="14">
        <f t="shared" si="117"/>
        <v>27.311410252304341</v>
      </c>
      <c r="BZ307" s="53">
        <f t="shared" si="118"/>
        <v>48.401236637245631</v>
      </c>
    </row>
    <row r="308" spans="64:78">
      <c r="BL308" s="175">
        <f t="shared" si="125"/>
        <v>305</v>
      </c>
      <c r="BM308" s="180">
        <f t="shared" si="126"/>
        <v>1155</v>
      </c>
      <c r="BO308" s="181">
        <f t="shared" si="119"/>
        <v>61.251639684563266</v>
      </c>
      <c r="BP308" s="181">
        <f t="shared" si="120"/>
        <v>40.486498400639753</v>
      </c>
      <c r="BQ308" s="182">
        <f t="shared" si="121"/>
        <v>77.092323988140777</v>
      </c>
      <c r="BR308" s="183">
        <f t="shared" si="122"/>
        <v>5.7240864787162339E-3</v>
      </c>
      <c r="BS308" s="187">
        <f t="shared" si="123"/>
        <v>122153.77822047501</v>
      </c>
      <c r="BT308" s="183">
        <f t="shared" si="124"/>
        <v>699.2187902359226</v>
      </c>
      <c r="BW308" s="53">
        <f t="shared" si="116"/>
        <v>122.50327936912653</v>
      </c>
      <c r="BY308" s="14">
        <f t="shared" si="117"/>
        <v>27.32553366253692</v>
      </c>
      <c r="BZ308" s="53">
        <f t="shared" si="118"/>
        <v>48.227416736415968</v>
      </c>
    </row>
    <row r="309" spans="64:78">
      <c r="BL309" s="175">
        <f t="shared" si="125"/>
        <v>306</v>
      </c>
      <c r="BM309" s="180">
        <f t="shared" si="126"/>
        <v>1158.75</v>
      </c>
      <c r="BO309" s="181">
        <f t="shared" si="119"/>
        <v>61.279794943051073</v>
      </c>
      <c r="BP309" s="181">
        <f t="shared" si="120"/>
        <v>40.617948070771696</v>
      </c>
      <c r="BQ309" s="182">
        <f t="shared" si="121"/>
        <v>76.93271905952102</v>
      </c>
      <c r="BR309" s="183">
        <f t="shared" si="122"/>
        <v>5.6198657358454114E-3</v>
      </c>
      <c r="BS309" s="187">
        <f t="shared" si="123"/>
        <v>124419.12727132767</v>
      </c>
      <c r="BT309" s="183">
        <f t="shared" si="124"/>
        <v>699.21879023592373</v>
      </c>
      <c r="BW309" s="53">
        <f t="shared" si="116"/>
        <v>122.55958988610215</v>
      </c>
      <c r="BY309" s="14">
        <f t="shared" si="117"/>
        <v>27.339611291780823</v>
      </c>
      <c r="BZ309" s="53">
        <f t="shared" si="118"/>
        <v>48.053734178552318</v>
      </c>
    </row>
    <row r="310" spans="64:78">
      <c r="BL310" s="175">
        <f t="shared" si="125"/>
        <v>307</v>
      </c>
      <c r="BM310" s="180">
        <f t="shared" si="126"/>
        <v>1162.5</v>
      </c>
      <c r="BO310" s="181">
        <f t="shared" si="119"/>
        <v>61.307859231239831</v>
      </c>
      <c r="BP310" s="181">
        <f t="shared" si="120"/>
        <v>40.749397740903646</v>
      </c>
      <c r="BQ310" s="182">
        <f t="shared" si="121"/>
        <v>76.773205101200318</v>
      </c>
      <c r="BR310" s="183">
        <f t="shared" si="122"/>
        <v>5.5176003693405478E-3</v>
      </c>
      <c r="BS310" s="187">
        <f t="shared" si="123"/>
        <v>126725.16011149455</v>
      </c>
      <c r="BT310" s="183">
        <f t="shared" si="124"/>
        <v>699.21879023592237</v>
      </c>
      <c r="BW310" s="53">
        <f t="shared" si="116"/>
        <v>122.61571846247966</v>
      </c>
      <c r="BY310" s="14">
        <f t="shared" si="117"/>
        <v>27.353643435875203</v>
      </c>
      <c r="BZ310" s="53">
        <f t="shared" si="118"/>
        <v>47.880188076137216</v>
      </c>
    </row>
    <row r="311" spans="64:78">
      <c r="BL311" s="175">
        <f t="shared" si="125"/>
        <v>308</v>
      </c>
      <c r="BM311" s="180">
        <f t="shared" si="126"/>
        <v>1166.25</v>
      </c>
      <c r="BO311" s="181">
        <f t="shared" si="119"/>
        <v>61.335833135091129</v>
      </c>
      <c r="BP311" s="181">
        <f t="shared" si="120"/>
        <v>40.880847411035589</v>
      </c>
      <c r="BQ311" s="182">
        <f t="shared" si="121"/>
        <v>76.613781527217071</v>
      </c>
      <c r="BR311" s="183">
        <f t="shared" si="122"/>
        <v>5.4172523088885311E-3</v>
      </c>
      <c r="BS311" s="187">
        <f t="shared" si="123"/>
        <v>129072.59074654078</v>
      </c>
      <c r="BT311" s="183">
        <f t="shared" si="124"/>
        <v>699.21879023592248</v>
      </c>
      <c r="BW311" s="53">
        <f t="shared" si="116"/>
        <v>122.67166627018226</v>
      </c>
      <c r="BY311" s="14">
        <f t="shared" si="117"/>
        <v>27.367630387800851</v>
      </c>
      <c r="BZ311" s="53">
        <f t="shared" si="118"/>
        <v>47.706777550228331</v>
      </c>
    </row>
    <row r="312" spans="64:78">
      <c r="BL312" s="175">
        <f t="shared" si="125"/>
        <v>309</v>
      </c>
      <c r="BM312" s="180">
        <f t="shared" si="126"/>
        <v>1170</v>
      </c>
      <c r="BO312" s="181">
        <f t="shared" si="119"/>
        <v>61.363717234923236</v>
      </c>
      <c r="BP312" s="181">
        <f t="shared" si="120"/>
        <v>41.012297081167539</v>
      </c>
      <c r="BQ312" s="182">
        <f t="shared" si="121"/>
        <v>76.454447757253021</v>
      </c>
      <c r="BR312" s="183">
        <f t="shared" si="122"/>
        <v>5.3187842598345402E-3</v>
      </c>
      <c r="BS312" s="187">
        <f t="shared" si="123"/>
        <v>131462.14549745159</v>
      </c>
      <c r="BT312" s="183">
        <f t="shared" si="124"/>
        <v>699.21879023592373</v>
      </c>
      <c r="BW312" s="53">
        <f t="shared" si="116"/>
        <v>122.72743446984647</v>
      </c>
      <c r="BY312" s="14">
        <f t="shared" si="117"/>
        <v>27.381572437716905</v>
      </c>
      <c r="BZ312" s="53">
        <f t="shared" si="118"/>
        <v>47.533501730348213</v>
      </c>
    </row>
    <row r="313" spans="64:78">
      <c r="BL313" s="175">
        <f t="shared" si="125"/>
        <v>310</v>
      </c>
      <c r="BM313" s="180">
        <f t="shared" si="126"/>
        <v>1173.75</v>
      </c>
      <c r="BO313" s="181">
        <f t="shared" si="119"/>
        <v>61.391512105483343</v>
      </c>
      <c r="BP313" s="181">
        <f t="shared" si="120"/>
        <v>41.143746751299489</v>
      </c>
      <c r="BQ313" s="182">
        <f t="shared" si="121"/>
        <v>76.295203216560964</v>
      </c>
      <c r="BR313" s="183">
        <f t="shared" si="122"/>
        <v>5.2221596864857724E-3</v>
      </c>
      <c r="BS313" s="187">
        <f t="shared" si="123"/>
        <v>133894.56321019903</v>
      </c>
      <c r="BT313" s="183">
        <f t="shared" si="124"/>
        <v>699.21879023592237</v>
      </c>
      <c r="BW313" s="53">
        <f t="shared" si="116"/>
        <v>122.78302421096669</v>
      </c>
      <c r="BY313" s="14">
        <f t="shared" si="117"/>
        <v>27.395469872996959</v>
      </c>
      <c r="BZ313" s="53">
        <f t="shared" si="118"/>
        <v>47.360359754376105</v>
      </c>
    </row>
    <row r="314" spans="64:78">
      <c r="BL314" s="175">
        <f t="shared" si="125"/>
        <v>311</v>
      </c>
      <c r="BM314" s="180">
        <f t="shared" si="126"/>
        <v>1177.5</v>
      </c>
      <c r="BO314" s="181">
        <f t="shared" si="119"/>
        <v>61.419218316018672</v>
      </c>
      <c r="BP314" s="181">
        <f t="shared" si="120"/>
        <v>41.275196421431431</v>
      </c>
      <c r="BQ314" s="182">
        <f t="shared" si="121"/>
        <v>76.136047335893693</v>
      </c>
      <c r="BR314" s="183">
        <f t="shared" si="122"/>
        <v>5.1273427957987767E-3</v>
      </c>
      <c r="BS314" s="187">
        <f t="shared" si="123"/>
        <v>136370.59546883564</v>
      </c>
      <c r="BT314" s="183">
        <f t="shared" si="124"/>
        <v>699.21879023592373</v>
      </c>
      <c r="BW314" s="53">
        <f t="shared" si="116"/>
        <v>122.83843663203734</v>
      </c>
      <c r="BY314" s="14">
        <f t="shared" si="117"/>
        <v>27.409322978264623</v>
      </c>
      <c r="BZ314" s="53">
        <f t="shared" si="118"/>
        <v>47.187350768441163</v>
      </c>
    </row>
    <row r="315" spans="64:78">
      <c r="BL315" s="175">
        <f t="shared" si="125"/>
        <v>312</v>
      </c>
      <c r="BM315" s="180">
        <f t="shared" si="126"/>
        <v>1181.25</v>
      </c>
      <c r="BO315" s="181">
        <f t="shared" si="119"/>
        <v>61.446836430346387</v>
      </c>
      <c r="BP315" s="181">
        <f t="shared" si="120"/>
        <v>41.406646091563374</v>
      </c>
      <c r="BQ315" s="182">
        <f t="shared" si="121"/>
        <v>75.976979551434027</v>
      </c>
      <c r="BR315" s="183">
        <f t="shared" si="122"/>
        <v>5.0342985214405847E-3</v>
      </c>
      <c r="BS315" s="187">
        <f t="shared" si="123"/>
        <v>138891.00681217443</v>
      </c>
      <c r="BT315" s="183">
        <f t="shared" si="124"/>
        <v>699.21879023592385</v>
      </c>
      <c r="BW315" s="53">
        <f t="shared" si="116"/>
        <v>122.89367286069277</v>
      </c>
      <c r="BY315" s="14">
        <f t="shared" si="117"/>
        <v>27.42313203542848</v>
      </c>
      <c r="BZ315" s="53">
        <f t="shared" si="118"/>
        <v>47.014473926817672</v>
      </c>
    </row>
    <row r="316" spans="64:78">
      <c r="BL316" s="175">
        <f t="shared" si="125"/>
        <v>313</v>
      </c>
      <c r="BM316" s="180">
        <f t="shared" si="126"/>
        <v>1185</v>
      </c>
      <c r="BO316" s="181">
        <f t="shared" si="119"/>
        <v>61.474367006922456</v>
      </c>
      <c r="BP316" s="181">
        <f t="shared" si="120"/>
        <v>41.538095761695331</v>
      </c>
      <c r="BQ316" s="182">
        <f t="shared" si="121"/>
        <v>75.817999304726015</v>
      </c>
      <c r="BR316" s="183">
        <f t="shared" si="122"/>
        <v>4.9429925082148628E-3</v>
      </c>
      <c r="BS316" s="187">
        <f t="shared" si="123"/>
        <v>141456.57495411456</v>
      </c>
      <c r="BT316" s="183">
        <f t="shared" si="124"/>
        <v>699.21879023592248</v>
      </c>
      <c r="BW316" s="53">
        <f t="shared" si="116"/>
        <v>122.94873401384491</v>
      </c>
      <c r="BY316" s="14">
        <f t="shared" si="117"/>
        <v>27.436897323716515</v>
      </c>
      <c r="BZ316" s="53">
        <f t="shared" si="118"/>
        <v>46.841728391821611</v>
      </c>
    </row>
    <row r="317" spans="64:78">
      <c r="BL317" s="175">
        <f t="shared" si="125"/>
        <v>314</v>
      </c>
      <c r="BM317" s="180">
        <f t="shared" si="126"/>
        <v>1188.75</v>
      </c>
      <c r="BO317" s="181">
        <f t="shared" si="119"/>
        <v>61.501810598909408</v>
      </c>
      <c r="BP317" s="181">
        <f t="shared" si="120"/>
        <v>41.669545431827274</v>
      </c>
      <c r="BQ317" s="182">
        <f t="shared" si="121"/>
        <v>75.659106042607107</v>
      </c>
      <c r="BR317" s="183">
        <f t="shared" si="122"/>
        <v>4.8533910968436905E-3</v>
      </c>
      <c r="BS317" s="187">
        <f t="shared" si="123"/>
        <v>144068.09100767624</v>
      </c>
      <c r="BT317" s="183">
        <f t="shared" si="124"/>
        <v>699.21879023592237</v>
      </c>
      <c r="BW317" s="53">
        <f t="shared" si="116"/>
        <v>123.00362119781882</v>
      </c>
      <c r="BY317" s="14">
        <f t="shared" si="117"/>
        <v>27.450619119709991</v>
      </c>
      <c r="BZ317" s="53">
        <f t="shared" si="118"/>
        <v>46.669113333709227</v>
      </c>
    </row>
    <row r="318" spans="64:78">
      <c r="BL318" s="175">
        <f t="shared" si="125"/>
        <v>315</v>
      </c>
      <c r="BM318" s="180">
        <f t="shared" si="126"/>
        <v>1192.5</v>
      </c>
      <c r="BO318" s="181">
        <f t="shared" si="119"/>
        <v>61.529167754243026</v>
      </c>
      <c r="BP318" s="181">
        <f t="shared" si="120"/>
        <v>41.800995101959217</v>
      </c>
      <c r="BQ318" s="182">
        <f t="shared" si="121"/>
        <v>75.50029921714156</v>
      </c>
      <c r="BR318" s="183">
        <f t="shared" si="122"/>
        <v>4.7654613090964857E-3</v>
      </c>
      <c r="BS318" s="187">
        <f t="shared" si="123"/>
        <v>146726.35971280039</v>
      </c>
      <c r="BT318" s="183">
        <f t="shared" si="124"/>
        <v>699.21879023592362</v>
      </c>
      <c r="BW318" s="53">
        <f t="shared" si="116"/>
        <v>123.05833550848605</v>
      </c>
      <c r="BY318" s="14">
        <f t="shared" si="117"/>
        <v>27.4642976973768</v>
      </c>
      <c r="BZ318" s="53">
        <f t="shared" si="118"/>
        <v>46.496627930576842</v>
      </c>
    </row>
    <row r="319" spans="64:78">
      <c r="BL319" s="175">
        <f t="shared" si="125"/>
        <v>316</v>
      </c>
      <c r="BM319" s="180">
        <f t="shared" si="126"/>
        <v>1196.25</v>
      </c>
      <c r="BO319" s="181">
        <f t="shared" si="119"/>
        <v>61.556439015697997</v>
      </c>
      <c r="BP319" s="181">
        <f t="shared" si="120"/>
        <v>41.932444772091173</v>
      </c>
      <c r="BQ319" s="182">
        <f t="shared" si="121"/>
        <v>75.341578285554618</v>
      </c>
      <c r="BR319" s="183">
        <f t="shared" si="122"/>
        <v>4.6791708332572669E-3</v>
      </c>
      <c r="BS319" s="187">
        <f t="shared" si="123"/>
        <v>149432.1996679873</v>
      </c>
      <c r="BT319" s="183">
        <f t="shared" si="124"/>
        <v>699.21879023592237</v>
      </c>
      <c r="BW319" s="53">
        <f t="shared" si="116"/>
        <v>123.11287803139599</v>
      </c>
      <c r="BY319" s="14">
        <f t="shared" si="117"/>
        <v>27.477933328104285</v>
      </c>
      <c r="BZ319" s="53">
        <f t="shared" si="118"/>
        <v>46.32427136826243</v>
      </c>
    </row>
    <row r="320" spans="64:78">
      <c r="BL320" s="175">
        <f t="shared" si="125"/>
        <v>317</v>
      </c>
      <c r="BM320" s="180">
        <f t="shared" si="126"/>
        <v>1200</v>
      </c>
      <c r="BO320" s="181">
        <f t="shared" si="119"/>
        <v>61.583624920952495</v>
      </c>
      <c r="BP320" s="181">
        <f t="shared" si="120"/>
        <v>42.063894442223116</v>
      </c>
      <c r="BQ320" s="182">
        <f t="shared" si="121"/>
        <v>75.182942710168192</v>
      </c>
      <c r="BR320" s="183">
        <f t="shared" si="122"/>
        <v>4.5944880099225817E-3</v>
      </c>
      <c r="BS320" s="187">
        <f t="shared" si="123"/>
        <v>152186.44356582063</v>
      </c>
      <c r="BT320" s="183">
        <f t="shared" si="124"/>
        <v>699.2187902359226</v>
      </c>
      <c r="BW320" s="53">
        <f t="shared" si="116"/>
        <v>123.16724984190499</v>
      </c>
      <c r="BY320" s="14">
        <f t="shared" si="117"/>
        <v>27.491526280731534</v>
      </c>
      <c r="BZ320" s="53">
        <f t="shared" si="118"/>
        <v>46.152042840248754</v>
      </c>
    </row>
    <row r="321" spans="64:78">
      <c r="BL321" s="175">
        <f t="shared" si="125"/>
        <v>318</v>
      </c>
      <c r="BM321" s="180">
        <f t="shared" si="126"/>
        <v>1203.75</v>
      </c>
      <c r="BO321" s="181">
        <f t="shared" si="119"/>
        <v>61.610726002651816</v>
      </c>
      <c r="BP321" s="181">
        <f t="shared" si="120"/>
        <v>42.195344112355066</v>
      </c>
      <c r="BQ321" s="182">
        <f t="shared" si="121"/>
        <v>75.024391958336906</v>
      </c>
      <c r="BR321" s="183">
        <f t="shared" si="122"/>
        <v>4.5113818181210736E-3</v>
      </c>
      <c r="BS321" s="187">
        <f t="shared" si="123"/>
        <v>154989.93843246397</v>
      </c>
      <c r="BT321" s="183">
        <f t="shared" si="124"/>
        <v>699.2187902359226</v>
      </c>
      <c r="BW321" s="53">
        <f t="shared" si="116"/>
        <v>123.22145200530363</v>
      </c>
      <c r="BY321" s="14">
        <f t="shared" si="117"/>
        <v>27.505076821581195</v>
      </c>
      <c r="BZ321" s="53">
        <f t="shared" si="118"/>
        <v>45.979941547567833</v>
      </c>
    </row>
    <row r="322" spans="64:78">
      <c r="BL322" s="175">
        <f t="shared" si="125"/>
        <v>319</v>
      </c>
      <c r="BM322" s="180">
        <f t="shared" si="126"/>
        <v>1207.5</v>
      </c>
      <c r="BO322" s="181">
        <f t="shared" si="119"/>
        <v>61.637742788470995</v>
      </c>
      <c r="BP322" s="181">
        <f t="shared" si="120"/>
        <v>42.326793782487009</v>
      </c>
      <c r="BQ322" s="182">
        <f t="shared" si="121"/>
        <v>74.865925502385792</v>
      </c>
      <c r="BR322" s="183">
        <f t="shared" si="122"/>
        <v>4.4298218617478688E-3</v>
      </c>
      <c r="BS322" s="187">
        <f t="shared" si="123"/>
        <v>157843.54587117251</v>
      </c>
      <c r="BT322" s="183">
        <f t="shared" si="124"/>
        <v>699.21879023592248</v>
      </c>
      <c r="BW322" s="53">
        <f t="shared" si="116"/>
        <v>123.27548557694199</v>
      </c>
      <c r="BY322" s="14">
        <f t="shared" si="117"/>
        <v>27.518585214490784</v>
      </c>
      <c r="BZ322" s="53">
        <f t="shared" si="118"/>
        <v>45.807966698707119</v>
      </c>
    </row>
    <row r="323" spans="64:78">
      <c r="BL323" s="175">
        <f t="shared" si="125"/>
        <v>320</v>
      </c>
      <c r="BM323" s="180">
        <f t="shared" si="126"/>
        <v>1211.25</v>
      </c>
      <c r="BO323" s="181">
        <f t="shared" si="119"/>
        <v>61.664675801176436</v>
      </c>
      <c r="BP323" s="181">
        <f t="shared" si="120"/>
        <v>42.458243452618959</v>
      </c>
      <c r="BQ323" s="182">
        <f t="shared" si="121"/>
        <v>74.707542819548394</v>
      </c>
      <c r="BR323" s="183">
        <f t="shared" si="122"/>
        <v>4.3497783563053241E-3</v>
      </c>
      <c r="BS323" s="187">
        <f t="shared" si="123"/>
        <v>160748.1423099075</v>
      </c>
      <c r="BT323" s="183">
        <f t="shared" si="124"/>
        <v>699.21879023592373</v>
      </c>
      <c r="BW323" s="53">
        <f t="shared" si="116"/>
        <v>123.32935160235287</v>
      </c>
      <c r="BY323" s="14">
        <f t="shared" si="117"/>
        <v>27.532051720843505</v>
      </c>
      <c r="BZ323" s="53">
        <f t="shared" si="118"/>
        <v>45.636117509517</v>
      </c>
    </row>
    <row r="324" spans="64:78">
      <c r="BL324" s="175">
        <f t="shared" si="125"/>
        <v>321</v>
      </c>
      <c r="BM324" s="180">
        <f t="shared" si="126"/>
        <v>1215</v>
      </c>
      <c r="BO324" s="181">
        <f t="shared" si="119"/>
        <v>61.691525558686621</v>
      </c>
      <c r="BP324" s="181">
        <f t="shared" si="120"/>
        <v>42.589693122750909</v>
      </c>
      <c r="BQ324" s="182">
        <f t="shared" si="121"/>
        <v>74.549243391906259</v>
      </c>
      <c r="BR324" s="183">
        <f t="shared" si="122"/>
        <v>4.271222115943136E-3</v>
      </c>
      <c r="BS324" s="187">
        <f t="shared" si="123"/>
        <v>163704.61925310761</v>
      </c>
      <c r="BT324" s="183">
        <f t="shared" si="124"/>
        <v>699.21879023592373</v>
      </c>
      <c r="BW324" s="53">
        <f t="shared" ref="BW324:BW387" si="127">40*LOG10(BM324)</f>
        <v>123.38305111737324</v>
      </c>
      <c r="BY324" s="14">
        <f t="shared" ref="BY324:BY387" si="128">10*LOG10(($D$29*($D$23/1000000))/2)+$J$12+10*LOG10(BM324)</f>
        <v>27.545476599598597</v>
      </c>
      <c r="BZ324" s="53">
        <f t="shared" ref="BZ324:BZ387" si="129">$BN$4-(BW324+BP324)+$BX$4+BY324</f>
        <v>45.464393203119783</v>
      </c>
    </row>
    <row r="325" spans="64:78">
      <c r="BL325" s="175">
        <f t="shared" si="125"/>
        <v>322</v>
      </c>
      <c r="BM325" s="180">
        <f t="shared" si="126"/>
        <v>1218.75</v>
      </c>
      <c r="BO325" s="181">
        <f t="shared" ref="BO325:BO388" si="130">20*LOG10(BM325)</f>
        <v>61.718292574131866</v>
      </c>
      <c r="BP325" s="181">
        <f t="shared" ref="BP325:BP388" si="131">2*$J$6*(BM325/1000)</f>
        <v>42.721142792882851</v>
      </c>
      <c r="BQ325" s="182">
        <f t="shared" ref="BQ325:BQ388" si="132">$BN$4-(BO325+BP325)+$BN$8+$BN$10</f>
        <v>74.391026706329086</v>
      </c>
      <c r="BR325" s="183">
        <f t="shared" ref="BR325:BR388" si="133">POWER(10,(BQ325+$D$16)*0.05)*1000</f>
        <v>4.1941245407904684E-3</v>
      </c>
      <c r="BS325" s="187">
        <f t="shared" ref="BS325:BS388" si="134">POWER(10,0.05*(BO325+BP325))</f>
        <v>166713.88353769275</v>
      </c>
      <c r="BT325" s="183">
        <f t="shared" ref="BT325:BT388" si="135">BR325*BS325</f>
        <v>699.21879023592123</v>
      </c>
      <c r="BW325" s="53">
        <f t="shared" si="127"/>
        <v>123.43658514826373</v>
      </c>
      <c r="BY325" s="14">
        <f t="shared" si="128"/>
        <v>27.55886010732122</v>
      </c>
      <c r="BZ325" s="53">
        <f t="shared" si="129"/>
        <v>45.29279300981996</v>
      </c>
    </row>
    <row r="326" spans="64:78">
      <c r="BL326" s="175">
        <f t="shared" ref="BL326:BL389" si="136">BL325+1</f>
        <v>323</v>
      </c>
      <c r="BM326" s="180">
        <f t="shared" ref="BM326:BM389" si="137">BM325+$J$46</f>
        <v>1222.5</v>
      </c>
      <c r="BO326" s="181">
        <f t="shared" si="130"/>
        <v>61.744977355913157</v>
      </c>
      <c r="BP326" s="181">
        <f t="shared" si="131"/>
        <v>42.852592463014794</v>
      </c>
      <c r="BQ326" s="182">
        <f t="shared" si="132"/>
        <v>74.232892254415844</v>
      </c>
      <c r="BR326" s="183">
        <f t="shared" si="133"/>
        <v>4.1184576045729454E-3</v>
      </c>
      <c r="BS326" s="187">
        <f t="shared" si="134"/>
        <v>169776.85759337238</v>
      </c>
      <c r="BT326" s="183">
        <f t="shared" si="135"/>
        <v>699.21879023592248</v>
      </c>
      <c r="BW326" s="53">
        <f t="shared" si="127"/>
        <v>123.48995471182631</v>
      </c>
      <c r="BY326" s="14">
        <f t="shared" si="128"/>
        <v>27.572202498211865</v>
      </c>
      <c r="BZ326" s="53">
        <f t="shared" si="129"/>
        <v>45.121316167016076</v>
      </c>
    </row>
    <row r="327" spans="64:78">
      <c r="BL327" s="175">
        <f t="shared" si="136"/>
        <v>324</v>
      </c>
      <c r="BM327" s="180">
        <f t="shared" si="137"/>
        <v>1226.25</v>
      </c>
      <c r="BO327" s="181">
        <f t="shared" si="130"/>
        <v>61.771580407760098</v>
      </c>
      <c r="BP327" s="181">
        <f t="shared" si="131"/>
        <v>42.984042133146751</v>
      </c>
      <c r="BQ327" s="182">
        <f t="shared" si="132"/>
        <v>74.074839532436954</v>
      </c>
      <c r="BR327" s="183">
        <f t="shared" si="133"/>
        <v>4.0441938425076814E-3</v>
      </c>
      <c r="BS327" s="187">
        <f t="shared" si="134"/>
        <v>172894.47970732237</v>
      </c>
      <c r="BT327" s="183">
        <f t="shared" si="135"/>
        <v>699.21879023592237</v>
      </c>
      <c r="BW327" s="53">
        <f t="shared" si="127"/>
        <v>123.5431608155202</v>
      </c>
      <c r="BY327" s="14">
        <f t="shared" si="128"/>
        <v>27.585504024135336</v>
      </c>
      <c r="BZ327" s="53">
        <f t="shared" si="129"/>
        <v>44.949961919113719</v>
      </c>
    </row>
    <row r="328" spans="64:78">
      <c r="BL328" s="175">
        <f t="shared" si="136"/>
        <v>325</v>
      </c>
      <c r="BM328" s="180">
        <f t="shared" si="137"/>
        <v>1230</v>
      </c>
      <c r="BO328" s="181">
        <f t="shared" si="130"/>
        <v>61.798102228787961</v>
      </c>
      <c r="BP328" s="181">
        <f t="shared" si="131"/>
        <v>43.115491803278694</v>
      </c>
      <c r="BQ328" s="182">
        <f t="shared" si="132"/>
        <v>73.916868041277141</v>
      </c>
      <c r="BR328" s="183">
        <f t="shared" si="133"/>
        <v>3.9713063394698099E-3</v>
      </c>
      <c r="BS328" s="187">
        <f t="shared" si="134"/>
        <v>176067.70429331117</v>
      </c>
      <c r="BT328" s="183">
        <f t="shared" si="135"/>
        <v>699.21879023592248</v>
      </c>
      <c r="BW328" s="53">
        <f t="shared" si="127"/>
        <v>123.59620445757592</v>
      </c>
      <c r="BY328" s="14">
        <f t="shared" si="128"/>
        <v>27.598764934649267</v>
      </c>
      <c r="BZ328" s="53">
        <f t="shared" si="129"/>
        <v>44.778729517439984</v>
      </c>
    </row>
    <row r="329" spans="64:78">
      <c r="BL329" s="175">
        <f t="shared" si="136"/>
        <v>326</v>
      </c>
      <c r="BM329" s="180">
        <f t="shared" si="137"/>
        <v>1233.75</v>
      </c>
      <c r="BO329" s="181">
        <f t="shared" si="130"/>
        <v>61.824543313553868</v>
      </c>
      <c r="BP329" s="181">
        <f t="shared" si="131"/>
        <v>43.246941473410637</v>
      </c>
      <c r="BQ329" s="182">
        <f t="shared" si="132"/>
        <v>73.758977286379292</v>
      </c>
      <c r="BR329" s="183">
        <f t="shared" si="133"/>
        <v>3.8997687184236678E-3</v>
      </c>
      <c r="BS329" s="187">
        <f t="shared" si="134"/>
        <v>179297.5021653476</v>
      </c>
      <c r="BT329" s="183">
        <f t="shared" si="135"/>
        <v>699.21879023592237</v>
      </c>
      <c r="BW329" s="53">
        <f t="shared" si="127"/>
        <v>123.64908662710774</v>
      </c>
      <c r="BY329" s="14">
        <f t="shared" si="128"/>
        <v>27.611985477032221</v>
      </c>
      <c r="BZ329" s="53">
        <f t="shared" si="129"/>
        <v>44.607618220159168</v>
      </c>
    </row>
    <row r="330" spans="64:78">
      <c r="BL330" s="175">
        <f t="shared" si="136"/>
        <v>327</v>
      </c>
      <c r="BM330" s="180">
        <f t="shared" si="137"/>
        <v>1237.5</v>
      </c>
      <c r="BO330" s="181">
        <f t="shared" si="130"/>
        <v>61.850904152112129</v>
      </c>
      <c r="BP330" s="181">
        <f t="shared" si="131"/>
        <v>43.378391143542594</v>
      </c>
      <c r="BQ330" s="182">
        <f t="shared" si="132"/>
        <v>73.601166777689073</v>
      </c>
      <c r="BR330" s="183">
        <f t="shared" si="133"/>
        <v>3.8295551291125858E-3</v>
      </c>
      <c r="BS330" s="187">
        <f t="shared" si="134"/>
        <v>182584.86081592253</v>
      </c>
      <c r="BT330" s="183">
        <f t="shared" si="135"/>
        <v>699.21879023592373</v>
      </c>
      <c r="BW330" s="53">
        <f t="shared" si="127"/>
        <v>123.70180830422426</v>
      </c>
      <c r="BY330" s="14">
        <f t="shared" si="128"/>
        <v>27.625165896311351</v>
      </c>
      <c r="BZ330" s="53">
        <f t="shared" si="129"/>
        <v>44.436627292189819</v>
      </c>
    </row>
    <row r="331" spans="64:78">
      <c r="BL331" s="175">
        <f t="shared" si="136"/>
        <v>328</v>
      </c>
      <c r="BM331" s="180">
        <f t="shared" si="137"/>
        <v>1241.25</v>
      </c>
      <c r="BO331" s="181">
        <f t="shared" si="130"/>
        <v>61.877185230068754</v>
      </c>
      <c r="BP331" s="181">
        <f t="shared" si="131"/>
        <v>43.509840813674536</v>
      </c>
      <c r="BQ331" s="182">
        <f t="shared" si="132"/>
        <v>73.443436029600505</v>
      </c>
      <c r="BR331" s="183">
        <f t="shared" si="133"/>
        <v>3.7606402370009466E-3</v>
      </c>
      <c r="BS331" s="187">
        <f t="shared" si="134"/>
        <v>185930.78469892102</v>
      </c>
      <c r="BT331" s="183">
        <f t="shared" si="135"/>
        <v>699.21879023592237</v>
      </c>
      <c r="BW331" s="53">
        <f t="shared" si="127"/>
        <v>123.75437046013751</v>
      </c>
      <c r="BY331" s="14">
        <f t="shared" si="128"/>
        <v>27.638306435289664</v>
      </c>
      <c r="BZ331" s="53">
        <f t="shared" si="129"/>
        <v>44.265756005122952</v>
      </c>
    </row>
    <row r="332" spans="64:78">
      <c r="BL332" s="175">
        <f t="shared" si="136"/>
        <v>329</v>
      </c>
      <c r="BM332" s="180">
        <f t="shared" si="137"/>
        <v>1245</v>
      </c>
      <c r="BO332" s="181">
        <f t="shared" si="130"/>
        <v>61.903387028635102</v>
      </c>
      <c r="BP332" s="181">
        <f t="shared" si="131"/>
        <v>43.641290483806486</v>
      </c>
      <c r="BQ332" s="182">
        <f t="shared" si="132"/>
        <v>73.285784560902215</v>
      </c>
      <c r="BR332" s="183">
        <f t="shared" si="133"/>
        <v>3.6929992124625026E-3</v>
      </c>
      <c r="BS332" s="187">
        <f t="shared" si="134"/>
        <v>189336.29551729077</v>
      </c>
      <c r="BT332" s="183">
        <f t="shared" si="135"/>
        <v>699.21879023592248</v>
      </c>
      <c r="BW332" s="53">
        <f t="shared" si="127"/>
        <v>123.8067740572702</v>
      </c>
      <c r="BY332" s="14">
        <f t="shared" si="128"/>
        <v>27.651407334572838</v>
      </c>
      <c r="BZ332" s="53">
        <f t="shared" si="129"/>
        <v>44.095003637141474</v>
      </c>
    </row>
    <row r="333" spans="64:78">
      <c r="BL333" s="175">
        <f t="shared" si="136"/>
        <v>330</v>
      </c>
      <c r="BM333" s="180">
        <f t="shared" si="137"/>
        <v>1248.75</v>
      </c>
      <c r="BO333" s="181">
        <f t="shared" si="130"/>
        <v>61.929510024680773</v>
      </c>
      <c r="BP333" s="181">
        <f t="shared" si="131"/>
        <v>43.772740153938429</v>
      </c>
      <c r="BQ333" s="182">
        <f t="shared" si="132"/>
        <v>73.128211894724586</v>
      </c>
      <c r="BR333" s="183">
        <f t="shared" si="133"/>
        <v>3.6266077202091224E-3</v>
      </c>
      <c r="BS333" s="187">
        <f t="shared" si="134"/>
        <v>192802.43251553117</v>
      </c>
      <c r="BT333" s="183">
        <f t="shared" si="135"/>
        <v>699.21879023592362</v>
      </c>
      <c r="BW333" s="53">
        <f t="shared" si="127"/>
        <v>123.85902004936155</v>
      </c>
      <c r="BY333" s="14">
        <f t="shared" si="128"/>
        <v>27.664468832595674</v>
      </c>
      <c r="BZ333" s="53">
        <f t="shared" si="129"/>
        <v>43.924369472941038</v>
      </c>
    </row>
    <row r="334" spans="64:78">
      <c r="BL334" s="175">
        <f t="shared" si="136"/>
        <v>331</v>
      </c>
      <c r="BM334" s="180">
        <f t="shared" si="137"/>
        <v>1252.5</v>
      </c>
      <c r="BO334" s="181">
        <f t="shared" si="130"/>
        <v>61.955554690785668</v>
      </c>
      <c r="BP334" s="181">
        <f t="shared" si="131"/>
        <v>43.904189824070379</v>
      </c>
      <c r="BQ334" s="182">
        <f t="shared" si="132"/>
        <v>72.970717558487749</v>
      </c>
      <c r="BR334" s="183">
        <f t="shared" si="133"/>
        <v>3.56144190895417E-3</v>
      </c>
      <c r="BS334" s="187">
        <f t="shared" si="134"/>
        <v>196330.25277709795</v>
      </c>
      <c r="BT334" s="183">
        <f t="shared" si="135"/>
        <v>699.21879023592248</v>
      </c>
      <c r="BW334" s="53">
        <f t="shared" si="127"/>
        <v>123.91110938157134</v>
      </c>
      <c r="BY334" s="14">
        <f t="shared" si="128"/>
        <v>27.677491165648121</v>
      </c>
      <c r="BZ334" s="53">
        <f t="shared" si="129"/>
        <v>43.753852803651739</v>
      </c>
    </row>
    <row r="335" spans="64:78">
      <c r="BL335" s="175">
        <f t="shared" si="136"/>
        <v>332</v>
      </c>
      <c r="BM335" s="180">
        <f t="shared" si="137"/>
        <v>1256.25</v>
      </c>
      <c r="BO335" s="181">
        <f t="shared" si="130"/>
        <v>61.981521495291283</v>
      </c>
      <c r="BP335" s="181">
        <f t="shared" si="131"/>
        <v>44.035639494202329</v>
      </c>
      <c r="BQ335" s="182">
        <f t="shared" si="132"/>
        <v>72.813301083850178</v>
      </c>
      <c r="BR335" s="183">
        <f t="shared" si="133"/>
        <v>3.4974784013050474E-3</v>
      </c>
      <c r="BS335" s="187">
        <f t="shared" si="134"/>
        <v>199920.83152679837</v>
      </c>
      <c r="BT335" s="183">
        <f t="shared" si="135"/>
        <v>699.21879023592248</v>
      </c>
      <c r="BW335" s="53">
        <f t="shared" si="127"/>
        <v>123.96304299058257</v>
      </c>
      <c r="BY335" s="14">
        <f t="shared" si="128"/>
        <v>27.690474567900928</v>
      </c>
      <c r="BZ335" s="53">
        <f t="shared" si="129"/>
        <v>43.58345292676136</v>
      </c>
    </row>
    <row r="336" spans="64:78">
      <c r="BL336" s="175">
        <f t="shared" si="136"/>
        <v>333</v>
      </c>
      <c r="BM336" s="180">
        <f t="shared" si="137"/>
        <v>1260</v>
      </c>
      <c r="BO336" s="181">
        <f t="shared" si="130"/>
        <v>62.007410902351261</v>
      </c>
      <c r="BP336" s="181">
        <f t="shared" si="131"/>
        <v>44.167089164334271</v>
      </c>
      <c r="BQ336" s="182">
        <f t="shared" si="132"/>
        <v>72.655962006658257</v>
      </c>
      <c r="BR336" s="183">
        <f t="shared" si="133"/>
        <v>3.4346942838793509E-3</v>
      </c>
      <c r="BS336" s="187">
        <f t="shared" si="134"/>
        <v>203575.26243825807</v>
      </c>
      <c r="BT336" s="183">
        <f t="shared" si="135"/>
        <v>699.21879023592373</v>
      </c>
      <c r="BW336" s="53">
        <f t="shared" si="127"/>
        <v>124.01482180470252</v>
      </c>
      <c r="BY336" s="14">
        <f t="shared" si="128"/>
        <v>27.703419271430917</v>
      </c>
      <c r="BZ336" s="53">
        <f t="shared" si="129"/>
        <v>43.413169146039465</v>
      </c>
    </row>
    <row r="337" spans="64:78">
      <c r="BL337" s="175">
        <f t="shared" si="136"/>
        <v>334</v>
      </c>
      <c r="BM337" s="180">
        <f t="shared" si="137"/>
        <v>1263.75</v>
      </c>
      <c r="BO337" s="181">
        <f t="shared" si="130"/>
        <v>62.033223371981151</v>
      </c>
      <c r="BP337" s="181">
        <f t="shared" si="131"/>
        <v>44.298538834466214</v>
      </c>
      <c r="BQ337" s="182">
        <f t="shared" si="132"/>
        <v>72.49869986689643</v>
      </c>
      <c r="BR337" s="183">
        <f t="shared" si="133"/>
        <v>3.3730670976394521E-3</v>
      </c>
      <c r="BS337" s="187">
        <f t="shared" si="134"/>
        <v>207294.65794654706</v>
      </c>
      <c r="BT337" s="183">
        <f t="shared" si="135"/>
        <v>699.21879023592248</v>
      </c>
      <c r="BW337" s="53">
        <f t="shared" si="127"/>
        <v>124.0664467439623</v>
      </c>
      <c r="BY337" s="14">
        <f t="shared" si="128"/>
        <v>27.716325506245862</v>
      </c>
      <c r="BZ337" s="53">
        <f t="shared" si="129"/>
        <v>43.24300077146269</v>
      </c>
    </row>
    <row r="338" spans="64:78">
      <c r="BL338" s="175">
        <f t="shared" si="136"/>
        <v>335</v>
      </c>
      <c r="BM338" s="180">
        <f t="shared" si="137"/>
        <v>1267.5</v>
      </c>
      <c r="BO338" s="181">
        <f t="shared" si="130"/>
        <v>62.058959360107472</v>
      </c>
      <c r="BP338" s="181">
        <f t="shared" si="131"/>
        <v>44.429988504598171</v>
      </c>
      <c r="BQ338" s="182">
        <f t="shared" si="132"/>
        <v>72.341514208638159</v>
      </c>
      <c r="BR338" s="183">
        <f t="shared" si="133"/>
        <v>3.3125748284402617E-3</v>
      </c>
      <c r="BS338" s="187">
        <f t="shared" si="134"/>
        <v>211080.14956605594</v>
      </c>
      <c r="BT338" s="183">
        <f t="shared" si="135"/>
        <v>699.2187902359226</v>
      </c>
      <c r="BW338" s="53">
        <f t="shared" si="127"/>
        <v>124.11791872021494</v>
      </c>
      <c r="BY338" s="14">
        <f t="shared" si="128"/>
        <v>27.729193500309023</v>
      </c>
      <c r="BZ338" s="53">
        <f t="shared" si="129"/>
        <v>43.072947119141233</v>
      </c>
    </row>
    <row r="339" spans="64:78">
      <c r="BL339" s="175">
        <f t="shared" si="136"/>
        <v>336</v>
      </c>
      <c r="BM339" s="180">
        <f t="shared" si="137"/>
        <v>1271.25</v>
      </c>
      <c r="BO339" s="181">
        <f t="shared" si="130"/>
        <v>62.084619318616021</v>
      </c>
      <c r="BP339" s="181">
        <f t="shared" si="131"/>
        <v>44.561438174730114</v>
      </c>
      <c r="BQ339" s="182">
        <f t="shared" si="132"/>
        <v>72.184404579997661</v>
      </c>
      <c r="BR339" s="183">
        <f t="shared" si="133"/>
        <v>3.2531958977852298E-3</v>
      </c>
      <c r="BS339" s="187">
        <f t="shared" si="134"/>
        <v>214932.88821369418</v>
      </c>
      <c r="BT339" s="183">
        <f t="shared" si="135"/>
        <v>699.21879023592123</v>
      </c>
      <c r="BW339" s="53">
        <f t="shared" si="127"/>
        <v>124.16923863723204</v>
      </c>
      <c r="BY339" s="14">
        <f t="shared" si="128"/>
        <v>27.742023479563297</v>
      </c>
      <c r="BZ339" s="53">
        <f t="shared" si="129"/>
        <v>42.903007511246471</v>
      </c>
    </row>
    <row r="340" spans="64:78">
      <c r="BL340" s="175">
        <f t="shared" si="136"/>
        <v>337</v>
      </c>
      <c r="BM340" s="180">
        <f t="shared" si="137"/>
        <v>1275</v>
      </c>
      <c r="BO340" s="181">
        <f t="shared" si="130"/>
        <v>62.110203695399477</v>
      </c>
      <c r="BP340" s="181">
        <f t="shared" si="131"/>
        <v>44.692887844862057</v>
      </c>
      <c r="BQ340" s="182">
        <f t="shared" si="132"/>
        <v>72.027370533082262</v>
      </c>
      <c r="BR340" s="183">
        <f t="shared" si="133"/>
        <v>3.1949091537856536E-3</v>
      </c>
      <c r="BS340" s="187">
        <f t="shared" si="134"/>
        <v>218854.04453751622</v>
      </c>
      <c r="BT340" s="183">
        <f t="shared" si="135"/>
        <v>699.21879023592373</v>
      </c>
      <c r="BW340" s="53">
        <f t="shared" si="127"/>
        <v>124.22040739079895</v>
      </c>
      <c r="BY340" s="14">
        <f t="shared" si="128"/>
        <v>27.754815667955025</v>
      </c>
      <c r="BZ340" s="53">
        <f t="shared" si="129"/>
        <v>42.733181275939359</v>
      </c>
    </row>
    <row r="341" spans="64:78">
      <c r="BL341" s="175">
        <f t="shared" si="136"/>
        <v>338</v>
      </c>
      <c r="BM341" s="180">
        <f t="shared" si="137"/>
        <v>1278.75</v>
      </c>
      <c r="BO341" s="181">
        <f t="shared" si="130"/>
        <v>62.135712934404324</v>
      </c>
      <c r="BP341" s="181">
        <f t="shared" si="131"/>
        <v>44.824337514994014</v>
      </c>
      <c r="BQ341" s="182">
        <f t="shared" si="132"/>
        <v>71.870411623945458</v>
      </c>
      <c r="BR341" s="183">
        <f t="shared" si="133"/>
        <v>3.1376938623183864E-3</v>
      </c>
      <c r="BS341" s="187">
        <f t="shared" si="134"/>
        <v>222844.80925085599</v>
      </c>
      <c r="BT341" s="183">
        <f t="shared" si="135"/>
        <v>699.21879023592237</v>
      </c>
      <c r="BW341" s="53">
        <f t="shared" si="127"/>
        <v>124.27142586880865</v>
      </c>
      <c r="BY341" s="14">
        <f t="shared" si="128"/>
        <v>27.767570287457449</v>
      </c>
      <c r="BZ341" s="53">
        <f t="shared" si="129"/>
        <v>42.563467747300123</v>
      </c>
    </row>
    <row r="342" spans="64:78">
      <c r="BL342" s="175">
        <f t="shared" si="136"/>
        <v>339</v>
      </c>
      <c r="BM342" s="180">
        <f t="shared" si="137"/>
        <v>1282.5</v>
      </c>
      <c r="BO342" s="181">
        <f t="shared" si="130"/>
        <v>62.161147475677076</v>
      </c>
      <c r="BP342" s="181">
        <f t="shared" si="131"/>
        <v>44.955787185125956</v>
      </c>
      <c r="BQ342" s="182">
        <f t="shared" si="132"/>
        <v>71.71352741254077</v>
      </c>
      <c r="BR342" s="183">
        <f t="shared" si="133"/>
        <v>3.0815296983776248E-3</v>
      </c>
      <c r="BS342" s="187">
        <f t="shared" si="134"/>
        <v>226906.3934720635</v>
      </c>
      <c r="BT342" s="183">
        <f t="shared" si="135"/>
        <v>699.21879023592248</v>
      </c>
      <c r="BW342" s="53">
        <f t="shared" si="127"/>
        <v>124.32229495135415</v>
      </c>
      <c r="BY342" s="14">
        <f t="shared" si="128"/>
        <v>27.780287558093825</v>
      </c>
      <c r="BZ342" s="53">
        <f t="shared" si="129"/>
        <v>42.393866265259028</v>
      </c>
    </row>
    <row r="343" spans="64:78">
      <c r="BL343" s="175">
        <f t="shared" si="136"/>
        <v>340</v>
      </c>
      <c r="BM343" s="180">
        <f t="shared" si="137"/>
        <v>1286.25</v>
      </c>
      <c r="BO343" s="181">
        <f t="shared" si="130"/>
        <v>62.186507755409785</v>
      </c>
      <c r="BP343" s="181">
        <f t="shared" si="131"/>
        <v>45.087236855257899</v>
      </c>
      <c r="BQ343" s="182">
        <f t="shared" si="132"/>
        <v>71.556717462676119</v>
      </c>
      <c r="BR343" s="183">
        <f t="shared" si="133"/>
        <v>3.0263967376158172E-3</v>
      </c>
      <c r="BS343" s="187">
        <f t="shared" si="134"/>
        <v>231040.0290699375</v>
      </c>
      <c r="BT343" s="183">
        <f t="shared" si="135"/>
        <v>699.21879023592237</v>
      </c>
      <c r="BW343" s="53">
        <f t="shared" si="127"/>
        <v>124.37301551081957</v>
      </c>
      <c r="BY343" s="14">
        <f t="shared" si="128"/>
        <v>27.792967697960179</v>
      </c>
      <c r="BZ343" s="53">
        <f t="shared" si="129"/>
        <v>42.224376175528036</v>
      </c>
    </row>
    <row r="344" spans="64:78">
      <c r="BL344" s="175">
        <f t="shared" si="136"/>
        <v>341</v>
      </c>
      <c r="BM344" s="180">
        <f t="shared" si="137"/>
        <v>1290</v>
      </c>
      <c r="BO344" s="181">
        <f t="shared" si="130"/>
        <v>62.211794205984972</v>
      </c>
      <c r="BP344" s="181">
        <f t="shared" si="131"/>
        <v>45.218686525389849</v>
      </c>
      <c r="BQ344" s="182">
        <f t="shared" si="132"/>
        <v>71.399981341968981</v>
      </c>
      <c r="BR344" s="183">
        <f t="shared" si="133"/>
        <v>2.9722754480696069E-3</v>
      </c>
      <c r="BS344" s="187">
        <f t="shared" si="134"/>
        <v>235246.96901494835</v>
      </c>
      <c r="BT344" s="183">
        <f t="shared" si="135"/>
        <v>699.2187902359226</v>
      </c>
      <c r="BW344" s="53">
        <f t="shared" si="127"/>
        <v>124.42358841196994</v>
      </c>
      <c r="BY344" s="14">
        <f t="shared" si="128"/>
        <v>27.805610923247773</v>
      </c>
      <c r="BZ344" s="53">
        <f t="shared" si="129"/>
        <v>42.054996829533309</v>
      </c>
    </row>
    <row r="345" spans="64:78">
      <c r="BL345" s="175">
        <f t="shared" si="136"/>
        <v>342</v>
      </c>
      <c r="BM345" s="180">
        <f t="shared" si="137"/>
        <v>1293.75</v>
      </c>
      <c r="BO345" s="181">
        <f t="shared" si="130"/>
        <v>62.237007256019858</v>
      </c>
      <c r="BP345" s="181">
        <f t="shared" si="131"/>
        <v>45.350136195521799</v>
      </c>
      <c r="BQ345" s="182">
        <f t="shared" si="132"/>
        <v>71.243318621802132</v>
      </c>
      <c r="BR345" s="183">
        <f t="shared" si="133"/>
        <v>2.9191466820663375E-3</v>
      </c>
      <c r="BS345" s="187">
        <f t="shared" si="134"/>
        <v>239528.48773634667</v>
      </c>
      <c r="BT345" s="183">
        <f t="shared" si="135"/>
        <v>699.21879023592373</v>
      </c>
      <c r="BW345" s="53">
        <f t="shared" si="127"/>
        <v>124.47401451203972</v>
      </c>
      <c r="BY345" s="14">
        <f t="shared" si="128"/>
        <v>27.818217448265216</v>
      </c>
      <c r="BZ345" s="53">
        <f t="shared" si="129"/>
        <v>41.885727584349041</v>
      </c>
    </row>
    <row r="346" spans="64:78">
      <c r="BL346" s="175">
        <f t="shared" si="136"/>
        <v>343</v>
      </c>
      <c r="BM346" s="180">
        <f t="shared" si="137"/>
        <v>1297.5</v>
      </c>
      <c r="BO346" s="181">
        <f t="shared" si="130"/>
        <v>62.26214733040991</v>
      </c>
      <c r="BP346" s="181">
        <f t="shared" si="131"/>
        <v>45.481585865653749</v>
      </c>
      <c r="BQ346" s="182">
        <f t="shared" si="132"/>
        <v>71.086728877280137</v>
      </c>
      <c r="BR346" s="183">
        <f t="shared" si="133"/>
        <v>2.8669916683069742E-3</v>
      </c>
      <c r="BS346" s="187">
        <f t="shared" si="134"/>
        <v>243885.88148525299</v>
      </c>
      <c r="BT346" s="183">
        <f t="shared" si="135"/>
        <v>699.21879023592248</v>
      </c>
      <c r="BW346" s="53">
        <f t="shared" si="127"/>
        <v>124.52429466081982</v>
      </c>
      <c r="BY346" s="14">
        <f t="shared" si="128"/>
        <v>27.830787485460242</v>
      </c>
      <c r="BZ346" s="53">
        <f t="shared" si="129"/>
        <v>41.716567802632007</v>
      </c>
    </row>
    <row r="347" spans="64:78">
      <c r="BL347" s="175">
        <f t="shared" si="136"/>
        <v>344</v>
      </c>
      <c r="BM347" s="180">
        <f t="shared" si="137"/>
        <v>1301.25</v>
      </c>
      <c r="BO347" s="181">
        <f t="shared" si="130"/>
        <v>62.287214850371846</v>
      </c>
      <c r="BP347" s="181">
        <f t="shared" si="131"/>
        <v>45.613035535785691</v>
      </c>
      <c r="BQ347" s="182">
        <f t="shared" si="132"/>
        <v>70.930211687186258</v>
      </c>
      <c r="BR347" s="183">
        <f t="shared" si="133"/>
        <v>2.8157920041212729E-3</v>
      </c>
      <c r="BS347" s="187">
        <f t="shared" si="134"/>
        <v>248320.46870384109</v>
      </c>
      <c r="BT347" s="183">
        <f t="shared" si="135"/>
        <v>699.21879023592248</v>
      </c>
      <c r="BW347" s="53">
        <f t="shared" si="127"/>
        <v>124.57442970074369</v>
      </c>
      <c r="BY347" s="14">
        <f t="shared" si="128"/>
        <v>27.84332124544121</v>
      </c>
      <c r="BZ347" s="53">
        <f t="shared" si="129"/>
        <v>41.547516852557145</v>
      </c>
    </row>
    <row r="348" spans="64:78">
      <c r="BL348" s="175">
        <f t="shared" si="136"/>
        <v>345</v>
      </c>
      <c r="BM348" s="180">
        <f t="shared" si="137"/>
        <v>1305</v>
      </c>
      <c r="BO348" s="181">
        <f t="shared" si="130"/>
        <v>62.312210233485992</v>
      </c>
      <c r="BP348" s="181">
        <f t="shared" si="131"/>
        <v>45.744485205917634</v>
      </c>
      <c r="BQ348" s="182">
        <f t="shared" si="132"/>
        <v>70.77376663394017</v>
      </c>
      <c r="BR348" s="183">
        <f t="shared" si="133"/>
        <v>2.765529647891262E-3</v>
      </c>
      <c r="BS348" s="187">
        <f t="shared" si="134"/>
        <v>252833.59040069632</v>
      </c>
      <c r="BT348" s="183">
        <f t="shared" si="135"/>
        <v>699.21879023592123</v>
      </c>
      <c r="BW348" s="53">
        <f t="shared" si="127"/>
        <v>124.62442046697198</v>
      </c>
      <c r="BY348" s="14">
        <f t="shared" si="128"/>
        <v>27.855818936998283</v>
      </c>
      <c r="BZ348" s="53">
        <f t="shared" si="129"/>
        <v>41.378574107753998</v>
      </c>
    </row>
    <row r="349" spans="64:78">
      <c r="BL349" s="175">
        <f t="shared" si="136"/>
        <v>346</v>
      </c>
      <c r="BM349" s="180">
        <f t="shared" si="137"/>
        <v>1308.75</v>
      </c>
      <c r="BO349" s="181">
        <f t="shared" si="130"/>
        <v>62.337133893737978</v>
      </c>
      <c r="BP349" s="181">
        <f t="shared" si="131"/>
        <v>45.875934876049591</v>
      </c>
      <c r="BQ349" s="182">
        <f t="shared" si="132"/>
        <v>70.617393303556227</v>
      </c>
      <c r="BR349" s="183">
        <f t="shared" si="133"/>
        <v>2.7161869116391919E-3</v>
      </c>
      <c r="BS349" s="187">
        <f t="shared" si="134"/>
        <v>257426.61053246548</v>
      </c>
      <c r="BT349" s="183">
        <f t="shared" si="135"/>
        <v>699.21879023592248</v>
      </c>
      <c r="BW349" s="53">
        <f t="shared" si="127"/>
        <v>124.67426778747596</v>
      </c>
      <c r="BY349" s="14">
        <f t="shared" si="128"/>
        <v>27.868280767124276</v>
      </c>
      <c r="BZ349" s="53">
        <f t="shared" si="129"/>
        <v>41.209738947244063</v>
      </c>
    </row>
    <row r="350" spans="64:78">
      <c r="BL350" s="175">
        <f t="shared" si="136"/>
        <v>347</v>
      </c>
      <c r="BM350" s="180">
        <f t="shared" si="137"/>
        <v>1312.5</v>
      </c>
      <c r="BO350" s="181">
        <f t="shared" si="130"/>
        <v>62.36198624155989</v>
      </c>
      <c r="BP350" s="181">
        <f t="shared" si="131"/>
        <v>46.007384546181534</v>
      </c>
      <c r="BQ350" s="182">
        <f t="shared" si="132"/>
        <v>70.461091285602379</v>
      </c>
      <c r="BR350" s="183">
        <f t="shared" si="133"/>
        <v>2.6677464537760206E-3</v>
      </c>
      <c r="BS350" s="187">
        <f t="shared" si="134"/>
        <v>262100.91639189475</v>
      </c>
      <c r="BT350" s="183">
        <f t="shared" si="135"/>
        <v>699.21879023592248</v>
      </c>
      <c r="BW350" s="53">
        <f t="shared" si="127"/>
        <v>124.72397248311978</v>
      </c>
      <c r="BY350" s="14">
        <f t="shared" si="128"/>
        <v>27.880706941035232</v>
      </c>
      <c r="BZ350" s="53">
        <f t="shared" si="129"/>
        <v>41.041010755379247</v>
      </c>
    </row>
    <row r="351" spans="64:78">
      <c r="BL351" s="175">
        <f t="shared" si="136"/>
        <v>348</v>
      </c>
      <c r="BM351" s="180">
        <f t="shared" si="137"/>
        <v>1316.25</v>
      </c>
      <c r="BO351" s="181">
        <f t="shared" si="130"/>
        <v>62.386767683870865</v>
      </c>
      <c r="BP351" s="181">
        <f t="shared" si="131"/>
        <v>46.138834216313477</v>
      </c>
      <c r="BQ351" s="182">
        <f t="shared" si="132"/>
        <v>70.304860173159454</v>
      </c>
      <c r="BR351" s="183">
        <f t="shared" si="133"/>
        <v>2.6201912720067709E-3</v>
      </c>
      <c r="BS351" s="187">
        <f t="shared" si="134"/>
        <v>266857.91900237871</v>
      </c>
      <c r="BT351" s="183">
        <f t="shared" si="135"/>
        <v>699.21879023592248</v>
      </c>
      <c r="BW351" s="53">
        <f t="shared" si="127"/>
        <v>124.77353536774173</v>
      </c>
      <c r="BY351" s="14">
        <f t="shared" si="128"/>
        <v>27.893097662190719</v>
      </c>
      <c r="BZ351" s="53">
        <f t="shared" si="129"/>
        <v>40.872388921780846</v>
      </c>
    </row>
    <row r="352" spans="64:78">
      <c r="BL352" s="175">
        <f t="shared" si="136"/>
        <v>349</v>
      </c>
      <c r="BM352" s="180">
        <f t="shared" si="137"/>
        <v>1320</v>
      </c>
      <c r="BO352" s="181">
        <f t="shared" si="130"/>
        <v>62.411478624117002</v>
      </c>
      <c r="BP352" s="181">
        <f t="shared" si="131"/>
        <v>46.270283886445434</v>
      </c>
      <c r="BQ352" s="182">
        <f t="shared" si="132"/>
        <v>70.14869956278136</v>
      </c>
      <c r="BR352" s="183">
        <f t="shared" si="133"/>
        <v>2.5735046963893068E-3</v>
      </c>
      <c r="BS352" s="187">
        <f t="shared" si="134"/>
        <v>271699.05351909576</v>
      </c>
      <c r="BT352" s="183">
        <f t="shared" si="135"/>
        <v>699.2187902359226</v>
      </c>
      <c r="BW352" s="53">
        <f t="shared" si="127"/>
        <v>124.822957248234</v>
      </c>
      <c r="BY352" s="14">
        <f t="shared" si="128"/>
        <v>27.905453132313788</v>
      </c>
      <c r="BZ352" s="53">
        <f t="shared" si="129"/>
        <v>40.703872841279683</v>
      </c>
    </row>
    <row r="353" spans="64:78">
      <c r="BL353" s="175">
        <f t="shared" si="136"/>
        <v>350</v>
      </c>
      <c r="BM353" s="180">
        <f t="shared" si="137"/>
        <v>1323.75</v>
      </c>
      <c r="BO353" s="181">
        <f t="shared" si="130"/>
        <v>62.436119462310828</v>
      </c>
      <c r="BP353" s="181">
        <f t="shared" si="131"/>
        <v>46.401733556577376</v>
      </c>
      <c r="BQ353" s="182">
        <f t="shared" si="132"/>
        <v>69.992609054455585</v>
      </c>
      <c r="BR353" s="183">
        <f t="shared" si="133"/>
        <v>2.5276703825427207E-3</v>
      </c>
      <c r="BS353" s="187">
        <f t="shared" si="134"/>
        <v>276625.77963687672</v>
      </c>
      <c r="BT353" s="183">
        <f t="shared" si="135"/>
        <v>699.21879023592248</v>
      </c>
      <c r="BW353" s="53">
        <f t="shared" si="127"/>
        <v>124.87223892462166</v>
      </c>
      <c r="BY353" s="14">
        <f t="shared" si="128"/>
        <v>27.917773551410701</v>
      </c>
      <c r="BZ353" s="53">
        <f t="shared" si="129"/>
        <v>40.535461913857006</v>
      </c>
    </row>
    <row r="354" spans="64:78">
      <c r="BL354" s="175">
        <f t="shared" si="136"/>
        <v>351</v>
      </c>
      <c r="BM354" s="180">
        <f t="shared" si="137"/>
        <v>1327.5</v>
      </c>
      <c r="BO354" s="181">
        <f t="shared" si="130"/>
        <v>62.460690595070133</v>
      </c>
      <c r="BP354" s="181">
        <f t="shared" si="131"/>
        <v>46.533183226709319</v>
      </c>
      <c r="BQ354" s="182">
        <f t="shared" si="132"/>
        <v>69.836588251564336</v>
      </c>
      <c r="BR354" s="183">
        <f t="shared" si="133"/>
        <v>2.4826723050021026E-3</v>
      </c>
      <c r="BS354" s="187">
        <f t="shared" si="134"/>
        <v>281639.58200489543</v>
      </c>
      <c r="BT354" s="183">
        <f t="shared" si="135"/>
        <v>699.21879023592248</v>
      </c>
      <c r="BW354" s="53">
        <f t="shared" si="127"/>
        <v>124.92138119014027</v>
      </c>
      <c r="BY354" s="14">
        <f t="shared" si="128"/>
        <v>27.930059117790353</v>
      </c>
      <c r="BZ354" s="53">
        <f t="shared" si="129"/>
        <v>40.367155544586083</v>
      </c>
    </row>
    <row r="355" spans="64:78">
      <c r="BL355" s="175">
        <f t="shared" si="136"/>
        <v>352</v>
      </c>
      <c r="BM355" s="180">
        <f t="shared" si="137"/>
        <v>1331.25</v>
      </c>
      <c r="BO355" s="181">
        <f t="shared" si="130"/>
        <v>62.485192415656257</v>
      </c>
      <c r="BP355" s="181">
        <f t="shared" si="131"/>
        <v>46.664632896841269</v>
      </c>
      <c r="BQ355" s="182">
        <f t="shared" si="132"/>
        <v>69.680636760846269</v>
      </c>
      <c r="BR355" s="183">
        <f t="shared" si="133"/>
        <v>2.438494750716337E-3</v>
      </c>
      <c r="BS355" s="187">
        <f t="shared" si="134"/>
        <v>286741.97064829385</v>
      </c>
      <c r="BT355" s="183">
        <f t="shared" si="135"/>
        <v>699.21879023592248</v>
      </c>
      <c r="BW355" s="53">
        <f t="shared" si="127"/>
        <v>124.97038483131251</v>
      </c>
      <c r="BY355" s="14">
        <f t="shared" si="128"/>
        <v>27.942310028083416</v>
      </c>
      <c r="BZ355" s="53">
        <f t="shared" si="129"/>
        <v>40.19895314357494</v>
      </c>
    </row>
    <row r="356" spans="64:78">
      <c r="BL356" s="175">
        <f t="shared" si="136"/>
        <v>353</v>
      </c>
      <c r="BM356" s="180">
        <f t="shared" si="137"/>
        <v>1335</v>
      </c>
      <c r="BO356" s="181">
        <f t="shared" si="130"/>
        <v>62.509625314011885</v>
      </c>
      <c r="BP356" s="181">
        <f t="shared" si="131"/>
        <v>46.796082566973219</v>
      </c>
      <c r="BQ356" s="182">
        <f t="shared" si="132"/>
        <v>69.524754192358699</v>
      </c>
      <c r="BR356" s="183">
        <f t="shared" si="133"/>
        <v>2.3951223126855007E-3</v>
      </c>
      <c r="BS356" s="187">
        <f t="shared" si="134"/>
        <v>291934.48139687371</v>
      </c>
      <c r="BT356" s="183">
        <f t="shared" si="135"/>
        <v>699.21879023592248</v>
      </c>
      <c r="BW356" s="53">
        <f t="shared" si="127"/>
        <v>125.01925062802377</v>
      </c>
      <c r="BY356" s="14">
        <f t="shared" si="128"/>
        <v>27.954526477261229</v>
      </c>
      <c r="BZ356" s="53">
        <f t="shared" si="129"/>
        <v>40.03085412590957</v>
      </c>
    </row>
    <row r="357" spans="64:78">
      <c r="BL357" s="175">
        <f t="shared" si="136"/>
        <v>354</v>
      </c>
      <c r="BM357" s="180">
        <f t="shared" si="137"/>
        <v>1338.75</v>
      </c>
      <c r="BO357" s="181">
        <f t="shared" si="130"/>
        <v>62.533989676798242</v>
      </c>
      <c r="BP357" s="181">
        <f t="shared" si="131"/>
        <v>46.927532237105169</v>
      </c>
      <c r="BQ357" s="182">
        <f t="shared" si="132"/>
        <v>69.368940159440385</v>
      </c>
      <c r="BR357" s="183">
        <f t="shared" si="133"/>
        <v>2.3525398837348421E-3</v>
      </c>
      <c r="BS357" s="187">
        <f t="shared" si="134"/>
        <v>297218.67632095475</v>
      </c>
      <c r="BT357" s="183">
        <f t="shared" si="135"/>
        <v>699.2187902359226</v>
      </c>
      <c r="BW357" s="53">
        <f t="shared" si="127"/>
        <v>125.06797935359648</v>
      </c>
      <c r="BY357" s="14">
        <f t="shared" si="128"/>
        <v>27.966708658654408</v>
      </c>
      <c r="BZ357" s="53">
        <f t="shared" si="129"/>
        <v>39.862857911598084</v>
      </c>
    </row>
    <row r="358" spans="64:78">
      <c r="BL358" s="175">
        <f t="shared" si="136"/>
        <v>355</v>
      </c>
      <c r="BM358" s="180">
        <f t="shared" si="137"/>
        <v>1342.5</v>
      </c>
      <c r="BO358" s="181">
        <f t="shared" si="130"/>
        <v>62.558285887431865</v>
      </c>
      <c r="BP358" s="181">
        <f t="shared" si="131"/>
        <v>47.058981907237111</v>
      </c>
      <c r="BQ358" s="182">
        <f t="shared" si="132"/>
        <v>69.21319427867482</v>
      </c>
      <c r="BR358" s="183">
        <f t="shared" si="133"/>
        <v>2.3107326504221331E-3</v>
      </c>
      <c r="BS358" s="187">
        <f t="shared" si="134"/>
        <v>302596.14417452691</v>
      </c>
      <c r="BT358" s="183">
        <f t="shared" si="135"/>
        <v>699.21879023592248</v>
      </c>
      <c r="BW358" s="53">
        <f t="shared" si="127"/>
        <v>125.11657177486373</v>
      </c>
      <c r="BY358" s="14">
        <f t="shared" si="128"/>
        <v>27.978856763971219</v>
      </c>
      <c r="BZ358" s="53">
        <f t="shared" si="129"/>
        <v>39.694963925515722</v>
      </c>
    </row>
    <row r="359" spans="64:78">
      <c r="BL359" s="175">
        <f t="shared" si="136"/>
        <v>356</v>
      </c>
      <c r="BM359" s="180">
        <f t="shared" si="137"/>
        <v>1346.25</v>
      </c>
      <c r="BO359" s="181">
        <f t="shared" si="130"/>
        <v>62.582514326120766</v>
      </c>
      <c r="BP359" s="181">
        <f t="shared" si="131"/>
        <v>47.190431577369054</v>
      </c>
      <c r="BQ359" s="182">
        <f t="shared" si="132"/>
        <v>69.057516169853983</v>
      </c>
      <c r="BR359" s="183">
        <f t="shared" si="133"/>
        <v>2.2696860870753807E-3</v>
      </c>
      <c r="BS359" s="187">
        <f t="shared" si="134"/>
        <v>308068.5008458182</v>
      </c>
      <c r="BT359" s="183">
        <f t="shared" si="135"/>
        <v>699.21879023592373</v>
      </c>
      <c r="BW359" s="53">
        <f t="shared" si="127"/>
        <v>125.16502865224153</v>
      </c>
      <c r="BY359" s="14">
        <f t="shared" si="128"/>
        <v>27.99097098331567</v>
      </c>
      <c r="BZ359" s="53">
        <f t="shared" si="129"/>
        <v>39.527171597350424</v>
      </c>
    </row>
    <row r="360" spans="64:78">
      <c r="BL360" s="175">
        <f t="shared" si="136"/>
        <v>357</v>
      </c>
      <c r="BM360" s="180">
        <f t="shared" si="137"/>
        <v>1350</v>
      </c>
      <c r="BO360" s="181">
        <f t="shared" si="130"/>
        <v>62.606675369900124</v>
      </c>
      <c r="BP360" s="181">
        <f t="shared" si="131"/>
        <v>47.321881247501011</v>
      </c>
      <c r="BQ360" s="182">
        <f t="shared" si="132"/>
        <v>68.901905455942654</v>
      </c>
      <c r="BR360" s="183">
        <f t="shared" si="133"/>
        <v>2.2293859499579382E-3</v>
      </c>
      <c r="BS360" s="187">
        <f t="shared" si="134"/>
        <v>313637.38981539552</v>
      </c>
      <c r="BT360" s="183">
        <f t="shared" si="135"/>
        <v>699.21879023592373</v>
      </c>
      <c r="BW360" s="53">
        <f t="shared" si="127"/>
        <v>125.21335073980025</v>
      </c>
      <c r="BY360" s="14">
        <f t="shared" si="128"/>
        <v>28.003051505205349</v>
      </c>
      <c r="BZ360" s="53">
        <f t="shared" si="129"/>
        <v>39.35948036154943</v>
      </c>
    </row>
    <row r="361" spans="64:78">
      <c r="BL361" s="175">
        <f t="shared" si="136"/>
        <v>358</v>
      </c>
      <c r="BM361" s="180">
        <f t="shared" si="137"/>
        <v>1353.75</v>
      </c>
      <c r="BO361" s="181">
        <f t="shared" si="130"/>
        <v>62.630769392667531</v>
      </c>
      <c r="BP361" s="181">
        <f t="shared" si="131"/>
        <v>47.453330917632954</v>
      </c>
      <c r="BQ361" s="182">
        <f t="shared" si="132"/>
        <v>68.746361763043311</v>
      </c>
      <c r="BR361" s="183">
        <f t="shared" si="133"/>
        <v>2.1898182715581558E-3</v>
      </c>
      <c r="BS361" s="187">
        <f t="shared" si="134"/>
        <v>319304.48262192839</v>
      </c>
      <c r="BT361" s="183">
        <f t="shared" si="135"/>
        <v>699.21879023592237</v>
      </c>
      <c r="BW361" s="53">
        <f t="shared" si="127"/>
        <v>125.26153878533506</v>
      </c>
      <c r="BY361" s="14">
        <f t="shared" si="128"/>
        <v>28.015098516589052</v>
      </c>
      <c r="BZ361" s="53">
        <f t="shared" si="129"/>
        <v>39.191889657266344</v>
      </c>
    </row>
    <row r="362" spans="64:78">
      <c r="BL362" s="175">
        <f t="shared" si="136"/>
        <v>359</v>
      </c>
      <c r="BM362" s="180">
        <f t="shared" si="137"/>
        <v>1357.5</v>
      </c>
      <c r="BO362" s="181">
        <f t="shared" si="130"/>
        <v>62.654796765217696</v>
      </c>
      <c r="BP362" s="181">
        <f t="shared" si="131"/>
        <v>47.584780587764897</v>
      </c>
      <c r="BQ362" s="182">
        <f t="shared" si="132"/>
        <v>68.590884720361203</v>
      </c>
      <c r="BR362" s="183">
        <f t="shared" si="133"/>
        <v>2.150969355000666E-3</v>
      </c>
      <c r="BS362" s="187">
        <f t="shared" si="134"/>
        <v>325071.4793357469</v>
      </c>
      <c r="BT362" s="183">
        <f t="shared" si="135"/>
        <v>699.21879023592385</v>
      </c>
      <c r="BW362" s="53">
        <f t="shared" si="127"/>
        <v>125.30959353043539</v>
      </c>
      <c r="BY362" s="14">
        <f t="shared" si="128"/>
        <v>28.027112202864135</v>
      </c>
      <c r="BZ362" s="53">
        <f t="shared" si="129"/>
        <v>39.024398928309168</v>
      </c>
    </row>
    <row r="363" spans="64:78">
      <c r="BL363" s="175">
        <f t="shared" si="136"/>
        <v>360</v>
      </c>
      <c r="BM363" s="180">
        <f t="shared" si="137"/>
        <v>1361.25</v>
      </c>
      <c r="BO363" s="181">
        <f t="shared" si="130"/>
        <v>62.678757855276629</v>
      </c>
      <c r="BP363" s="181">
        <f t="shared" si="131"/>
        <v>47.716230257896846</v>
      </c>
      <c r="BQ363" s="182">
        <f t="shared" si="132"/>
        <v>68.435473960170327</v>
      </c>
      <c r="BR363" s="183">
        <f t="shared" si="133"/>
        <v>2.1128257685766542E-3</v>
      </c>
      <c r="BS363" s="187">
        <f t="shared" si="134"/>
        <v>330940.1090403042</v>
      </c>
      <c r="BT363" s="183">
        <f t="shared" si="135"/>
        <v>699.21879023592248</v>
      </c>
      <c r="BW363" s="53">
        <f t="shared" si="127"/>
        <v>125.35751571055326</v>
      </c>
      <c r="BY363" s="14">
        <f t="shared" si="128"/>
        <v>28.039092747893601</v>
      </c>
      <c r="BZ363" s="53">
        <f t="shared" si="129"/>
        <v>38.857007623088819</v>
      </c>
    </row>
    <row r="364" spans="64:78">
      <c r="BL364" s="175">
        <f t="shared" si="136"/>
        <v>361</v>
      </c>
      <c r="BM364" s="180">
        <f t="shared" si="137"/>
        <v>1365</v>
      </c>
      <c r="BO364" s="181">
        <f t="shared" si="130"/>
        <v>62.702653027535497</v>
      </c>
      <c r="BP364" s="181">
        <f t="shared" si="131"/>
        <v>47.847679928028796</v>
      </c>
      <c r="BQ364" s="182">
        <f t="shared" si="132"/>
        <v>68.280129117779495</v>
      </c>
      <c r="BR364" s="183">
        <f t="shared" si="133"/>
        <v>2.0753743403903609E-3</v>
      </c>
      <c r="BS364" s="187">
        <f t="shared" si="134"/>
        <v>336912.1303217063</v>
      </c>
      <c r="BT364" s="183">
        <f t="shared" si="135"/>
        <v>699.21879023592248</v>
      </c>
      <c r="BW364" s="53">
        <f t="shared" si="127"/>
        <v>125.40530605507099</v>
      </c>
      <c r="BY364" s="14">
        <f t="shared" si="128"/>
        <v>28.051040334023035</v>
      </c>
      <c r="BZ364" s="53">
        <f t="shared" si="129"/>
        <v>38.689715194568571</v>
      </c>
    </row>
    <row r="365" spans="64:78">
      <c r="BL365" s="175">
        <f t="shared" si="136"/>
        <v>362</v>
      </c>
      <c r="BM365" s="180">
        <f t="shared" si="137"/>
        <v>1368.75</v>
      </c>
      <c r="BO365" s="181">
        <f t="shared" si="130"/>
        <v>62.726482643683866</v>
      </c>
      <c r="BP365" s="181">
        <f t="shared" si="131"/>
        <v>47.979129598160739</v>
      </c>
      <c r="BQ365" s="182">
        <f t="shared" si="132"/>
        <v>68.124849831499191</v>
      </c>
      <c r="BR365" s="183">
        <f t="shared" si="133"/>
        <v>2.0386021531192352E-3</v>
      </c>
      <c r="BS365" s="187">
        <f t="shared" si="134"/>
        <v>342989.33176640578</v>
      </c>
      <c r="BT365" s="183">
        <f t="shared" si="135"/>
        <v>699.21879023592248</v>
      </c>
      <c r="BW365" s="53">
        <f t="shared" si="127"/>
        <v>125.45296528736773</v>
      </c>
      <c r="BY365" s="14">
        <f t="shared" si="128"/>
        <v>28.06295514209722</v>
      </c>
      <c r="BZ365" s="53">
        <f t="shared" si="129"/>
        <v>38.522521100214078</v>
      </c>
    </row>
    <row r="366" spans="64:78">
      <c r="BL366" s="175">
        <f t="shared" si="136"/>
        <v>363</v>
      </c>
      <c r="BM366" s="180">
        <f t="shared" si="137"/>
        <v>1372.5</v>
      </c>
      <c r="BO366" s="181">
        <f t="shared" si="130"/>
        <v>62.75024706244259</v>
      </c>
      <c r="BP366" s="181">
        <f t="shared" si="131"/>
        <v>48.110579268292689</v>
      </c>
      <c r="BQ366" s="182">
        <f t="shared" si="132"/>
        <v>67.969635742608517</v>
      </c>
      <c r="BR366" s="183">
        <f t="shared" si="133"/>
        <v>2.0024965388851061E-3</v>
      </c>
      <c r="BS366" s="187">
        <f t="shared" si="134"/>
        <v>349173.53246723412</v>
      </c>
      <c r="BT366" s="183">
        <f t="shared" si="135"/>
        <v>699.2187902359226</v>
      </c>
      <c r="BW366" s="53">
        <f t="shared" si="127"/>
        <v>125.50049412488518</v>
      </c>
      <c r="BY366" s="14">
        <f t="shared" si="128"/>
        <v>28.074837351476582</v>
      </c>
      <c r="BZ366" s="53">
        <f t="shared" si="129"/>
        <v>38.355424801944046</v>
      </c>
    </row>
    <row r="367" spans="64:78">
      <c r="BL367" s="175">
        <f t="shared" si="136"/>
        <v>364</v>
      </c>
      <c r="BM367" s="180">
        <f t="shared" si="137"/>
        <v>1376.25</v>
      </c>
      <c r="BO367" s="181">
        <f t="shared" si="130"/>
        <v>62.773946639596161</v>
      </c>
      <c r="BP367" s="181">
        <f t="shared" si="131"/>
        <v>48.242028938424639</v>
      </c>
      <c r="BQ367" s="182">
        <f t="shared" si="132"/>
        <v>67.814486495322996</v>
      </c>
      <c r="BR367" s="183">
        <f t="shared" si="133"/>
        <v>1.9670450742340358E-3</v>
      </c>
      <c r="BS367" s="187">
        <f t="shared" si="134"/>
        <v>355466.58253786946</v>
      </c>
      <c r="BT367" s="183">
        <f t="shared" si="135"/>
        <v>699.21879023592237</v>
      </c>
      <c r="BW367" s="53">
        <f t="shared" si="127"/>
        <v>125.54789327919232</v>
      </c>
      <c r="BY367" s="14">
        <f t="shared" si="128"/>
        <v>28.086687140053368</v>
      </c>
      <c r="BZ367" s="53">
        <f t="shared" si="129"/>
        <v>38.18842576608175</v>
      </c>
    </row>
    <row r="368" spans="64:78">
      <c r="BL368" s="175">
        <f t="shared" si="136"/>
        <v>365</v>
      </c>
      <c r="BM368" s="180">
        <f t="shared" si="137"/>
        <v>1380</v>
      </c>
      <c r="BO368" s="181">
        <f t="shared" si="130"/>
        <v>62.797581728024731</v>
      </c>
      <c r="BP368" s="181">
        <f t="shared" si="131"/>
        <v>48.373478608556582</v>
      </c>
      <c r="BQ368" s="182">
        <f t="shared" si="132"/>
        <v>67.659401736762476</v>
      </c>
      <c r="BR368" s="183">
        <f t="shared" si="133"/>
        <v>1.9322355752222063E-3</v>
      </c>
      <c r="BS368" s="187">
        <f t="shared" si="134"/>
        <v>361870.36363592086</v>
      </c>
      <c r="BT368" s="183">
        <f t="shared" si="135"/>
        <v>699.21879023592248</v>
      </c>
      <c r="BW368" s="53">
        <f t="shared" si="127"/>
        <v>125.59516345604946</v>
      </c>
      <c r="BY368" s="14">
        <f t="shared" si="128"/>
        <v>28.098504684267652</v>
      </c>
      <c r="BZ368" s="53">
        <f t="shared" si="129"/>
        <v>38.02152346330692</v>
      </c>
    </row>
    <row r="369" spans="64:78">
      <c r="BL369" s="175">
        <f t="shared" si="136"/>
        <v>366</v>
      </c>
      <c r="BM369" s="180">
        <f t="shared" si="137"/>
        <v>1383.75</v>
      </c>
      <c r="BO369" s="181">
        <f t="shared" si="130"/>
        <v>62.821152677735583</v>
      </c>
      <c r="BP369" s="181">
        <f t="shared" si="131"/>
        <v>48.504928278688531</v>
      </c>
      <c r="BQ369" s="182">
        <f t="shared" si="132"/>
        <v>67.504381116919689</v>
      </c>
      <c r="BR369" s="183">
        <f t="shared" si="133"/>
        <v>1.8980560926056605E-3</v>
      </c>
      <c r="BS369" s="187">
        <f t="shared" si="134"/>
        <v>368386.78949473589</v>
      </c>
      <c r="BT369" s="183">
        <f t="shared" si="135"/>
        <v>699.21879023592237</v>
      </c>
      <c r="BW369" s="53">
        <f t="shared" si="127"/>
        <v>125.64230535547117</v>
      </c>
      <c r="BY369" s="14">
        <f t="shared" si="128"/>
        <v>28.110290159123078</v>
      </c>
      <c r="BZ369" s="53">
        <f t="shared" si="129"/>
        <v>37.854717368608704</v>
      </c>
    </row>
    <row r="370" spans="64:78">
      <c r="BL370" s="175">
        <f t="shared" si="136"/>
        <v>367</v>
      </c>
      <c r="BM370" s="180">
        <f t="shared" si="137"/>
        <v>1387.5</v>
      </c>
      <c r="BO370" s="181">
        <f t="shared" si="130"/>
        <v>62.844659835894277</v>
      </c>
      <c r="BP370" s="181">
        <f t="shared" si="131"/>
        <v>48.636377948820474</v>
      </c>
      <c r="BQ370" s="182">
        <f t="shared" si="132"/>
        <v>67.349424288629052</v>
      </c>
      <c r="BR370" s="183">
        <f t="shared" si="133"/>
        <v>1.8644949071314157E-3</v>
      </c>
      <c r="BS370" s="187">
        <f t="shared" si="134"/>
        <v>375017.80646410707</v>
      </c>
      <c r="BT370" s="183">
        <f t="shared" si="135"/>
        <v>699.2187902359226</v>
      </c>
      <c r="BW370" s="53">
        <f t="shared" si="127"/>
        <v>125.68931967178855</v>
      </c>
      <c r="BY370" s="14">
        <f t="shared" si="128"/>
        <v>28.122043738202425</v>
      </c>
      <c r="BZ370" s="53">
        <f t="shared" si="129"/>
        <v>37.688006961238727</v>
      </c>
    </row>
    <row r="371" spans="64:78">
      <c r="BL371" s="175">
        <f t="shared" si="136"/>
        <v>368</v>
      </c>
      <c r="BM371" s="180">
        <f t="shared" si="137"/>
        <v>1391.25</v>
      </c>
      <c r="BO371" s="181">
        <f t="shared" si="130"/>
        <v>62.868103546855295</v>
      </c>
      <c r="BP371" s="181">
        <f t="shared" si="131"/>
        <v>48.767827618952431</v>
      </c>
      <c r="BQ371" s="182">
        <f t="shared" si="132"/>
        <v>67.194530907536063</v>
      </c>
      <c r="BR371" s="183">
        <f t="shared" si="133"/>
        <v>1.8315405249278269E-3</v>
      </c>
      <c r="BS371" s="187">
        <f t="shared" si="134"/>
        <v>381765.39405999531</v>
      </c>
      <c r="BT371" s="183">
        <f t="shared" si="135"/>
        <v>699.21879023592248</v>
      </c>
      <c r="BW371" s="53">
        <f t="shared" si="127"/>
        <v>125.73620709371059</v>
      </c>
      <c r="BY371" s="14">
        <f t="shared" si="128"/>
        <v>28.133765593682934</v>
      </c>
      <c r="BZ371" s="53">
        <f t="shared" si="129"/>
        <v>37.52139172466525</v>
      </c>
    </row>
    <row r="372" spans="64:78">
      <c r="BL372" s="175">
        <f t="shared" si="136"/>
        <v>369</v>
      </c>
      <c r="BM372" s="180">
        <f t="shared" si="137"/>
        <v>1395</v>
      </c>
      <c r="BO372" s="181">
        <f t="shared" si="130"/>
        <v>62.891484152192319</v>
      </c>
      <c r="BP372" s="181">
        <f t="shared" si="131"/>
        <v>48.899277289084374</v>
      </c>
      <c r="BQ372" s="182">
        <f t="shared" si="132"/>
        <v>67.03970063206711</v>
      </c>
      <c r="BR372" s="183">
        <f t="shared" si="133"/>
        <v>1.7991816729918831E-3</v>
      </c>
      <c r="BS372" s="187">
        <f t="shared" si="134"/>
        <v>388631.56552344351</v>
      </c>
      <c r="BT372" s="183">
        <f t="shared" si="135"/>
        <v>699.21879023592373</v>
      </c>
      <c r="BW372" s="53">
        <f t="shared" si="127"/>
        <v>125.78296830438464</v>
      </c>
      <c r="BY372" s="14">
        <f t="shared" si="128"/>
        <v>28.145455896351447</v>
      </c>
      <c r="BZ372" s="53">
        <f t="shared" si="129"/>
        <v>37.354871146527756</v>
      </c>
    </row>
    <row r="373" spans="64:78">
      <c r="BL373" s="175">
        <f t="shared" si="136"/>
        <v>370</v>
      </c>
      <c r="BM373" s="180">
        <f t="shared" si="137"/>
        <v>1398.75</v>
      </c>
      <c r="BO373" s="181">
        <f t="shared" si="130"/>
        <v>62.914801990728137</v>
      </c>
      <c r="BP373" s="181">
        <f t="shared" si="131"/>
        <v>49.030726959216317</v>
      </c>
      <c r="BQ373" s="182">
        <f t="shared" si="132"/>
        <v>66.88493312339935</v>
      </c>
      <c r="BR373" s="183">
        <f t="shared" si="133"/>
        <v>1.7674072947712746E-3</v>
      </c>
      <c r="BS373" s="187">
        <f t="shared" si="134"/>
        <v>395618.36838882708</v>
      </c>
      <c r="BT373" s="183">
        <f t="shared" si="135"/>
        <v>699.21879023592237</v>
      </c>
      <c r="BW373" s="53">
        <f t="shared" si="127"/>
        <v>125.82960398145627</v>
      </c>
      <c r="BY373" s="14">
        <f t="shared" si="128"/>
        <v>28.157114815619355</v>
      </c>
      <c r="BZ373" s="53">
        <f t="shared" si="129"/>
        <v>37.188444718592095</v>
      </c>
    </row>
    <row r="374" spans="64:78">
      <c r="BL374" s="175">
        <f t="shared" si="136"/>
        <v>371</v>
      </c>
      <c r="BM374" s="180">
        <f t="shared" si="137"/>
        <v>1402.5</v>
      </c>
      <c r="BO374" s="181">
        <f t="shared" si="130"/>
        <v>62.938057398563984</v>
      </c>
      <c r="BP374" s="181">
        <f t="shared" si="131"/>
        <v>49.162176629348266</v>
      </c>
      <c r="BQ374" s="182">
        <f t="shared" si="132"/>
        <v>66.730228045431545</v>
      </c>
      <c r="BR374" s="183">
        <f t="shared" si="133"/>
        <v>1.7362065458392654E-3</v>
      </c>
      <c r="BS374" s="187">
        <f t="shared" si="134"/>
        <v>402727.88506158238</v>
      </c>
      <c r="BT374" s="183">
        <f t="shared" si="135"/>
        <v>699.2187902359226</v>
      </c>
      <c r="BW374" s="53">
        <f t="shared" si="127"/>
        <v>125.87611479712797</v>
      </c>
      <c r="BY374" s="14">
        <f t="shared" si="128"/>
        <v>28.168742519537279</v>
      </c>
      <c r="BZ374" s="53">
        <f t="shared" si="129"/>
        <v>37.022111936706366</v>
      </c>
    </row>
    <row r="375" spans="64:78">
      <c r="BL375" s="175">
        <f t="shared" si="136"/>
        <v>372</v>
      </c>
      <c r="BM375" s="180">
        <f t="shared" si="137"/>
        <v>1406.25</v>
      </c>
      <c r="BO375" s="181">
        <f t="shared" si="130"/>
        <v>62.961250709108754</v>
      </c>
      <c r="BP375" s="181">
        <f t="shared" si="131"/>
        <v>49.293626299480216</v>
      </c>
      <c r="BQ375" s="182">
        <f t="shared" si="132"/>
        <v>66.575585064754819</v>
      </c>
      <c r="BR375" s="183">
        <f t="shared" si="133"/>
        <v>1.7055687896601226E-3</v>
      </c>
      <c r="BS375" s="187">
        <f t="shared" si="134"/>
        <v>409962.2334055847</v>
      </c>
      <c r="BT375" s="183">
        <f t="shared" si="135"/>
        <v>699.21879023592385</v>
      </c>
      <c r="BW375" s="53">
        <f t="shared" si="127"/>
        <v>125.92250141821751</v>
      </c>
      <c r="BY375" s="14">
        <f t="shared" si="128"/>
        <v>28.180339174809664</v>
      </c>
      <c r="BZ375" s="53">
        <f t="shared" si="129"/>
        <v>36.855872300757255</v>
      </c>
    </row>
    <row r="376" spans="64:78">
      <c r="BL376" s="175">
        <f t="shared" si="136"/>
        <v>373</v>
      </c>
      <c r="BM376" s="180">
        <f t="shared" si="137"/>
        <v>1410</v>
      </c>
      <c r="BO376" s="181">
        <f t="shared" si="130"/>
        <v>62.984382253107597</v>
      </c>
      <c r="BP376" s="181">
        <f t="shared" si="131"/>
        <v>49.425075969612159</v>
      </c>
      <c r="BQ376" s="182">
        <f t="shared" si="132"/>
        <v>66.421003850624032</v>
      </c>
      <c r="BR376" s="183">
        <f t="shared" si="133"/>
        <v>1.6754835934432069E-3</v>
      </c>
      <c r="BS376" s="187">
        <f t="shared" si="134"/>
        <v>417323.56734033494</v>
      </c>
      <c r="BT376" s="183">
        <f t="shared" si="135"/>
        <v>699.21879023592248</v>
      </c>
      <c r="BW376" s="53">
        <f t="shared" si="127"/>
        <v>125.96876450621519</v>
      </c>
      <c r="BY376" s="14">
        <f t="shared" si="128"/>
        <v>28.191904946809085</v>
      </c>
      <c r="BZ376" s="53">
        <f t="shared" si="129"/>
        <v>36.689725314627069</v>
      </c>
    </row>
    <row r="377" spans="64:78">
      <c r="BL377" s="175">
        <f t="shared" si="136"/>
        <v>374</v>
      </c>
      <c r="BM377" s="180">
        <f t="shared" si="137"/>
        <v>1413.75</v>
      </c>
      <c r="BO377" s="181">
        <f t="shared" si="130"/>
        <v>63.007452358670236</v>
      </c>
      <c r="BP377" s="181">
        <f t="shared" si="131"/>
        <v>49.556525639744109</v>
      </c>
      <c r="BQ377" s="182">
        <f t="shared" si="132"/>
        <v>66.266484074929451</v>
      </c>
      <c r="BR377" s="183">
        <f t="shared" si="133"/>
        <v>1.6459407240837585E-3</v>
      </c>
      <c r="BS377" s="187">
        <f t="shared" si="134"/>
        <v>424814.07744811388</v>
      </c>
      <c r="BT377" s="183">
        <f t="shared" si="135"/>
        <v>699.21879023592237</v>
      </c>
      <c r="BW377" s="53">
        <f t="shared" si="127"/>
        <v>126.01490471734047</v>
      </c>
      <c r="BY377" s="14">
        <f t="shared" si="128"/>
        <v>28.203439999590405</v>
      </c>
      <c r="BZ377" s="53">
        <f t="shared" si="129"/>
        <v>36.523670486151147</v>
      </c>
    </row>
    <row r="378" spans="64:78">
      <c r="BL378" s="175">
        <f t="shared" si="136"/>
        <v>375</v>
      </c>
      <c r="BM378" s="180">
        <f t="shared" si="137"/>
        <v>1417.5</v>
      </c>
      <c r="BO378" s="181">
        <f t="shared" si="130"/>
        <v>63.030461351298889</v>
      </c>
      <c r="BP378" s="181">
        <f t="shared" si="131"/>
        <v>49.687975309876059</v>
      </c>
      <c r="BQ378" s="182">
        <f t="shared" si="132"/>
        <v>66.112025412168848</v>
      </c>
      <c r="BR378" s="183">
        <f t="shared" si="133"/>
        <v>1.616930144188427E-3</v>
      </c>
      <c r="BS378" s="187">
        <f t="shared" si="134"/>
        <v>432435.99159126065</v>
      </c>
      <c r="BT378" s="183">
        <f t="shared" si="135"/>
        <v>699.21879023592248</v>
      </c>
      <c r="BW378" s="53">
        <f t="shared" si="127"/>
        <v>126.06092270259778</v>
      </c>
      <c r="BY378" s="14">
        <f t="shared" si="128"/>
        <v>28.214944495904732</v>
      </c>
      <c r="BZ378" s="53">
        <f t="shared" si="129"/>
        <v>36.357707327076227</v>
      </c>
    </row>
    <row r="379" spans="64:78">
      <c r="BL379" s="175">
        <f t="shared" si="136"/>
        <v>376</v>
      </c>
      <c r="BM379" s="180">
        <f t="shared" si="137"/>
        <v>1421.25</v>
      </c>
      <c r="BO379" s="181">
        <f t="shared" si="130"/>
        <v>63.05340955391582</v>
      </c>
      <c r="BP379" s="181">
        <f t="shared" si="131"/>
        <v>49.819424980008002</v>
      </c>
      <c r="BQ379" s="182">
        <f t="shared" si="132"/>
        <v>65.957627539419974</v>
      </c>
      <c r="BR379" s="183">
        <f t="shared" si="133"/>
        <v>1.5884420081836938E-3</v>
      </c>
      <c r="BS379" s="187">
        <f t="shared" si="134"/>
        <v>440191.57553976204</v>
      </c>
      <c r="BT379" s="183">
        <f t="shared" si="135"/>
        <v>699.21879023592373</v>
      </c>
      <c r="BW379" s="53">
        <f t="shared" si="127"/>
        <v>126.10681910783164</v>
      </c>
      <c r="BY379" s="14">
        <f t="shared" si="128"/>
        <v>28.226418597213197</v>
      </c>
      <c r="BZ379" s="53">
        <f t="shared" si="129"/>
        <v>36.191835353018874</v>
      </c>
    </row>
    <row r="380" spans="64:78">
      <c r="BL380" s="175">
        <f t="shared" si="136"/>
        <v>377</v>
      </c>
      <c r="BM380" s="180">
        <f t="shared" si="137"/>
        <v>1425</v>
      </c>
      <c r="BO380" s="181">
        <f t="shared" si="130"/>
        <v>63.076297286890579</v>
      </c>
      <c r="BP380" s="181">
        <f t="shared" si="131"/>
        <v>49.950874650139951</v>
      </c>
      <c r="BQ380" s="182">
        <f t="shared" si="132"/>
        <v>65.803290136313265</v>
      </c>
      <c r="BR380" s="183">
        <f t="shared" si="133"/>
        <v>1.5604666585053426E-3</v>
      </c>
      <c r="BS380" s="187">
        <f t="shared" si="134"/>
        <v>448083.13360930968</v>
      </c>
      <c r="BT380" s="183">
        <f t="shared" si="135"/>
        <v>699.21879023592248</v>
      </c>
      <c r="BW380" s="53">
        <f t="shared" si="127"/>
        <v>126.15259457378116</v>
      </c>
      <c r="BY380" s="14">
        <f t="shared" si="128"/>
        <v>28.237862463700576</v>
      </c>
      <c r="BZ380" s="53">
        <f t="shared" si="129"/>
        <v>36.026054083424796</v>
      </c>
    </row>
    <row r="381" spans="64:78">
      <c r="BL381" s="175">
        <f t="shared" si="136"/>
        <v>378</v>
      </c>
      <c r="BM381" s="180">
        <f t="shared" si="137"/>
        <v>1428.75</v>
      </c>
      <c r="BO381" s="181">
        <f t="shared" si="130"/>
        <v>63.099124868066767</v>
      </c>
      <c r="BP381" s="181">
        <f t="shared" si="131"/>
        <v>50.082324320271894</v>
      </c>
      <c r="BQ381" s="182">
        <f t="shared" si="132"/>
        <v>65.649012885005135</v>
      </c>
      <c r="BR381" s="183">
        <f t="shared" si="133"/>
        <v>1.5329946218672686E-3</v>
      </c>
      <c r="BS381" s="187">
        <f t="shared" si="134"/>
        <v>456113.00930999732</v>
      </c>
      <c r="BT381" s="183">
        <f t="shared" si="135"/>
        <v>699.21879023592135</v>
      </c>
      <c r="BW381" s="53">
        <f t="shared" si="127"/>
        <v>126.19824973613353</v>
      </c>
      <c r="BY381" s="14">
        <f t="shared" si="128"/>
        <v>28.24927625428867</v>
      </c>
      <c r="BZ381" s="53">
        <f t="shared" si="129"/>
        <v>35.860363041528558</v>
      </c>
    </row>
    <row r="382" spans="64:78">
      <c r="BL382" s="175">
        <f t="shared" si="136"/>
        <v>379</v>
      </c>
      <c r="BM382" s="180">
        <f t="shared" si="137"/>
        <v>1432.5</v>
      </c>
      <c r="BO382" s="181">
        <f t="shared" si="130"/>
        <v>63.121892612788557</v>
      </c>
      <c r="BP382" s="181">
        <f t="shared" si="131"/>
        <v>50.213773990403851</v>
      </c>
      <c r="BQ382" s="182">
        <f t="shared" si="132"/>
        <v>65.494795470151388</v>
      </c>
      <c r="BR382" s="183">
        <f t="shared" si="133"/>
        <v>1.5060166056077486E-3</v>
      </c>
      <c r="BS382" s="187">
        <f t="shared" si="134"/>
        <v>464283.58600585023</v>
      </c>
      <c r="BT382" s="183">
        <f t="shared" si="135"/>
        <v>699.21879023592373</v>
      </c>
      <c r="BW382" s="53">
        <f t="shared" si="127"/>
        <v>126.24378522557711</v>
      </c>
      <c r="BY382" s="14">
        <f t="shared" si="128"/>
        <v>28.260660126649565</v>
      </c>
      <c r="BZ382" s="53">
        <f t="shared" si="129"/>
        <v>35.694761754313944</v>
      </c>
    </row>
    <row r="383" spans="64:78">
      <c r="BL383" s="175">
        <f t="shared" si="136"/>
        <v>380</v>
      </c>
      <c r="BM383" s="180">
        <f t="shared" si="137"/>
        <v>1436.25</v>
      </c>
      <c r="BO383" s="181">
        <f t="shared" si="130"/>
        <v>63.14460083392683</v>
      </c>
      <c r="BP383" s="181">
        <f t="shared" si="131"/>
        <v>50.345223660535794</v>
      </c>
      <c r="BQ383" s="182">
        <f t="shared" si="132"/>
        <v>65.340637578881172</v>
      </c>
      <c r="BR383" s="183">
        <f t="shared" si="133"/>
        <v>1.4795234941116123E-3</v>
      </c>
      <c r="BS383" s="187">
        <f t="shared" si="134"/>
        <v>472597.28758533299</v>
      </c>
      <c r="BT383" s="183">
        <f t="shared" si="135"/>
        <v>699.21879023592237</v>
      </c>
      <c r="BW383" s="53">
        <f t="shared" si="127"/>
        <v>126.28920166785366</v>
      </c>
      <c r="BY383" s="14">
        <f t="shared" si="128"/>
        <v>28.272014237218702</v>
      </c>
      <c r="BZ383" s="53">
        <f t="shared" si="129"/>
        <v>35.52924975247457</v>
      </c>
    </row>
    <row r="384" spans="64:78">
      <c r="BL384" s="175">
        <f t="shared" si="136"/>
        <v>381</v>
      </c>
      <c r="BM384" s="180">
        <f t="shared" si="137"/>
        <v>1440</v>
      </c>
      <c r="BO384" s="181">
        <f t="shared" si="130"/>
        <v>63.167249841904997</v>
      </c>
      <c r="BP384" s="181">
        <f t="shared" si="131"/>
        <v>50.476673330667737</v>
      </c>
      <c r="BQ384" s="182">
        <f t="shared" si="132"/>
        <v>65.186538900771069</v>
      </c>
      <c r="BR384" s="183">
        <f t="shared" si="133"/>
        <v>1.4535063453065518E-3</v>
      </c>
      <c r="BS384" s="187">
        <f t="shared" si="134"/>
        <v>481056.57914307469</v>
      </c>
      <c r="BT384" s="183">
        <f t="shared" si="135"/>
        <v>699.21879023592248</v>
      </c>
      <c r="BW384" s="53">
        <f t="shared" si="127"/>
        <v>126.33449968380999</v>
      </c>
      <c r="BY384" s="14">
        <f t="shared" si="128"/>
        <v>28.283338741207785</v>
      </c>
      <c r="BZ384" s="53">
        <f t="shared" si="129"/>
        <v>35.36382657037538</v>
      </c>
    </row>
    <row r="385" spans="64:78">
      <c r="BL385" s="175">
        <f t="shared" si="136"/>
        <v>382</v>
      </c>
      <c r="BM385" s="180">
        <f t="shared" si="137"/>
        <v>1443.75</v>
      </c>
      <c r="BO385" s="181">
        <f t="shared" si="130"/>
        <v>63.18983994472439</v>
      </c>
      <c r="BP385" s="181">
        <f t="shared" si="131"/>
        <v>50.608123000799687</v>
      </c>
      <c r="BQ385" s="182">
        <f t="shared" si="132"/>
        <v>65.032499127819719</v>
      </c>
      <c r="BR385" s="183">
        <f t="shared" si="133"/>
        <v>1.4279563872320123E-3</v>
      </c>
      <c r="BS385" s="187">
        <f t="shared" si="134"/>
        <v>489663.96767292393</v>
      </c>
      <c r="BT385" s="183">
        <f t="shared" si="135"/>
        <v>699.21879023592135</v>
      </c>
      <c r="BW385" s="53">
        <f t="shared" si="127"/>
        <v>126.37967988944878</v>
      </c>
      <c r="BY385" s="14">
        <f t="shared" si="128"/>
        <v>28.294633792617482</v>
      </c>
      <c r="BZ385" s="53">
        <f t="shared" si="129"/>
        <v>35.198491746014334</v>
      </c>
    </row>
    <row r="386" spans="64:78">
      <c r="BL386" s="175">
        <f t="shared" si="136"/>
        <v>383</v>
      </c>
      <c r="BM386" s="180">
        <f t="shared" si="137"/>
        <v>1447.5</v>
      </c>
      <c r="BO386" s="181">
        <f t="shared" si="130"/>
        <v>63.212371447989483</v>
      </c>
      <c r="BP386" s="181">
        <f t="shared" si="131"/>
        <v>50.739572670931636</v>
      </c>
      <c r="BQ386" s="182">
        <f t="shared" si="132"/>
        <v>64.878517954422676</v>
      </c>
      <c r="BR386" s="183">
        <f t="shared" si="133"/>
        <v>1.4028650146790497E-3</v>
      </c>
      <c r="BS386" s="187">
        <f t="shared" si="134"/>
        <v>498422.00277258491</v>
      </c>
      <c r="BT386" s="183">
        <f t="shared" si="135"/>
        <v>699.21879023592373</v>
      </c>
      <c r="BW386" s="53">
        <f t="shared" si="127"/>
        <v>126.42474289597897</v>
      </c>
      <c r="BY386" s="14">
        <f t="shared" si="128"/>
        <v>28.305899544250028</v>
      </c>
      <c r="BZ386" s="53">
        <f t="shared" si="129"/>
        <v>35.033244820984748</v>
      </c>
    </row>
    <row r="387" spans="64:78">
      <c r="BL387" s="175">
        <f t="shared" si="136"/>
        <v>384</v>
      </c>
      <c r="BM387" s="180">
        <f t="shared" si="137"/>
        <v>1451.25</v>
      </c>
      <c r="BO387" s="181">
        <f t="shared" si="130"/>
        <v>63.234844654932601</v>
      </c>
      <c r="BP387" s="181">
        <f t="shared" si="131"/>
        <v>50.871022341063579</v>
      </c>
      <c r="BQ387" s="182">
        <f t="shared" si="132"/>
        <v>64.724595077347615</v>
      </c>
      <c r="BR387" s="183">
        <f t="shared" si="133"/>
        <v>1.3782237858995896E-3</v>
      </c>
      <c r="BS387" s="187">
        <f t="shared" si="134"/>
        <v>507333.277359984</v>
      </c>
      <c r="BT387" s="183">
        <f t="shared" si="135"/>
        <v>699.21879023592373</v>
      </c>
      <c r="BW387" s="53">
        <f t="shared" si="127"/>
        <v>126.4696893098652</v>
      </c>
      <c r="BY387" s="14">
        <f t="shared" si="128"/>
        <v>28.317136147721587</v>
      </c>
      <c r="BZ387" s="53">
        <f t="shared" si="129"/>
        <v>34.868085340438142</v>
      </c>
    </row>
    <row r="388" spans="64:78">
      <c r="BL388" s="175">
        <f t="shared" si="136"/>
        <v>385</v>
      </c>
      <c r="BM388" s="180">
        <f t="shared" si="137"/>
        <v>1455</v>
      </c>
      <c r="BO388" s="181">
        <f t="shared" si="130"/>
        <v>63.257259866438524</v>
      </c>
      <c r="BP388" s="181">
        <f t="shared" si="131"/>
        <v>51.002472011195529</v>
      </c>
      <c r="BQ388" s="182">
        <f t="shared" si="132"/>
        <v>64.570730195709743</v>
      </c>
      <c r="BR388" s="183">
        <f t="shared" si="133"/>
        <v>1.3540244193836163E-3</v>
      </c>
      <c r="BS388" s="187">
        <f t="shared" si="134"/>
        <v>516400.42840159667</v>
      </c>
      <c r="BT388" s="183">
        <f t="shared" si="135"/>
        <v>699.2187902359226</v>
      </c>
      <c r="BW388" s="53">
        <f t="shared" ref="BW388:BW394" si="138">40*LOG10(BM388)</f>
        <v>126.51451973287705</v>
      </c>
      <c r="BY388" s="14">
        <f t="shared" ref="BY388:BY394" si="139">10*LOG10(($D$29*($D$23/1000000))/2)+$J$12+10*LOG10(BM388)</f>
        <v>28.328343753474549</v>
      </c>
      <c r="BZ388" s="53">
        <f t="shared" ref="BZ388:BZ394" si="140">$BN$4-(BW388+BP388)+$BX$4+BY388</f>
        <v>34.703012853047291</v>
      </c>
    </row>
    <row r="389" spans="64:78">
      <c r="BL389" s="175">
        <f t="shared" si="136"/>
        <v>386</v>
      </c>
      <c r="BM389" s="180">
        <f t="shared" si="137"/>
        <v>1458.75</v>
      </c>
      <c r="BO389" s="181">
        <f t="shared" ref="BO389:BO394" si="141">20*LOG10(BM389)</f>
        <v>63.279617381068533</v>
      </c>
      <c r="BP389" s="181">
        <f t="shared" ref="BP389:BP394" si="142">2*$J$6*(BM389/1000)</f>
        <v>51.133921681327479</v>
      </c>
      <c r="BQ389" s="182">
        <f t="shared" ref="BQ389:BQ394" si="143">$BN$4-(BO389+BP389)+$BN$8+$BN$10</f>
        <v>64.416923010947784</v>
      </c>
      <c r="BR389" s="183">
        <f t="shared" ref="BR389:BR394" si="144">POWER(10,(BQ389+$D$16)*0.05)*1000</f>
        <v>1.3302587907028046E-3</v>
      </c>
      <c r="BS389" s="187">
        <f t="shared" ref="BS389:BS394" si="145">POWER(10,0.05*(BO389+BP389))</f>
        <v>525626.13765289134</v>
      </c>
      <c r="BT389" s="183">
        <f t="shared" ref="BT389:BT394" si="146">BR389*BS389</f>
        <v>699.21879023592112</v>
      </c>
      <c r="BW389" s="53">
        <f t="shared" si="138"/>
        <v>126.55923476213707</v>
      </c>
      <c r="BY389" s="14">
        <f t="shared" si="139"/>
        <v>28.339522510789553</v>
      </c>
      <c r="BZ389" s="53">
        <f t="shared" si="140"/>
        <v>34.538026910970331</v>
      </c>
    </row>
    <row r="390" spans="64:78">
      <c r="BL390" s="175">
        <f t="shared" ref="BL390:BL394" si="147">BL389+1</f>
        <v>387</v>
      </c>
      <c r="BM390" s="180">
        <f t="shared" ref="BM390:BM394" si="148">BM389+$J$46</f>
        <v>1462.5</v>
      </c>
      <c r="BO390" s="181">
        <f t="shared" si="141"/>
        <v>63.301917495084361</v>
      </c>
      <c r="BP390" s="181">
        <f t="shared" si="142"/>
        <v>51.265371351459422</v>
      </c>
      <c r="BQ390" s="182">
        <f t="shared" si="143"/>
        <v>64.263173226800006</v>
      </c>
      <c r="BR390" s="183">
        <f t="shared" si="144"/>
        <v>1.3069189294191209E-3</v>
      </c>
      <c r="BS390" s="187">
        <f t="shared" si="145"/>
        <v>535013.13241112861</v>
      </c>
      <c r="BT390" s="183">
        <f t="shared" si="146"/>
        <v>699.2187902359226</v>
      </c>
      <c r="BW390" s="53">
        <f t="shared" si="138"/>
        <v>126.60383499016872</v>
      </c>
      <c r="BY390" s="14">
        <f t="shared" si="139"/>
        <v>28.350672567797467</v>
      </c>
      <c r="BZ390" s="53">
        <f t="shared" si="140"/>
        <v>34.37312706981465</v>
      </c>
    </row>
    <row r="391" spans="64:78">
      <c r="BL391" s="175">
        <f t="shared" si="147"/>
        <v>388</v>
      </c>
      <c r="BM391" s="180">
        <f t="shared" si="148"/>
        <v>1466.25</v>
      </c>
      <c r="BO391" s="181">
        <f t="shared" si="141"/>
        <v>63.324160502471713</v>
      </c>
      <c r="BP391" s="181">
        <f t="shared" si="142"/>
        <v>51.396821021591371</v>
      </c>
      <c r="BQ391" s="182">
        <f t="shared" si="143"/>
        <v>64.109480549280704</v>
      </c>
      <c r="BR391" s="183">
        <f t="shared" si="144"/>
        <v>1.2839970160570039E-3</v>
      </c>
      <c r="BS391" s="187">
        <f t="shared" si="145"/>
        <v>544564.18628069572</v>
      </c>
      <c r="BT391" s="183">
        <f t="shared" si="146"/>
        <v>699.21879023592373</v>
      </c>
      <c r="BW391" s="53">
        <f t="shared" si="138"/>
        <v>126.64832100494343</v>
      </c>
      <c r="BY391" s="14">
        <f t="shared" si="139"/>
        <v>28.361794071491143</v>
      </c>
      <c r="BZ391" s="53">
        <f t="shared" si="140"/>
        <v>34.208312888601682</v>
      </c>
    </row>
    <row r="392" spans="64:78">
      <c r="BL392" s="175">
        <f t="shared" si="147"/>
        <v>389</v>
      </c>
      <c r="BM392" s="180">
        <f t="shared" si="148"/>
        <v>1470</v>
      </c>
      <c r="BO392" s="181">
        <f t="shared" si="141"/>
        <v>63.346346694963522</v>
      </c>
      <c r="BP392" s="181">
        <f t="shared" si="142"/>
        <v>51.528270691723314</v>
      </c>
      <c r="BQ392" s="182">
        <f t="shared" si="143"/>
        <v>63.95584468665696</v>
      </c>
      <c r="BR392" s="183">
        <f t="shared" si="144"/>
        <v>1.2614853791377716E-3</v>
      </c>
      <c r="BS392" s="187">
        <f t="shared" si="145"/>
        <v>554282.11995119706</v>
      </c>
      <c r="BT392" s="183">
        <f t="shared" si="146"/>
        <v>699.21879023592362</v>
      </c>
      <c r="BW392" s="53">
        <f t="shared" si="138"/>
        <v>126.69269338992704</v>
      </c>
      <c r="BY392" s="14">
        <f t="shared" si="139"/>
        <v>28.372887167737048</v>
      </c>
      <c r="BZ392" s="53">
        <f t="shared" si="140"/>
        <v>34.043583929732023</v>
      </c>
    </row>
    <row r="393" spans="64:78">
      <c r="BL393" s="175">
        <f t="shared" si="147"/>
        <v>390</v>
      </c>
      <c r="BM393" s="180">
        <f t="shared" si="148"/>
        <v>1473.75</v>
      </c>
      <c r="BO393" s="181">
        <f t="shared" si="141"/>
        <v>63.368476362062907</v>
      </c>
      <c r="BP393" s="181">
        <f t="shared" si="142"/>
        <v>51.659720361855264</v>
      </c>
      <c r="BQ393" s="182">
        <f t="shared" si="143"/>
        <v>63.802265349425625</v>
      </c>
      <c r="BR393" s="183">
        <f t="shared" si="144"/>
        <v>1.2393764922748634E-3</v>
      </c>
      <c r="BS393" s="187">
        <f t="shared" si="145"/>
        <v>564169.8019885089</v>
      </c>
      <c r="BT393" s="183">
        <f t="shared" si="146"/>
        <v>699.21879023592237</v>
      </c>
      <c r="BW393" s="53">
        <f t="shared" si="138"/>
        <v>126.73695272412581</v>
      </c>
      <c r="BY393" s="14">
        <f t="shared" si="139"/>
        <v>28.38395200128674</v>
      </c>
      <c r="BZ393" s="53">
        <f t="shared" si="140"/>
        <v>33.878939758950978</v>
      </c>
    </row>
    <row r="394" spans="64:78">
      <c r="BL394" s="175">
        <f t="shared" si="147"/>
        <v>391</v>
      </c>
      <c r="BM394" s="180">
        <f t="shared" si="148"/>
        <v>1477.5</v>
      </c>
      <c r="BO394" s="181">
        <f t="shared" si="141"/>
        <v>63.390549791065858</v>
      </c>
      <c r="BP394" s="181">
        <f t="shared" si="142"/>
        <v>51.791170031987214</v>
      </c>
      <c r="BQ394" s="182">
        <f t="shared" si="143"/>
        <v>63.648742250290724</v>
      </c>
      <c r="BR394" s="183">
        <f t="shared" si="144"/>
        <v>1.2176629713286471E-3</v>
      </c>
      <c r="BS394" s="187">
        <f t="shared" si="145"/>
        <v>574230.14963900333</v>
      </c>
      <c r="BT394" s="183">
        <f t="shared" si="146"/>
        <v>699.21879023592237</v>
      </c>
      <c r="BW394" s="53">
        <f t="shared" si="138"/>
        <v>126.78109958213172</v>
      </c>
      <c r="BY394" s="14">
        <f t="shared" si="139"/>
        <v>28.394988715788216</v>
      </c>
      <c r="BZ394" s="53">
        <f t="shared" si="140"/>
        <v>33.714379945314604</v>
      </c>
    </row>
  </sheetData>
  <mergeCells count="66">
    <mergeCell ref="BC2:BG2"/>
    <mergeCell ref="CX4:DB4"/>
    <mergeCell ref="G43:I43"/>
    <mergeCell ref="G44:K44"/>
    <mergeCell ref="G45:I45"/>
    <mergeCell ref="G33:K33"/>
    <mergeCell ref="G5:H5"/>
    <mergeCell ref="G4:K4"/>
    <mergeCell ref="G18:H18"/>
    <mergeCell ref="G19:H19"/>
    <mergeCell ref="G20:H20"/>
    <mergeCell ref="I18:I20"/>
    <mergeCell ref="G17:K17"/>
    <mergeCell ref="G11:H12"/>
    <mergeCell ref="G10:K10"/>
    <mergeCell ref="I22:I24"/>
    <mergeCell ref="G46:I46"/>
    <mergeCell ref="G47:I47"/>
    <mergeCell ref="B13:B14"/>
    <mergeCell ref="B15:B16"/>
    <mergeCell ref="G39:I39"/>
    <mergeCell ref="G41:I41"/>
    <mergeCell ref="G37:K37"/>
    <mergeCell ref="G38:I38"/>
    <mergeCell ref="G40:I40"/>
    <mergeCell ref="G42:I42"/>
    <mergeCell ref="I30:I32"/>
    <mergeCell ref="G29:K29"/>
    <mergeCell ref="G34:H34"/>
    <mergeCell ref="G35:H35"/>
    <mergeCell ref="G36:H36"/>
    <mergeCell ref="I34:I36"/>
    <mergeCell ref="G6:H7"/>
    <mergeCell ref="I6:I7"/>
    <mergeCell ref="G25:K25"/>
    <mergeCell ref="G26:H26"/>
    <mergeCell ref="G27:H27"/>
    <mergeCell ref="G13:H14"/>
    <mergeCell ref="G22:H22"/>
    <mergeCell ref="G23:H23"/>
    <mergeCell ref="G24:H24"/>
    <mergeCell ref="I26:I28"/>
    <mergeCell ref="G21:K21"/>
    <mergeCell ref="G8:H8"/>
    <mergeCell ref="G9:H9"/>
    <mergeCell ref="G28:H28"/>
    <mergeCell ref="G32:H32"/>
    <mergeCell ref="B33:E33"/>
    <mergeCell ref="B36:E36"/>
    <mergeCell ref="B31:E31"/>
    <mergeCell ref="C37:C39"/>
    <mergeCell ref="B34:C35"/>
    <mergeCell ref="G30:H30"/>
    <mergeCell ref="G31:H31"/>
    <mergeCell ref="B25:E25"/>
    <mergeCell ref="B21:E21"/>
    <mergeCell ref="C22:C24"/>
    <mergeCell ref="B41:C41"/>
    <mergeCell ref="B40:E40"/>
    <mergeCell ref="B32:C32"/>
    <mergeCell ref="C26:C28"/>
    <mergeCell ref="B4:E4"/>
    <mergeCell ref="B5:B6"/>
    <mergeCell ref="C5:C6"/>
    <mergeCell ref="B12:E12"/>
    <mergeCell ref="B17:E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5:AA36"/>
  <sheetViews>
    <sheetView zoomScale="70" zoomScaleNormal="70" workbookViewId="0">
      <selection activeCell="AC18" sqref="AC18"/>
    </sheetView>
  </sheetViews>
  <sheetFormatPr defaultRowHeight="14.4"/>
  <cols>
    <col min="7" max="7" width="12" bestFit="1" customWidth="1"/>
    <col min="8" max="8" width="12" customWidth="1"/>
    <col min="9" max="9" width="14.33203125" customWidth="1"/>
    <col min="10" max="10" width="8.88671875" customWidth="1"/>
    <col min="22" max="22" width="10.6640625" customWidth="1"/>
  </cols>
  <sheetData>
    <row r="5" spans="3:23">
      <c r="C5" s="7" t="s">
        <v>34</v>
      </c>
      <c r="D5" s="7" t="s">
        <v>37</v>
      </c>
      <c r="E5" s="8" t="s">
        <v>36</v>
      </c>
      <c r="F5" s="8" t="s">
        <v>35</v>
      </c>
      <c r="G5" s="8" t="s">
        <v>38</v>
      </c>
      <c r="H5" s="8" t="s">
        <v>39</v>
      </c>
      <c r="I5" s="10" t="s">
        <v>41</v>
      </c>
      <c r="K5" s="7" t="s">
        <v>34</v>
      </c>
      <c r="L5" s="7" t="s">
        <v>37</v>
      </c>
      <c r="M5" s="8" t="s">
        <v>36</v>
      </c>
      <c r="N5" s="8" t="s">
        <v>35</v>
      </c>
      <c r="O5" s="8" t="s">
        <v>38</v>
      </c>
      <c r="P5" s="8" t="s">
        <v>39</v>
      </c>
      <c r="R5" s="7" t="s">
        <v>34</v>
      </c>
      <c r="S5" s="7" t="s">
        <v>37</v>
      </c>
      <c r="T5" s="8" t="s">
        <v>36</v>
      </c>
      <c r="U5" s="8" t="s">
        <v>35</v>
      </c>
      <c r="V5" s="8" t="s">
        <v>38</v>
      </c>
      <c r="W5" s="8" t="s">
        <v>39</v>
      </c>
    </row>
    <row r="6" spans="3:23">
      <c r="C6" s="5">
        <v>0.5</v>
      </c>
      <c r="D6" s="5">
        <v>1500</v>
      </c>
      <c r="E6" s="5">
        <v>6</v>
      </c>
      <c r="F6" s="5">
        <f>COS(RADIANS(E6/2))</f>
        <v>0.99862953475457383</v>
      </c>
      <c r="G6" s="6">
        <f>(((2*C6)/$D$6)*((1/$F$6)-1))*POWER(10,6)</f>
        <v>0.91489733194727307</v>
      </c>
      <c r="H6" s="6">
        <f>1500*(G6*POWER(10,-6))</f>
        <v>1.3723459979209096E-3</v>
      </c>
      <c r="I6" s="11">
        <f>(1.3/(G6*POWER(10,-6)))/1000</f>
        <v>1420.9244628936367</v>
      </c>
      <c r="K6" s="5">
        <v>0.5</v>
      </c>
      <c r="L6" s="5">
        <v>1500</v>
      </c>
      <c r="M6" s="5">
        <v>7</v>
      </c>
      <c r="N6" s="5">
        <f>COS(RADIANS(M6/2))</f>
        <v>0.99813479842186692</v>
      </c>
      <c r="O6" s="6">
        <f>(((2*K6)/$L$6)*((1/$N$6)-1))*POWER(10,6)</f>
        <v>1.2457913707861756</v>
      </c>
      <c r="P6" s="6">
        <f>1500*(O6*POWER(10,-6))</f>
        <v>1.8686870561792635E-3</v>
      </c>
      <c r="R6" s="5">
        <v>0.5</v>
      </c>
      <c r="S6" s="5">
        <v>1500</v>
      </c>
      <c r="T6" s="5">
        <v>8</v>
      </c>
      <c r="U6" s="5">
        <f>COS(RADIANS(T6/2))</f>
        <v>0.9975640502598242</v>
      </c>
      <c r="V6" s="6">
        <f>(((2*R6)/$S$6)*((1/$U$6)-1))*POWER(10,6)</f>
        <v>1.6279320541148223</v>
      </c>
      <c r="W6" s="6">
        <f>1500*(V6*POWER(10,-6))</f>
        <v>2.4418980811722335E-3</v>
      </c>
    </row>
    <row r="7" spans="3:23">
      <c r="C7" s="5">
        <v>5</v>
      </c>
      <c r="D7" s="5"/>
      <c r="E7" s="5"/>
      <c r="F7" s="5"/>
      <c r="G7" s="6">
        <f t="shared" ref="G7:G19" si="0">(((2*C7)/$D$6)*((1/$F$6)-1))*POWER(10,6)</f>
        <v>9.1489733194727307</v>
      </c>
      <c r="H7" s="6">
        <f t="shared" ref="H7:H19" si="1">1500*(G7*POWER(10,-6))</f>
        <v>1.3723459979209096E-2</v>
      </c>
      <c r="I7" s="11">
        <f t="shared" ref="I7:I19" si="2">(1.3/(G7*POWER(10,-6)))/1000</f>
        <v>142.09244628936364</v>
      </c>
      <c r="K7" s="5">
        <v>5</v>
      </c>
      <c r="L7" s="5"/>
      <c r="M7" s="5"/>
      <c r="N7" s="5"/>
      <c r="O7" s="6">
        <f t="shared" ref="O7:O19" si="3">(((2*K7)/$L$6)*((1/$N$6)-1))*POWER(10,6)</f>
        <v>12.457913707861756</v>
      </c>
      <c r="P7" s="6">
        <f t="shared" ref="P7:P19" si="4">1500*(O7*POWER(10,-6))</f>
        <v>1.8686870561792635E-2</v>
      </c>
      <c r="R7" s="5">
        <v>5</v>
      </c>
      <c r="S7" s="5"/>
      <c r="T7" s="5"/>
      <c r="U7" s="5"/>
      <c r="V7" s="6">
        <f t="shared" ref="V7:V19" si="5">(((2*R7)/$S$6)*((1/$U$6)-1))*POWER(10,6)</f>
        <v>16.279320541148223</v>
      </c>
      <c r="W7" s="6">
        <f t="shared" ref="W7:W19" si="6">1500*(V7*POWER(10,-6))</f>
        <v>2.4418980811722332E-2</v>
      </c>
    </row>
    <row r="8" spans="3:23">
      <c r="C8" s="5">
        <v>10</v>
      </c>
      <c r="D8" s="5"/>
      <c r="E8" s="5"/>
      <c r="F8" s="5"/>
      <c r="G8" s="6">
        <f t="shared" si="0"/>
        <v>18.297946638945461</v>
      </c>
      <c r="H8" s="6">
        <f t="shared" si="1"/>
        <v>2.7446919958418192E-2</v>
      </c>
      <c r="I8" s="11">
        <f t="shared" si="2"/>
        <v>71.046223144681818</v>
      </c>
      <c r="K8" s="5">
        <v>10</v>
      </c>
      <c r="L8" s="5"/>
      <c r="M8" s="5"/>
      <c r="N8" s="5"/>
      <c r="O8" s="6">
        <f t="shared" si="3"/>
        <v>24.915827415723513</v>
      </c>
      <c r="P8" s="6">
        <f t="shared" si="4"/>
        <v>3.7373741123585269E-2</v>
      </c>
      <c r="R8" s="5">
        <v>10</v>
      </c>
      <c r="S8" s="5"/>
      <c r="T8" s="5"/>
      <c r="U8" s="5"/>
      <c r="V8" s="6">
        <f t="shared" si="5"/>
        <v>32.558641082296447</v>
      </c>
      <c r="W8" s="6">
        <f t="shared" si="6"/>
        <v>4.8837961623444663E-2</v>
      </c>
    </row>
    <row r="9" spans="3:23">
      <c r="C9" s="5">
        <v>20</v>
      </c>
      <c r="D9" s="5"/>
      <c r="E9" s="5"/>
      <c r="F9" s="5"/>
      <c r="G9" s="6">
        <f t="shared" si="0"/>
        <v>36.595893277890923</v>
      </c>
      <c r="H9" s="6">
        <f t="shared" si="1"/>
        <v>5.4893839916836384E-2</v>
      </c>
      <c r="I9" s="11">
        <f t="shared" si="2"/>
        <v>35.523111572340909</v>
      </c>
      <c r="K9" s="5">
        <v>20</v>
      </c>
      <c r="L9" s="5"/>
      <c r="M9" s="5"/>
      <c r="N9" s="5"/>
      <c r="O9" s="6">
        <f t="shared" si="3"/>
        <v>49.831654831447025</v>
      </c>
      <c r="P9" s="6">
        <f t="shared" si="4"/>
        <v>7.4747482247170538E-2</v>
      </c>
      <c r="R9" s="5">
        <v>20</v>
      </c>
      <c r="S9" s="5"/>
      <c r="T9" s="5"/>
      <c r="U9" s="5"/>
      <c r="V9" s="6">
        <f t="shared" si="5"/>
        <v>65.117282164592893</v>
      </c>
      <c r="W9" s="6">
        <f t="shared" si="6"/>
        <v>9.7675923246889326E-2</v>
      </c>
    </row>
    <row r="10" spans="3:23">
      <c r="C10" s="5">
        <v>40</v>
      </c>
      <c r="D10" s="5"/>
      <c r="E10" s="5"/>
      <c r="F10" s="5"/>
      <c r="G10" s="6">
        <f t="shared" si="0"/>
        <v>73.191786555781846</v>
      </c>
      <c r="H10" s="6">
        <f t="shared" si="1"/>
        <v>0.10978767983367277</v>
      </c>
      <c r="I10" s="11">
        <f t="shared" si="2"/>
        <v>17.761555786170454</v>
      </c>
      <c r="K10" s="5">
        <v>40</v>
      </c>
      <c r="L10" s="5"/>
      <c r="M10" s="5"/>
      <c r="N10" s="5"/>
      <c r="O10" s="6">
        <f t="shared" si="3"/>
        <v>99.663309662894051</v>
      </c>
      <c r="P10" s="6">
        <f t="shared" si="4"/>
        <v>0.14949496449434108</v>
      </c>
      <c r="R10" s="5">
        <v>40</v>
      </c>
      <c r="S10" s="5"/>
      <c r="T10" s="5"/>
      <c r="U10" s="5"/>
      <c r="V10" s="6">
        <f t="shared" si="5"/>
        <v>130.23456432918579</v>
      </c>
      <c r="W10" s="6">
        <f t="shared" si="6"/>
        <v>0.19535184649377865</v>
      </c>
    </row>
    <row r="11" spans="3:23">
      <c r="C11" s="5">
        <v>80</v>
      </c>
      <c r="D11" s="5"/>
      <c r="E11" s="5"/>
      <c r="F11" s="5"/>
      <c r="G11" s="6">
        <f t="shared" si="0"/>
        <v>146.38357311156369</v>
      </c>
      <c r="H11" s="6">
        <f t="shared" si="1"/>
        <v>0.21957535966734554</v>
      </c>
      <c r="I11" s="11">
        <f t="shared" si="2"/>
        <v>8.8807778930852272</v>
      </c>
      <c r="K11" s="5">
        <v>80</v>
      </c>
      <c r="L11" s="5"/>
      <c r="M11" s="5"/>
      <c r="N11" s="5"/>
      <c r="O11" s="6">
        <f t="shared" si="3"/>
        <v>199.3266193257881</v>
      </c>
      <c r="P11" s="6">
        <f t="shared" si="4"/>
        <v>0.29898992898868215</v>
      </c>
      <c r="R11" s="5">
        <v>80</v>
      </c>
      <c r="S11" s="5"/>
      <c r="T11" s="5"/>
      <c r="U11" s="5"/>
      <c r="V11" s="6">
        <f t="shared" si="5"/>
        <v>260.46912865837157</v>
      </c>
      <c r="W11" s="6">
        <f t="shared" si="6"/>
        <v>0.39070369298755731</v>
      </c>
    </row>
    <row r="12" spans="3:23">
      <c r="C12" s="5">
        <v>100</v>
      </c>
      <c r="D12" s="5"/>
      <c r="E12" s="5"/>
      <c r="F12" s="5"/>
      <c r="G12" s="6">
        <f t="shared" si="0"/>
        <v>182.97946638945461</v>
      </c>
      <c r="H12" s="6">
        <f t="shared" si="1"/>
        <v>0.27446919958418192</v>
      </c>
      <c r="I12" s="11">
        <f t="shared" si="2"/>
        <v>7.1046223144681822</v>
      </c>
      <c r="K12" s="5">
        <v>100</v>
      </c>
      <c r="L12" s="5"/>
      <c r="M12" s="5"/>
      <c r="N12" s="5"/>
      <c r="O12" s="6">
        <f t="shared" si="3"/>
        <v>249.15827415723513</v>
      </c>
      <c r="P12" s="6">
        <f t="shared" si="4"/>
        <v>0.37373741123585269</v>
      </c>
      <c r="R12" s="5">
        <v>100</v>
      </c>
      <c r="S12" s="5"/>
      <c r="T12" s="5"/>
      <c r="U12" s="5"/>
      <c r="V12" s="6">
        <f t="shared" si="5"/>
        <v>325.58641082296447</v>
      </c>
      <c r="W12" s="6">
        <f t="shared" si="6"/>
        <v>0.4883796162344467</v>
      </c>
    </row>
    <row r="13" spans="3:23">
      <c r="C13" s="5">
        <v>120</v>
      </c>
      <c r="D13" s="5"/>
      <c r="E13" s="5"/>
      <c r="F13" s="5"/>
      <c r="G13" s="6">
        <f t="shared" si="0"/>
        <v>219.57535966734554</v>
      </c>
      <c r="H13" s="6">
        <f t="shared" si="1"/>
        <v>0.32936303950101831</v>
      </c>
      <c r="I13" s="11">
        <f t="shared" si="2"/>
        <v>5.9205185953901518</v>
      </c>
      <c r="K13" s="5">
        <v>120</v>
      </c>
      <c r="L13" s="5"/>
      <c r="M13" s="5"/>
      <c r="N13" s="5"/>
      <c r="O13" s="6">
        <f t="shared" si="3"/>
        <v>298.98992898868215</v>
      </c>
      <c r="P13" s="6">
        <f t="shared" si="4"/>
        <v>0.44848489348302323</v>
      </c>
      <c r="R13" s="5">
        <v>120</v>
      </c>
      <c r="S13" s="5"/>
      <c r="T13" s="5"/>
      <c r="U13" s="5"/>
      <c r="V13" s="6">
        <f t="shared" si="5"/>
        <v>390.70369298755736</v>
      </c>
      <c r="W13" s="6">
        <f t="shared" si="6"/>
        <v>0.58605553948133604</v>
      </c>
    </row>
    <row r="14" spans="3:23">
      <c r="C14" s="5">
        <v>150</v>
      </c>
      <c r="D14" s="5"/>
      <c r="E14" s="5"/>
      <c r="F14" s="5"/>
      <c r="G14" s="6">
        <f t="shared" si="0"/>
        <v>274.46919958418192</v>
      </c>
      <c r="H14" s="6">
        <f t="shared" si="1"/>
        <v>0.41170379937627288</v>
      </c>
      <c r="I14" s="11">
        <f t="shared" si="2"/>
        <v>4.7364148763121223</v>
      </c>
      <c r="K14" s="5">
        <v>150</v>
      </c>
      <c r="L14" s="5"/>
      <c r="M14" s="5"/>
      <c r="N14" s="5"/>
      <c r="O14" s="6">
        <f t="shared" si="3"/>
        <v>373.73741123585273</v>
      </c>
      <c r="P14" s="6">
        <f t="shared" si="4"/>
        <v>0.56060611685377915</v>
      </c>
      <c r="R14" s="5">
        <v>150</v>
      </c>
      <c r="S14" s="5"/>
      <c r="T14" s="5"/>
      <c r="U14" s="5"/>
      <c r="V14" s="6">
        <f t="shared" si="5"/>
        <v>488.37961623444676</v>
      </c>
      <c r="W14" s="6">
        <f t="shared" si="6"/>
        <v>0.73256942435167016</v>
      </c>
    </row>
    <row r="15" spans="3:23">
      <c r="C15" s="5">
        <v>200</v>
      </c>
      <c r="D15" s="5"/>
      <c r="E15" s="5"/>
      <c r="F15" s="5"/>
      <c r="G15" s="6">
        <f t="shared" si="0"/>
        <v>365.95893277890923</v>
      </c>
      <c r="H15" s="6">
        <f t="shared" si="1"/>
        <v>0.54893839916836384</v>
      </c>
      <c r="I15" s="11">
        <f t="shared" si="2"/>
        <v>3.5523111572340911</v>
      </c>
      <c r="K15" s="5">
        <v>200</v>
      </c>
      <c r="L15" s="5"/>
      <c r="M15" s="5"/>
      <c r="N15" s="5"/>
      <c r="O15" s="6">
        <f t="shared" si="3"/>
        <v>498.31654831447025</v>
      </c>
      <c r="P15" s="6">
        <f t="shared" si="4"/>
        <v>0.74747482247170538</v>
      </c>
      <c r="R15" s="5">
        <v>200</v>
      </c>
      <c r="S15" s="5"/>
      <c r="T15" s="5"/>
      <c r="U15" s="5"/>
      <c r="V15" s="6">
        <f t="shared" si="5"/>
        <v>651.17282164592893</v>
      </c>
      <c r="W15" s="6">
        <f t="shared" si="6"/>
        <v>0.9767592324688934</v>
      </c>
    </row>
    <row r="16" spans="3:23">
      <c r="C16" s="5">
        <v>250</v>
      </c>
      <c r="D16" s="5"/>
      <c r="E16" s="5"/>
      <c r="F16" s="5"/>
      <c r="G16" s="6">
        <f t="shared" si="0"/>
        <v>457.44866597363654</v>
      </c>
      <c r="H16" s="6">
        <f t="shared" si="1"/>
        <v>0.68617299896045481</v>
      </c>
      <c r="I16" s="11">
        <f t="shared" si="2"/>
        <v>2.8418489257872728</v>
      </c>
      <c r="K16" s="5">
        <v>250</v>
      </c>
      <c r="L16" s="5"/>
      <c r="M16" s="5"/>
      <c r="N16" s="5"/>
      <c r="O16" s="6">
        <f t="shared" si="3"/>
        <v>622.89568539308777</v>
      </c>
      <c r="P16" s="6">
        <f t="shared" si="4"/>
        <v>0.93434352808963161</v>
      </c>
      <c r="R16" s="5">
        <v>250</v>
      </c>
      <c r="S16" s="5"/>
      <c r="T16" s="5"/>
      <c r="U16" s="5"/>
      <c r="V16" s="6">
        <f t="shared" si="5"/>
        <v>813.96602705741111</v>
      </c>
      <c r="W16" s="6">
        <f t="shared" si="6"/>
        <v>1.2209490405861165</v>
      </c>
    </row>
    <row r="17" spans="3:27">
      <c r="C17" s="5">
        <v>300</v>
      </c>
      <c r="D17" s="5"/>
      <c r="E17" s="5"/>
      <c r="F17" s="5"/>
      <c r="G17" s="6">
        <f t="shared" si="0"/>
        <v>548.93839916836384</v>
      </c>
      <c r="H17" s="6">
        <f t="shared" si="1"/>
        <v>0.82340759875254577</v>
      </c>
      <c r="I17" s="11">
        <f t="shared" si="2"/>
        <v>2.3682074381560612</v>
      </c>
      <c r="K17" s="5">
        <v>300</v>
      </c>
      <c r="L17" s="5"/>
      <c r="M17" s="5"/>
      <c r="N17" s="5"/>
      <c r="O17" s="6">
        <f t="shared" si="3"/>
        <v>747.47482247170547</v>
      </c>
      <c r="P17" s="6">
        <f t="shared" si="4"/>
        <v>1.1212122337075583</v>
      </c>
      <c r="R17" s="5">
        <v>300</v>
      </c>
      <c r="S17" s="5"/>
      <c r="T17" s="5"/>
      <c r="U17" s="5"/>
      <c r="V17" s="6">
        <f t="shared" si="5"/>
        <v>976.75923246889352</v>
      </c>
      <c r="W17" s="6">
        <f t="shared" si="6"/>
        <v>1.4651388487033403</v>
      </c>
    </row>
    <row r="18" spans="3:27">
      <c r="C18" s="5">
        <v>350</v>
      </c>
      <c r="D18" s="5"/>
      <c r="E18" s="5"/>
      <c r="F18" s="5"/>
      <c r="G18" s="6">
        <f t="shared" si="0"/>
        <v>640.42813236309121</v>
      </c>
      <c r="H18" s="6">
        <f t="shared" si="1"/>
        <v>0.96064219854463673</v>
      </c>
      <c r="I18" s="11">
        <f t="shared" si="2"/>
        <v>2.0298920898480519</v>
      </c>
      <c r="K18" s="5">
        <v>350</v>
      </c>
      <c r="L18" s="5"/>
      <c r="M18" s="5"/>
      <c r="N18" s="5"/>
      <c r="O18" s="6">
        <f t="shared" si="3"/>
        <v>872.05395955032304</v>
      </c>
      <c r="P18" s="6">
        <f t="shared" si="4"/>
        <v>1.3080809393254844</v>
      </c>
      <c r="R18" s="5">
        <v>350</v>
      </c>
      <c r="S18" s="5"/>
      <c r="T18" s="5"/>
      <c r="U18" s="5"/>
      <c r="V18" s="6">
        <f t="shared" si="5"/>
        <v>1139.5524378803757</v>
      </c>
      <c r="W18" s="6">
        <f t="shared" si="6"/>
        <v>1.7093286568205635</v>
      </c>
    </row>
    <row r="19" spans="3:27">
      <c r="C19" s="5">
        <v>400</v>
      </c>
      <c r="D19" s="5"/>
      <c r="E19" s="5"/>
      <c r="F19" s="5"/>
      <c r="G19" s="6">
        <f t="shared" si="0"/>
        <v>731.91786555781846</v>
      </c>
      <c r="H19" s="6">
        <f t="shared" si="1"/>
        <v>1.0978767983367277</v>
      </c>
      <c r="I19" s="11">
        <f t="shared" si="2"/>
        <v>1.7761555786170455</v>
      </c>
      <c r="K19" s="5">
        <v>400</v>
      </c>
      <c r="L19" s="5"/>
      <c r="M19" s="5"/>
      <c r="N19" s="5"/>
      <c r="O19" s="6">
        <f t="shared" si="3"/>
        <v>996.63309662894051</v>
      </c>
      <c r="P19" s="6">
        <f t="shared" si="4"/>
        <v>1.4949496449434108</v>
      </c>
      <c r="R19" s="5">
        <v>400</v>
      </c>
      <c r="S19" s="5"/>
      <c r="T19" s="5"/>
      <c r="U19" s="5"/>
      <c r="V19" s="6">
        <f t="shared" si="5"/>
        <v>1302.3456432918579</v>
      </c>
      <c r="W19" s="6">
        <f t="shared" si="6"/>
        <v>1.9535184649377868</v>
      </c>
    </row>
    <row r="20" spans="3:27">
      <c r="AA20" s="9"/>
    </row>
    <row r="22" spans="3:27">
      <c r="C22" s="2"/>
      <c r="D22" s="2"/>
      <c r="E22" s="3"/>
      <c r="F22" s="3"/>
      <c r="G22" s="3"/>
      <c r="H22" s="3"/>
      <c r="I22" s="3"/>
    </row>
    <row r="23" spans="3:27">
      <c r="C23" s="2"/>
      <c r="D23" s="2"/>
      <c r="E23" s="2"/>
      <c r="F23" s="2"/>
      <c r="G23" s="4"/>
      <c r="H23" s="4"/>
      <c r="I23" s="4"/>
    </row>
    <row r="24" spans="3:27">
      <c r="C24" s="2"/>
      <c r="D24" s="2"/>
      <c r="E24" s="2"/>
      <c r="F24" s="2"/>
      <c r="G24" s="4"/>
      <c r="H24" s="4"/>
      <c r="I24" s="4"/>
    </row>
    <row r="25" spans="3:27">
      <c r="C25" s="2"/>
      <c r="D25" s="2"/>
      <c r="E25" s="2"/>
      <c r="F25" s="2"/>
      <c r="G25" s="4"/>
      <c r="H25" s="4"/>
      <c r="I25" s="4"/>
    </row>
    <row r="26" spans="3:27">
      <c r="C26" s="2"/>
      <c r="D26" s="2"/>
      <c r="E26" s="2"/>
      <c r="F26" s="2"/>
      <c r="G26" s="4"/>
      <c r="H26" s="4"/>
      <c r="I26" s="4"/>
    </row>
    <row r="27" spans="3:27">
      <c r="C27" s="2"/>
      <c r="D27" s="2"/>
      <c r="E27" s="2"/>
      <c r="F27" s="2"/>
      <c r="G27" s="4"/>
      <c r="H27" s="4"/>
      <c r="I27" s="4"/>
    </row>
    <row r="28" spans="3:27">
      <c r="C28" s="2"/>
      <c r="D28" s="2"/>
      <c r="E28" s="2"/>
      <c r="F28" s="2"/>
      <c r="G28" s="4"/>
      <c r="H28" s="4"/>
      <c r="I28" s="4"/>
    </row>
    <row r="29" spans="3:27">
      <c r="C29" s="2"/>
      <c r="D29" s="2"/>
      <c r="E29" s="2"/>
      <c r="F29" s="2"/>
      <c r="G29" s="4"/>
      <c r="H29" s="4"/>
      <c r="I29" s="4"/>
    </row>
    <row r="30" spans="3:27">
      <c r="C30" s="2"/>
      <c r="D30" s="2"/>
      <c r="E30" s="2"/>
      <c r="F30" s="2"/>
      <c r="G30" s="4"/>
      <c r="H30" s="4"/>
      <c r="I30" s="4"/>
    </row>
    <row r="31" spans="3:27">
      <c r="C31" s="2"/>
      <c r="D31" s="2"/>
      <c r="E31" s="2"/>
      <c r="F31" s="2"/>
      <c r="G31" s="4"/>
      <c r="H31" s="4"/>
      <c r="I31" s="4"/>
    </row>
    <row r="32" spans="3:27">
      <c r="C32" s="2"/>
      <c r="D32" s="2"/>
      <c r="E32" s="2"/>
      <c r="F32" s="2"/>
      <c r="G32" s="4"/>
      <c r="H32" s="4"/>
      <c r="I32" s="4"/>
    </row>
    <row r="33" spans="3:9">
      <c r="C33" s="2"/>
      <c r="D33" s="2"/>
      <c r="E33" s="2"/>
      <c r="F33" s="2"/>
      <c r="G33" s="4"/>
      <c r="H33" s="4"/>
      <c r="I33" s="4"/>
    </row>
    <row r="34" spans="3:9">
      <c r="C34" s="2"/>
      <c r="D34" s="2"/>
      <c r="E34" s="2"/>
      <c r="F34" s="2"/>
      <c r="G34" s="4"/>
      <c r="H34" s="4"/>
      <c r="I34" s="4"/>
    </row>
    <row r="35" spans="3:9">
      <c r="C35" s="2"/>
      <c r="D35" s="2"/>
      <c r="E35" s="2"/>
      <c r="F35" s="2"/>
      <c r="G35" s="4"/>
      <c r="H35" s="4"/>
      <c r="I35" s="4"/>
    </row>
    <row r="36" spans="3:9">
      <c r="C36" s="2"/>
      <c r="D36" s="2"/>
      <c r="E36" s="2"/>
      <c r="F36" s="2"/>
      <c r="G36" s="4"/>
      <c r="H36" s="4"/>
      <c r="I36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DF192"/>
  <sheetViews>
    <sheetView zoomScale="40" zoomScaleNormal="40" workbookViewId="0">
      <selection activeCell="S9" sqref="S9"/>
    </sheetView>
  </sheetViews>
  <sheetFormatPr defaultRowHeight="14.4"/>
  <cols>
    <col min="1" max="1" width="11.21875" customWidth="1"/>
    <col min="4" max="4" width="11.6640625" customWidth="1"/>
    <col min="5" max="5" width="3.109375" customWidth="1"/>
    <col min="9" max="9" width="3.21875" customWidth="1"/>
    <col min="12" max="12" width="10.77734375" customWidth="1"/>
    <col min="13" max="13" width="3.88671875" customWidth="1"/>
    <col min="16" max="16" width="10.44140625" customWidth="1"/>
    <col min="17" max="17" width="4" customWidth="1"/>
    <col min="20" max="21" width="12.21875" customWidth="1"/>
    <col min="23" max="23" width="15.5546875" customWidth="1"/>
    <col min="27" max="27" width="9.6640625" customWidth="1"/>
    <col min="78" max="83" width="7.77734375" customWidth="1"/>
    <col min="84" max="84" width="9.88671875" customWidth="1"/>
    <col min="85" max="87" width="7.77734375" customWidth="1"/>
    <col min="88" max="88" width="9.5546875" customWidth="1"/>
    <col min="89" max="94" width="7.77734375" customWidth="1"/>
  </cols>
  <sheetData>
    <row r="3" spans="1:110">
      <c r="CV3" s="89"/>
      <c r="CW3" s="89"/>
      <c r="CX3" s="89"/>
      <c r="CY3" s="89"/>
      <c r="CZ3" s="89"/>
      <c r="DA3" s="90"/>
      <c r="DB3" s="90"/>
      <c r="DC3" s="90"/>
      <c r="DD3" s="90"/>
      <c r="DE3" s="90"/>
    </row>
    <row r="4" spans="1:110">
      <c r="W4" t="s">
        <v>153</v>
      </c>
      <c r="X4" t="s">
        <v>154</v>
      </c>
      <c r="Y4" t="s">
        <v>22</v>
      </c>
      <c r="AA4" t="s">
        <v>4</v>
      </c>
      <c r="AB4" t="s">
        <v>155</v>
      </c>
      <c r="AC4" t="s">
        <v>156</v>
      </c>
      <c r="AD4" s="101"/>
      <c r="AE4" s="103" t="s">
        <v>159</v>
      </c>
      <c r="AF4" s="103" t="s">
        <v>158</v>
      </c>
      <c r="AG4" s="103" t="s">
        <v>160</v>
      </c>
      <c r="AH4" s="103" t="s">
        <v>162</v>
      </c>
      <c r="AI4" s="105" t="s">
        <v>161</v>
      </c>
      <c r="AJ4" s="103" t="s">
        <v>166</v>
      </c>
      <c r="AK4" s="103" t="s">
        <v>167</v>
      </c>
      <c r="AL4" s="103" t="s">
        <v>168</v>
      </c>
      <c r="AM4" s="103" t="s">
        <v>169</v>
      </c>
      <c r="AN4" s="108" t="s">
        <v>170</v>
      </c>
      <c r="AO4" s="103" t="s">
        <v>171</v>
      </c>
      <c r="AP4" s="103" t="s">
        <v>172</v>
      </c>
      <c r="AQ4" s="103" t="s">
        <v>173</v>
      </c>
      <c r="AR4" s="103"/>
      <c r="AS4" s="103"/>
      <c r="AT4" s="103"/>
      <c r="AU4" s="103"/>
      <c r="AV4" s="103"/>
      <c r="AW4" s="103"/>
      <c r="AX4" s="103" t="s">
        <v>45</v>
      </c>
      <c r="AY4" s="103" t="s">
        <v>164</v>
      </c>
      <c r="AZ4" s="103" t="s">
        <v>20</v>
      </c>
      <c r="BA4" s="103" t="s">
        <v>165</v>
      </c>
      <c r="BC4" t="s">
        <v>153</v>
      </c>
      <c r="BD4" t="s">
        <v>154</v>
      </c>
      <c r="BE4" t="s">
        <v>22</v>
      </c>
      <c r="BF4" t="s">
        <v>4</v>
      </c>
      <c r="BG4" t="s">
        <v>155</v>
      </c>
      <c r="BH4" t="s">
        <v>156</v>
      </c>
      <c r="BM4" t="s">
        <v>153</v>
      </c>
      <c r="BN4" t="s">
        <v>154</v>
      </c>
      <c r="BO4" t="s">
        <v>22</v>
      </c>
      <c r="BP4" t="s">
        <v>4</v>
      </c>
      <c r="BQ4" t="s">
        <v>155</v>
      </c>
      <c r="BR4" t="s">
        <v>156</v>
      </c>
      <c r="CD4" s="57"/>
      <c r="CE4" s="40"/>
      <c r="CF4" s="40"/>
      <c r="CG4" s="40"/>
      <c r="CH4" s="40"/>
      <c r="CI4" s="40"/>
      <c r="CJ4" s="40"/>
      <c r="CK4" s="40"/>
      <c r="CL4" s="40"/>
      <c r="CM4" s="40"/>
      <c r="CT4" s="40"/>
      <c r="CU4" s="40"/>
      <c r="CV4" s="91"/>
      <c r="CW4" s="91"/>
      <c r="CX4" s="91"/>
      <c r="CY4" s="91"/>
      <c r="CZ4" s="91"/>
      <c r="DA4" s="92"/>
      <c r="DB4" s="92"/>
      <c r="DC4" s="92"/>
      <c r="DD4" s="92"/>
      <c r="DE4" s="92"/>
      <c r="DF4" s="40"/>
    </row>
    <row r="5" spans="1:110">
      <c r="B5" s="295" t="s">
        <v>63</v>
      </c>
      <c r="C5" s="295"/>
      <c r="D5" s="295"/>
      <c r="E5" s="23"/>
      <c r="F5" s="322" t="s">
        <v>69</v>
      </c>
      <c r="G5" s="322"/>
      <c r="H5" s="322"/>
      <c r="I5" s="23"/>
      <c r="J5" s="295" t="s">
        <v>76</v>
      </c>
      <c r="K5" s="295"/>
      <c r="L5" s="295"/>
      <c r="N5" s="323" t="s">
        <v>78</v>
      </c>
      <c r="O5" s="323"/>
      <c r="P5" s="323"/>
      <c r="R5" s="322" t="s">
        <v>70</v>
      </c>
      <c r="S5" s="322"/>
      <c r="T5" s="322"/>
      <c r="U5" s="58"/>
      <c r="V5">
        <v>0.5</v>
      </c>
      <c r="W5" s="56">
        <f>20*LOG10(V5)</f>
        <v>-6.0205999132796242</v>
      </c>
      <c r="X5" s="56">
        <f>2*$G$8*(V5/1000)</f>
        <v>5.8466173130829573E-2</v>
      </c>
      <c r="Y5" s="56">
        <f>$S$9-W5-X5+$S$18+$S$36</f>
        <v>165.03211798926375</v>
      </c>
      <c r="Z5" s="56">
        <f>Y5+$C$27</f>
        <v>-17.583247616116722</v>
      </c>
      <c r="AA5" s="87">
        <f t="shared" ref="AA5:AA36" si="0">POWER(10,0.05*(Y5+$C$27))</f>
        <v>0.13208016998780792</v>
      </c>
      <c r="AB5" s="86">
        <f>W5+X5</f>
        <v>-5.9621337401487944</v>
      </c>
      <c r="AC5" s="22">
        <f>POWER(10,0.05*AB5)</f>
        <v>0.50337693607727196</v>
      </c>
      <c r="AD5" s="102">
        <f>AA5*AC5</f>
        <v>6.6486111285028002E-2</v>
      </c>
      <c r="AE5" s="22">
        <f>40*LOG10(V5)</f>
        <v>-12.041199826559248</v>
      </c>
      <c r="AF5" s="22">
        <v>-50</v>
      </c>
      <c r="AG5" s="22">
        <f>($K$24*($K$14/1000000))/2*$O$41*POWER(V5,2)</f>
        <v>1.4566000034401633E-4</v>
      </c>
      <c r="AH5" s="22">
        <f>10*LOG10(AG5)</f>
        <v>-38.366596933560416</v>
      </c>
      <c r="AI5" s="106">
        <f>$S$9-AE5+$AF$5+AH5</f>
        <v>120.63879819945082</v>
      </c>
      <c r="AJ5" s="104">
        <f>10*LOG10(G32)</f>
        <v>-3.4242268082220622</v>
      </c>
      <c r="AK5" s="104">
        <f>10*LOG10(K14/1000000)</f>
        <v>-39.208187539523756</v>
      </c>
      <c r="AL5" s="104">
        <v>-50</v>
      </c>
      <c r="AM5" s="104">
        <f>20*LOG10(V5)</f>
        <v>-6.0205999132796242</v>
      </c>
      <c r="AN5" s="109">
        <f>$AJ$5+$AK$5+$AL$5-(AE5+X5)+AM5+200</f>
        <v>113.32971939240298</v>
      </c>
      <c r="AO5" s="104">
        <v>-30</v>
      </c>
      <c r="AP5" s="104">
        <f>10*LOG10(V5)</f>
        <v>-3.0102999566398121</v>
      </c>
      <c r="AQ5" s="104">
        <f>$AJ$5+$AO$5+AP5+$AK$5-(AE5+X5)+197</f>
        <v>133.34001934904279</v>
      </c>
      <c r="AR5" s="104"/>
      <c r="AS5" s="104"/>
      <c r="AT5" s="104"/>
      <c r="AU5" s="104"/>
      <c r="AV5" s="104"/>
      <c r="AW5" s="104"/>
      <c r="AX5" s="22">
        <v>-30</v>
      </c>
      <c r="AY5" s="22">
        <f>($K$24*($K$14/1000000))/2*($S$38*V5)</f>
        <v>7.307880011643818E-3</v>
      </c>
      <c r="AZ5" s="22">
        <f>10*LOG10(AY5)</f>
        <v>-21.362085919583585</v>
      </c>
      <c r="BA5" s="104">
        <f>$S$9-AE5+$AX$5+AZ5</f>
        <v>157.64330921342764</v>
      </c>
      <c r="BB5" s="22">
        <v>20</v>
      </c>
      <c r="BC5">
        <f>20*LOG10(BB5)</f>
        <v>26.020599913279625</v>
      </c>
      <c r="BD5">
        <f>2*$G$8*(BB5/1000)</f>
        <v>2.3386469252331832</v>
      </c>
      <c r="BE5" s="88">
        <f>$S$11-BC5-BD5+$S$18+$S$36</f>
        <v>144.69013749732252</v>
      </c>
      <c r="BF5">
        <f>POWER(10,0.05*(BE5+$C$27))</f>
        <v>1.2698095663704879E-2</v>
      </c>
      <c r="BG5">
        <f>BC5+BD5</f>
        <v>28.35924683851281</v>
      </c>
      <c r="BH5">
        <f>POWER(10,0.05*BG5)</f>
        <v>26.179559930024034</v>
      </c>
      <c r="BI5">
        <f>BF5*BH5</f>
        <v>0.33243055642514019</v>
      </c>
      <c r="BL5">
        <v>100</v>
      </c>
      <c r="BM5">
        <f>20*LOG10(BL5)</f>
        <v>40</v>
      </c>
      <c r="BN5">
        <f>2*$G$8*(BL5/1000)</f>
        <v>11.693234626165916</v>
      </c>
      <c r="BO5" s="88">
        <f>$S$12-BM5-BN5+$S$18+$S$36</f>
        <v>127.37674962294905</v>
      </c>
      <c r="BP5">
        <f>POWER(10,0.05*(BO5+$C$27))</f>
        <v>1.7300920116905736E-3</v>
      </c>
      <c r="BQ5">
        <f>BM5+BN5</f>
        <v>51.693234626165918</v>
      </c>
      <c r="BR5">
        <f>POWER(10,0.05*BQ5)</f>
        <v>384.29234304168961</v>
      </c>
      <c r="BS5">
        <f>BP5*BR5</f>
        <v>0.66486111285028071</v>
      </c>
      <c r="CD5" s="73"/>
      <c r="CE5" s="40"/>
      <c r="CF5" s="40"/>
      <c r="CG5" s="40"/>
      <c r="CH5" s="40"/>
      <c r="CI5" s="40"/>
      <c r="CJ5" s="40"/>
      <c r="CK5" s="40"/>
      <c r="CL5" s="40"/>
      <c r="CM5" s="40"/>
      <c r="CS5" s="57"/>
      <c r="CT5" s="40"/>
      <c r="CU5" s="40"/>
      <c r="CV5" s="91"/>
      <c r="CW5" s="91"/>
      <c r="CX5" s="93"/>
      <c r="CY5" s="93"/>
      <c r="CZ5" s="91"/>
      <c r="DA5" s="92">
        <v>1</v>
      </c>
      <c r="DB5" s="92">
        <v>0.9</v>
      </c>
      <c r="DC5" s="94"/>
      <c r="DD5" s="94"/>
      <c r="DE5" s="92"/>
      <c r="DF5" s="40"/>
    </row>
    <row r="6" spans="1:110">
      <c r="B6" s="5" t="s">
        <v>10</v>
      </c>
      <c r="C6" s="20">
        <v>240</v>
      </c>
      <c r="D6" s="5" t="s">
        <v>11</v>
      </c>
      <c r="E6" s="12"/>
      <c r="F6" s="18" t="s">
        <v>6</v>
      </c>
      <c r="G6" s="43">
        <f>1.5/C6</f>
        <v>6.2500000000000003E-3</v>
      </c>
      <c r="H6" s="5" t="s">
        <v>58</v>
      </c>
      <c r="I6" s="12"/>
      <c r="J6" s="295" t="s">
        <v>77</v>
      </c>
      <c r="K6" s="295"/>
      <c r="L6" s="295"/>
      <c r="N6" s="317" t="s">
        <v>29</v>
      </c>
      <c r="O6" s="291"/>
      <c r="P6" s="291"/>
      <c r="R6" s="34" t="s">
        <v>12</v>
      </c>
      <c r="S6" s="35">
        <f>10*LOG10(G15)</f>
        <v>29.588422114674042</v>
      </c>
      <c r="T6" s="36" t="s">
        <v>51</v>
      </c>
      <c r="U6" s="12"/>
      <c r="V6">
        <f>V5+$O$32</f>
        <v>0.875</v>
      </c>
      <c r="W6" s="56">
        <f t="shared" ref="W6:W57" si="1">20*LOG10(V6)</f>
        <v>-1.159838939553735</v>
      </c>
      <c r="X6" s="56">
        <f t="shared" ref="X6:X57" si="2">2*$G$8*(V6/1000)</f>
        <v>0.10231580297895175</v>
      </c>
      <c r="Y6" s="56">
        <f t="shared" ref="Y6:Y57" si="3">$S$9-W6-X6+$S$18+$S$36</f>
        <v>160.12750738568974</v>
      </c>
      <c r="Z6" s="56">
        <f t="shared" ref="Z6:Z57" si="4">Y6+$C$27</f>
        <v>-22.487858219690736</v>
      </c>
      <c r="AA6" s="87">
        <f t="shared" si="0"/>
        <v>7.5094320004593276E-2</v>
      </c>
      <c r="AB6" s="86">
        <f t="shared" ref="AB6:AB57" si="5">W6+X6</f>
        <v>-1.0575231365747833</v>
      </c>
      <c r="AC6" s="22">
        <f t="shared" ref="AC6:AC57" si="6">POWER(10,0.05*AB6)</f>
        <v>0.88536804489289267</v>
      </c>
      <c r="AD6" s="102">
        <f t="shared" ref="AD6:AD57" si="7">AA6*AC6</f>
        <v>6.6486111285027988E-2</v>
      </c>
      <c r="AE6" s="22">
        <f t="shared" ref="AE6:AE57" si="8">40*LOG10(V6)</f>
        <v>-2.3196778791074699</v>
      </c>
      <c r="AF6" s="22"/>
      <c r="AG6" s="22">
        <f t="shared" ref="AG6:AG57" si="9">($K$24*($K$14/1000000))/2*$O$41*POWER(V6,2)</f>
        <v>4.4608375105355003E-4</v>
      </c>
      <c r="AH6" s="22">
        <f t="shared" ref="AH6:AH57" si="10">10*LOG10(AG6)</f>
        <v>-33.505835959834528</v>
      </c>
      <c r="AI6" s="106">
        <f t="shared" ref="AI6:AI57" si="11">$S$9-AE6+$AF$5+AH6</f>
        <v>115.77803722572493</v>
      </c>
      <c r="AJ6" s="104"/>
      <c r="AK6" s="104"/>
      <c r="AL6" s="104"/>
      <c r="AM6" s="104">
        <f t="shared" ref="AM6:AM57" si="12">20*LOG10(V6)</f>
        <v>-1.159838939553735</v>
      </c>
      <c r="AN6" s="109">
        <f t="shared" ref="AN6:AN57" si="13">$AJ$5+$AK$5+$AL$5-(AE6+X6)+AM6+200</f>
        <v>108.42510878882896</v>
      </c>
      <c r="AO6" s="104"/>
      <c r="AP6" s="104">
        <f t="shared" ref="AP6:AP57" si="14">10*LOG10(V6)</f>
        <v>-0.57991946977686748</v>
      </c>
      <c r="AQ6" s="104">
        <f t="shared" ref="AQ6:AQ57" si="15">$AJ$5+$AO$5+AP6+$AK$5-(AE6+X6)+197</f>
        <v>126.00502825860585</v>
      </c>
      <c r="AR6" s="104"/>
      <c r="AS6" s="104"/>
      <c r="AT6" s="104"/>
      <c r="AU6" s="104"/>
      <c r="AV6" s="104"/>
      <c r="AW6" s="104"/>
      <c r="AX6" s="22"/>
      <c r="AY6" s="22">
        <f t="shared" ref="AY6:AY57" si="16">($K$24*($K$14/1000000))/2*($S$38*V6)</f>
        <v>1.2788790020376681E-2</v>
      </c>
      <c r="AZ6" s="22">
        <f t="shared" ref="AZ6:AZ57" si="17">10*LOG10(AY6)</f>
        <v>-18.931705432720641</v>
      </c>
      <c r="BA6" s="104">
        <f t="shared" ref="BA6:BA57" si="18">$S$9-AE6+$AX$5+AZ6</f>
        <v>150.35216775283882</v>
      </c>
      <c r="BB6">
        <f>BB5+$O$34</f>
        <v>20.75</v>
      </c>
      <c r="BC6">
        <f t="shared" ref="BC6:BC69" si="19">20*LOG10(BB6)</f>
        <v>26.340362020962228</v>
      </c>
      <c r="BD6">
        <f t="shared" ref="BD6:BD69" si="20">2*$G$8*(BB6/1000)</f>
        <v>2.4263461849294274</v>
      </c>
      <c r="BE6" s="88">
        <f t="shared" ref="BE6:BE69" si="21">$S$11-BC6-BD6+$S$18+$S$36</f>
        <v>144.28267612994367</v>
      </c>
      <c r="BF6">
        <f t="shared" ref="BF6:BF69" si="22">POWER(10,0.05*(BE6+$C$27))</f>
        <v>1.2116174687222545E-2</v>
      </c>
      <c r="BG6">
        <f t="shared" ref="BG6:BG69" si="23">BC6+BD6</f>
        <v>28.766708205891657</v>
      </c>
      <c r="BH6">
        <f t="shared" ref="BH6:BH69" si="24">POWER(10,0.05*BG6)</f>
        <v>27.436923369527964</v>
      </c>
      <c r="BI6">
        <f t="shared" ref="BI6:BI69" si="25">BF6*BH6</f>
        <v>0.33243055642513941</v>
      </c>
      <c r="BL6">
        <f>BL5+$O$36</f>
        <v>101.5</v>
      </c>
      <c r="BM6">
        <f t="shared" ref="BM6:BM69" si="26">20*LOG10(BL6)</f>
        <v>40.129320844984633</v>
      </c>
      <c r="BN6">
        <f t="shared" ref="BN6:BN69" si="27">2*$G$8*(BL6/1000)</f>
        <v>11.868633145558404</v>
      </c>
      <c r="BO6" s="88">
        <f t="shared" ref="BO6:BO69" si="28">$S$12-BM6-BN6+$S$18+$S$36</f>
        <v>127.07203025857193</v>
      </c>
      <c r="BP6">
        <f t="shared" ref="BP6:BP69" si="29">POWER(10,0.05*(BO6+$C$27))</f>
        <v>1.6704490454002594E-3</v>
      </c>
      <c r="BQ6">
        <f t="shared" ref="BQ6:BQ69" si="30">BM6+BN6</f>
        <v>51.997953990543039</v>
      </c>
      <c r="BR6">
        <f t="shared" ref="BR6:BR69" si="31">POWER(10,0.05*BQ6)</f>
        <v>398.01340524635526</v>
      </c>
      <c r="BS6">
        <f t="shared" ref="BS6:BS69" si="32">BP6*BR6</f>
        <v>0.66486111285028071</v>
      </c>
      <c r="CD6" s="73"/>
      <c r="CE6" s="40"/>
      <c r="CF6" s="40"/>
      <c r="CG6" s="40"/>
      <c r="CH6" s="40"/>
      <c r="CI6" s="40"/>
      <c r="CJ6" s="40"/>
      <c r="CK6" s="40"/>
      <c r="CL6" s="40"/>
      <c r="CM6" s="40"/>
      <c r="CS6" s="57"/>
      <c r="CT6" s="40"/>
      <c r="CU6" s="40"/>
      <c r="CV6" s="91"/>
      <c r="CW6" s="91"/>
      <c r="CX6" s="93"/>
      <c r="CY6" s="93"/>
      <c r="CZ6" s="91"/>
      <c r="DA6" s="92">
        <f>DA5+1</f>
        <v>2</v>
      </c>
      <c r="DB6" s="92">
        <v>0.90400000000000003</v>
      </c>
      <c r="DC6" s="94"/>
      <c r="DD6" s="94"/>
      <c r="DE6" s="92"/>
      <c r="DF6" s="40"/>
    </row>
    <row r="7" spans="1:110">
      <c r="B7" s="291" t="s">
        <v>64</v>
      </c>
      <c r="C7" s="291"/>
      <c r="D7" s="291"/>
      <c r="E7" s="12"/>
      <c r="F7" s="327" t="s">
        <v>67</v>
      </c>
      <c r="G7" s="327"/>
      <c r="H7" s="327"/>
      <c r="I7" s="13"/>
      <c r="J7" s="16">
        <f>B16</f>
        <v>1</v>
      </c>
      <c r="K7" s="20">
        <v>5</v>
      </c>
      <c r="L7" s="16" t="s">
        <v>7</v>
      </c>
      <c r="N7" s="5">
        <f>B16</f>
        <v>1</v>
      </c>
      <c r="O7" s="41">
        <f>(2*K7/$K$24)*((1/COS(RADIANS($K$28/2)))-1)*POWER(10,6)</f>
        <v>16.279320541148223</v>
      </c>
      <c r="P7" s="16" t="s">
        <v>30</v>
      </c>
      <c r="R7" s="323" t="s">
        <v>71</v>
      </c>
      <c r="S7" s="323"/>
      <c r="T7" s="323"/>
      <c r="U7" s="59"/>
      <c r="V7">
        <f t="shared" ref="V7:V56" si="33">V6+$O$32</f>
        <v>1.25</v>
      </c>
      <c r="W7" s="56">
        <f t="shared" si="1"/>
        <v>1.9382002601611283</v>
      </c>
      <c r="X7" s="56">
        <f t="shared" si="2"/>
        <v>0.14616543282707395</v>
      </c>
      <c r="Y7" s="56">
        <f t="shared" si="3"/>
        <v>156.98561855612675</v>
      </c>
      <c r="Z7" s="56">
        <f t="shared" si="4"/>
        <v>-25.629747049253723</v>
      </c>
      <c r="AA7" s="87">
        <f t="shared" si="0"/>
        <v>5.2301319716685529E-2</v>
      </c>
      <c r="AB7" s="86">
        <f t="shared" si="5"/>
        <v>2.0843656929882024</v>
      </c>
      <c r="AC7" s="22">
        <f t="shared" si="6"/>
        <v>1.2712128803858289</v>
      </c>
      <c r="AD7" s="102">
        <f t="shared" si="7"/>
        <v>6.648611128502796E-2</v>
      </c>
      <c r="AE7" s="22">
        <f t="shared" si="8"/>
        <v>3.8764005203222567</v>
      </c>
      <c r="AF7" s="22"/>
      <c r="AG7" s="22">
        <f t="shared" si="9"/>
        <v>9.1037500215010209E-4</v>
      </c>
      <c r="AH7" s="22">
        <f t="shared" si="10"/>
        <v>-30.40779676011967</v>
      </c>
      <c r="AI7" s="106">
        <f t="shared" si="11"/>
        <v>112.67999802601007</v>
      </c>
      <c r="AJ7" s="104"/>
      <c r="AK7" s="104"/>
      <c r="AL7" s="104"/>
      <c r="AM7" s="104">
        <f t="shared" si="12"/>
        <v>1.9382002601611283</v>
      </c>
      <c r="AN7" s="109">
        <f t="shared" si="13"/>
        <v>105.28321995926598</v>
      </c>
      <c r="AO7" s="104"/>
      <c r="AP7" s="104">
        <f t="shared" si="14"/>
        <v>0.96910013008056417</v>
      </c>
      <c r="AQ7" s="104">
        <f t="shared" si="15"/>
        <v>121.31411982918542</v>
      </c>
      <c r="AR7" s="104"/>
      <c r="AS7" s="104"/>
      <c r="AT7" s="104"/>
      <c r="AU7" s="104"/>
      <c r="AV7" s="104"/>
      <c r="AW7" s="104"/>
      <c r="AX7" s="22"/>
      <c r="AY7" s="22">
        <f t="shared" si="16"/>
        <v>1.8269700029109544E-2</v>
      </c>
      <c r="AZ7" s="22">
        <f t="shared" si="17"/>
        <v>-17.38268583286321</v>
      </c>
      <c r="BA7" s="104">
        <f t="shared" si="18"/>
        <v>145.70510895326652</v>
      </c>
      <c r="BB7">
        <f t="shared" ref="BB7:BB70" si="34">BB6+$O$34</f>
        <v>21.5</v>
      </c>
      <c r="BC7">
        <f t="shared" si="19"/>
        <v>26.64876919831211</v>
      </c>
      <c r="BD7">
        <f t="shared" si="20"/>
        <v>2.5140454446256717</v>
      </c>
      <c r="BE7" s="88">
        <f t="shared" si="21"/>
        <v>143.88656969289755</v>
      </c>
      <c r="BF7">
        <f t="shared" si="22"/>
        <v>1.1576044947013775E-2</v>
      </c>
      <c r="BG7">
        <f t="shared" si="23"/>
        <v>29.162814642937782</v>
      </c>
      <c r="BH7">
        <f t="shared" si="24"/>
        <v>28.717110027366971</v>
      </c>
      <c r="BI7">
        <f t="shared" si="25"/>
        <v>0.33243055642514002</v>
      </c>
      <c r="BL7">
        <f t="shared" ref="BL7:BL70" si="35">BL6+$O$36</f>
        <v>103</v>
      </c>
      <c r="BM7">
        <f t="shared" si="26"/>
        <v>40.256744494103444</v>
      </c>
      <c r="BN7">
        <f t="shared" si="27"/>
        <v>12.044031664950891</v>
      </c>
      <c r="BO7" s="88">
        <f t="shared" si="28"/>
        <v>126.76920809006064</v>
      </c>
      <c r="BP7">
        <f t="shared" si="29"/>
        <v>1.613214527216008E-3</v>
      </c>
      <c r="BQ7">
        <f t="shared" si="30"/>
        <v>52.300776159054337</v>
      </c>
      <c r="BR7">
        <f t="shared" si="31"/>
        <v>412.1343452055695</v>
      </c>
      <c r="BS7">
        <f t="shared" si="32"/>
        <v>0.66486111285028182</v>
      </c>
      <c r="CD7" s="73"/>
      <c r="CE7" s="40"/>
      <c r="CF7" s="40"/>
      <c r="CG7" s="40"/>
      <c r="CH7" s="40"/>
      <c r="CI7" s="40"/>
      <c r="CJ7" s="40"/>
      <c r="CK7" s="40"/>
      <c r="CL7" s="40"/>
      <c r="CM7" s="40"/>
      <c r="CS7" s="57"/>
      <c r="CT7" s="40"/>
      <c r="CU7" s="40"/>
      <c r="CV7" s="91"/>
      <c r="CW7" s="91"/>
      <c r="CX7" s="93"/>
      <c r="CY7" s="93"/>
      <c r="CZ7" s="91"/>
      <c r="DA7" s="92">
        <f t="shared" ref="DA7:DA34" si="36">DA6+1</f>
        <v>3</v>
      </c>
      <c r="DB7" s="92">
        <v>0.90800000000000003</v>
      </c>
      <c r="DC7" s="94"/>
      <c r="DD7" s="94"/>
      <c r="DE7" s="92"/>
      <c r="DF7" s="40"/>
    </row>
    <row r="8" spans="1:110">
      <c r="B8" s="18" t="s">
        <v>44</v>
      </c>
      <c r="C8" s="20">
        <v>6</v>
      </c>
      <c r="D8" s="5" t="s">
        <v>26</v>
      </c>
      <c r="E8" s="12"/>
      <c r="F8" s="328" t="s">
        <v>16</v>
      </c>
      <c r="G8" s="44">
        <f>((0.11*POWER(C6,2))/(1+POWER(C6,2))+((44*POWER(C6,2))/(4100+POWER(C6,2)))+((3*POWER(10,-4))*POWER(C6,2)))</f>
        <v>58.466173130829574</v>
      </c>
      <c r="H8" s="305" t="s">
        <v>57</v>
      </c>
      <c r="I8" s="12"/>
      <c r="J8" s="16">
        <f t="shared" ref="J8:J10" si="37">B17</f>
        <v>2</v>
      </c>
      <c r="K8" s="20">
        <v>20</v>
      </c>
      <c r="L8" s="5" t="s">
        <v>7</v>
      </c>
      <c r="N8" s="5">
        <f t="shared" ref="N8:N10" si="38">B17</f>
        <v>2</v>
      </c>
      <c r="O8" s="41">
        <f>(2*K8/$K$24)*((1/COS(RADIANS($K$28/2)))-1)*POWER(10,6)</f>
        <v>65.117282164592893</v>
      </c>
      <c r="P8" s="16" t="s">
        <v>30</v>
      </c>
      <c r="R8" s="291" t="s">
        <v>102</v>
      </c>
      <c r="S8" s="291"/>
      <c r="T8" s="17" t="s">
        <v>103</v>
      </c>
      <c r="U8" s="60"/>
      <c r="V8">
        <f t="shared" si="33"/>
        <v>1.625</v>
      </c>
      <c r="W8" s="56">
        <f t="shared" si="1"/>
        <v>4.2170673062978636</v>
      </c>
      <c r="X8" s="56">
        <f t="shared" si="2"/>
        <v>0.19001506267519611</v>
      </c>
      <c r="Y8" s="56">
        <f t="shared" si="3"/>
        <v>154.6629018801419</v>
      </c>
      <c r="Z8" s="56">
        <f t="shared" si="4"/>
        <v>-27.952463725238573</v>
      </c>
      <c r="AA8" s="87">
        <f t="shared" si="0"/>
        <v>4.0029191068647503E-2</v>
      </c>
      <c r="AB8" s="86">
        <f t="shared" si="5"/>
        <v>4.40708236897306</v>
      </c>
      <c r="AC8" s="22">
        <f t="shared" si="6"/>
        <v>1.6609406663004644</v>
      </c>
      <c r="AD8" s="102">
        <f t="shared" si="7"/>
        <v>6.6486111285027988E-2</v>
      </c>
      <c r="AE8" s="22">
        <f t="shared" si="8"/>
        <v>8.4341346125957273</v>
      </c>
      <c r="AF8" s="22"/>
      <c r="AG8" s="22">
        <f t="shared" si="9"/>
        <v>1.5385337536336725E-3</v>
      </c>
      <c r="AH8" s="22">
        <f t="shared" si="10"/>
        <v>-28.128929713982931</v>
      </c>
      <c r="AI8" s="106">
        <f t="shared" si="11"/>
        <v>110.40113097987333</v>
      </c>
      <c r="AJ8" s="104"/>
      <c r="AK8" s="104"/>
      <c r="AL8" s="104"/>
      <c r="AM8" s="104">
        <f t="shared" si="12"/>
        <v>4.2170673062978636</v>
      </c>
      <c r="AN8" s="109">
        <f t="shared" si="13"/>
        <v>102.96050328328111</v>
      </c>
      <c r="AO8" s="104"/>
      <c r="AP8" s="104">
        <f t="shared" si="14"/>
        <v>2.1085336531489318</v>
      </c>
      <c r="AQ8" s="104">
        <f t="shared" si="15"/>
        <v>117.85196963013219</v>
      </c>
      <c r="AR8" s="104"/>
      <c r="AS8" s="104"/>
      <c r="AT8" s="104"/>
      <c r="AU8" s="104"/>
      <c r="AV8" s="104"/>
      <c r="AW8" s="104"/>
      <c r="AX8" s="22"/>
      <c r="AY8" s="22">
        <f t="shared" si="16"/>
        <v>2.3750610037842412E-2</v>
      </c>
      <c r="AZ8" s="22">
        <f t="shared" si="17"/>
        <v>-16.24325230979484</v>
      </c>
      <c r="BA8" s="104">
        <f t="shared" si="18"/>
        <v>142.28680838406143</v>
      </c>
      <c r="BB8">
        <f t="shared" si="34"/>
        <v>22.25</v>
      </c>
      <c r="BC8">
        <f t="shared" si="19"/>
        <v>26.946600306339008</v>
      </c>
      <c r="BD8">
        <f t="shared" si="20"/>
        <v>2.601744704321916</v>
      </c>
      <c r="BE8" s="88">
        <f t="shared" si="21"/>
        <v>143.50103932517442</v>
      </c>
      <c r="BF8">
        <f t="shared" si="22"/>
        <v>1.1073468790923319E-2</v>
      </c>
      <c r="BG8">
        <f t="shared" si="23"/>
        <v>29.548345010660924</v>
      </c>
      <c r="BH8">
        <f t="shared" si="24"/>
        <v>30.020453635777304</v>
      </c>
      <c r="BI8">
        <f t="shared" si="25"/>
        <v>0.33243055642514047</v>
      </c>
      <c r="BL8">
        <f t="shared" si="35"/>
        <v>104.5</v>
      </c>
      <c r="BM8">
        <f t="shared" si="26"/>
        <v>40.382325808941459</v>
      </c>
      <c r="BN8">
        <f t="shared" si="27"/>
        <v>12.219430184343381</v>
      </c>
      <c r="BO8" s="88">
        <f t="shared" si="28"/>
        <v>126.46822825583014</v>
      </c>
      <c r="BP8">
        <f t="shared" si="29"/>
        <v>1.5582715172547832E-3</v>
      </c>
      <c r="BQ8">
        <f t="shared" si="30"/>
        <v>52.60175599328484</v>
      </c>
      <c r="BR8">
        <f t="shared" si="31"/>
        <v>426.66576747906635</v>
      </c>
      <c r="BS8">
        <f t="shared" si="32"/>
        <v>0.66486111285028127</v>
      </c>
      <c r="CD8" s="73"/>
      <c r="CE8" s="40"/>
      <c r="CF8" s="40"/>
      <c r="CG8" s="40"/>
      <c r="CH8" s="40"/>
      <c r="CI8" s="40"/>
      <c r="CJ8" s="40"/>
      <c r="CK8" s="40"/>
      <c r="CL8" s="40"/>
      <c r="CM8" s="40"/>
      <c r="CS8" s="57"/>
      <c r="CT8" s="40"/>
      <c r="CU8" s="40"/>
      <c r="CV8" s="91"/>
      <c r="CW8" s="91"/>
      <c r="CX8" s="93"/>
      <c r="CY8" s="93"/>
      <c r="CZ8" s="91"/>
      <c r="DA8" s="92">
        <f t="shared" si="36"/>
        <v>4</v>
      </c>
      <c r="DB8" s="92">
        <v>0.91200000000000003</v>
      </c>
      <c r="DC8" s="94"/>
      <c r="DD8" s="94"/>
      <c r="DE8" s="92"/>
      <c r="DF8" s="40"/>
    </row>
    <row r="9" spans="1:110">
      <c r="B9" s="317" t="s">
        <v>1</v>
      </c>
      <c r="C9" s="317"/>
      <c r="D9" s="317"/>
      <c r="E9" s="13"/>
      <c r="F9" s="329"/>
      <c r="G9" s="33">
        <f>0.214*C6+0.00016*POWER(C6,2)</f>
        <v>60.576000000000001</v>
      </c>
      <c r="H9" s="307"/>
      <c r="I9" s="13"/>
      <c r="J9" s="16">
        <f t="shared" si="37"/>
        <v>3</v>
      </c>
      <c r="K9" s="20">
        <v>100</v>
      </c>
      <c r="L9" s="5" t="s">
        <v>7</v>
      </c>
      <c r="N9" s="5">
        <f t="shared" si="38"/>
        <v>3</v>
      </c>
      <c r="O9" s="41">
        <f>(2*K9/$K$24)*((1/COS(RADIANS($K$28/2)))-1)*POWER(10,6)</f>
        <v>325.58641082296447</v>
      </c>
      <c r="P9" s="16" t="s">
        <v>30</v>
      </c>
      <c r="R9" s="17">
        <f>B16</f>
        <v>1</v>
      </c>
      <c r="S9" s="25">
        <f>10*LOG10(G32)+$S$6+170.8</f>
        <v>196.96419530645198</v>
      </c>
      <c r="T9" s="37">
        <f>$C$23+20*LOG10(G19/1)</f>
        <v>190.96910013008056</v>
      </c>
      <c r="U9" s="61"/>
      <c r="V9">
        <f t="shared" si="33"/>
        <v>2</v>
      </c>
      <c r="W9" s="56">
        <f t="shared" si="1"/>
        <v>6.0205999132796242</v>
      </c>
      <c r="X9" s="56">
        <f t="shared" si="2"/>
        <v>0.23386469252331829</v>
      </c>
      <c r="Y9" s="56">
        <f t="shared" si="3"/>
        <v>152.815519643312</v>
      </c>
      <c r="Z9" s="56">
        <f t="shared" si="4"/>
        <v>-29.799845962068474</v>
      </c>
      <c r="AA9" s="87">
        <f t="shared" si="0"/>
        <v>3.2359939567852283E-2</v>
      </c>
      <c r="AB9" s="86">
        <f t="shared" si="5"/>
        <v>6.2544646058029425</v>
      </c>
      <c r="AC9" s="22">
        <f t="shared" si="6"/>
        <v>2.0545808234783594</v>
      </c>
      <c r="AD9" s="102">
        <f t="shared" si="7"/>
        <v>6.6486111285027891E-2</v>
      </c>
      <c r="AE9" s="22">
        <f t="shared" si="8"/>
        <v>12.041199826559248</v>
      </c>
      <c r="AF9" s="22"/>
      <c r="AG9" s="22">
        <f t="shared" si="9"/>
        <v>2.3305600055042613E-3</v>
      </c>
      <c r="AH9" s="22">
        <f t="shared" si="10"/>
        <v>-26.325397107001173</v>
      </c>
      <c r="AI9" s="106">
        <f t="shared" si="11"/>
        <v>108.59759837289155</v>
      </c>
      <c r="AJ9" s="104"/>
      <c r="AK9" s="104"/>
      <c r="AL9" s="104"/>
      <c r="AM9" s="104">
        <f t="shared" si="12"/>
        <v>6.0205999132796242</v>
      </c>
      <c r="AN9" s="109">
        <f t="shared" si="13"/>
        <v>101.11312104645124</v>
      </c>
      <c r="AO9" s="104"/>
      <c r="AP9" s="104">
        <f t="shared" si="14"/>
        <v>3.0102999566398121</v>
      </c>
      <c r="AQ9" s="104">
        <f t="shared" si="15"/>
        <v>115.10282108981143</v>
      </c>
      <c r="AR9" s="104"/>
      <c r="AS9" s="104"/>
      <c r="AT9" s="104"/>
      <c r="AU9" s="104"/>
      <c r="AV9" s="104"/>
      <c r="AW9" s="104"/>
      <c r="AX9" s="22"/>
      <c r="AY9" s="22">
        <f t="shared" si="16"/>
        <v>2.9231520046575272E-2</v>
      </c>
      <c r="AZ9" s="22">
        <f t="shared" si="17"/>
        <v>-15.341486006303963</v>
      </c>
      <c r="BA9" s="104">
        <f t="shared" si="18"/>
        <v>139.58150947358877</v>
      </c>
      <c r="BB9">
        <f t="shared" si="34"/>
        <v>23</v>
      </c>
      <c r="BC9">
        <f t="shared" si="19"/>
        <v>27.234556720351858</v>
      </c>
      <c r="BD9">
        <f t="shared" si="20"/>
        <v>2.6894439640181602</v>
      </c>
      <c r="BE9" s="88">
        <f t="shared" si="21"/>
        <v>143.12538365146531</v>
      </c>
      <c r="BF9">
        <f t="shared" si="22"/>
        <v>1.0604761416495252E-2</v>
      </c>
      <c r="BG9">
        <f t="shared" si="23"/>
        <v>29.924000684370018</v>
      </c>
      <c r="BH9">
        <f t="shared" si="24"/>
        <v>31.347292350024809</v>
      </c>
      <c r="BI9">
        <f t="shared" si="25"/>
        <v>0.33243055642513986</v>
      </c>
      <c r="BL9">
        <f t="shared" si="35"/>
        <v>106</v>
      </c>
      <c r="BM9">
        <f t="shared" si="26"/>
        <v>40.506117305295405</v>
      </c>
      <c r="BN9">
        <f t="shared" si="27"/>
        <v>12.39482870373587</v>
      </c>
      <c r="BO9" s="88">
        <f t="shared" si="28"/>
        <v>126.16903824008371</v>
      </c>
      <c r="BP9">
        <f t="shared" si="29"/>
        <v>1.5055099555472736E-3</v>
      </c>
      <c r="BQ9">
        <f t="shared" si="30"/>
        <v>52.900946009031273</v>
      </c>
      <c r="BR9">
        <f t="shared" si="31"/>
        <v>441.61854287346489</v>
      </c>
      <c r="BS9">
        <f t="shared" si="32"/>
        <v>0.66486111285028182</v>
      </c>
      <c r="CD9" s="73"/>
      <c r="CE9" s="40"/>
      <c r="CF9" s="40"/>
      <c r="CG9" s="40"/>
      <c r="CH9" s="40"/>
      <c r="CI9" s="40"/>
      <c r="CJ9" s="40"/>
      <c r="CK9" s="40"/>
      <c r="CL9" s="40"/>
      <c r="CM9" s="40"/>
      <c r="CS9" s="57"/>
      <c r="CT9" s="40"/>
      <c r="CU9" s="40"/>
      <c r="CV9" s="91"/>
      <c r="CW9" s="91"/>
      <c r="CX9" s="93"/>
      <c r="CY9" s="93"/>
      <c r="CZ9" s="91"/>
      <c r="DA9" s="92">
        <f t="shared" si="36"/>
        <v>5</v>
      </c>
      <c r="DB9" s="92">
        <v>0.91600000000000004</v>
      </c>
      <c r="DC9" s="94"/>
      <c r="DD9" s="94"/>
      <c r="DE9" s="92"/>
      <c r="DF9" s="40"/>
    </row>
    <row r="10" spans="1:110" ht="14.4" customHeight="1">
      <c r="B10" s="5" t="s">
        <v>59</v>
      </c>
      <c r="C10" s="20">
        <v>176</v>
      </c>
      <c r="D10" s="5" t="s">
        <v>2</v>
      </c>
      <c r="E10" s="12"/>
      <c r="F10" s="330" t="s">
        <v>97</v>
      </c>
      <c r="G10" s="330"/>
      <c r="H10" s="330"/>
      <c r="I10" s="12"/>
      <c r="J10" s="16">
        <f t="shared" si="37"/>
        <v>4</v>
      </c>
      <c r="K10" s="20">
        <v>200</v>
      </c>
      <c r="L10" s="5" t="s">
        <v>7</v>
      </c>
      <c r="N10" s="5">
        <f t="shared" si="38"/>
        <v>4</v>
      </c>
      <c r="O10" s="41">
        <f>(2*K10/$K$24)*((1/COS(RADIANS($K$28/2)))-1)*POWER(10,6)</f>
        <v>651.17282164592893</v>
      </c>
      <c r="P10" s="16" t="s">
        <v>30</v>
      </c>
      <c r="R10" s="17">
        <f t="shared" ref="R10:R12" si="39">B17</f>
        <v>2</v>
      </c>
      <c r="S10" s="25">
        <f>10*LOG10(G33)+$S$6+170.8</f>
        <v>196.96419530645198</v>
      </c>
      <c r="T10" s="37">
        <f>$C$23+20*LOG10(G20/1)</f>
        <v>190.96910013008056</v>
      </c>
      <c r="U10" s="61"/>
      <c r="V10">
        <f t="shared" si="33"/>
        <v>2.375</v>
      </c>
      <c r="W10" s="56">
        <f t="shared" si="1"/>
        <v>7.5132722792177074</v>
      </c>
      <c r="X10" s="56">
        <f t="shared" si="2"/>
        <v>0.27771432237144045</v>
      </c>
      <c r="Y10" s="56">
        <f t="shared" si="3"/>
        <v>151.27899764752578</v>
      </c>
      <c r="Z10" s="56">
        <f t="shared" si="4"/>
        <v>-31.336367957854691</v>
      </c>
      <c r="AA10" s="87">
        <f t="shared" si="0"/>
        <v>2.7113251471648447E-2</v>
      </c>
      <c r="AB10" s="86">
        <f t="shared" si="5"/>
        <v>7.7909866015891476</v>
      </c>
      <c r="AC10" s="22">
        <f t="shared" si="6"/>
        <v>2.4521629711047535</v>
      </c>
      <c r="AD10" s="102">
        <f t="shared" si="7"/>
        <v>6.648611128502778E-2</v>
      </c>
      <c r="AE10" s="22">
        <f t="shared" si="8"/>
        <v>15.026544558435415</v>
      </c>
      <c r="AF10" s="22"/>
      <c r="AG10" s="22">
        <f t="shared" si="9"/>
        <v>3.2864537577618684E-3</v>
      </c>
      <c r="AH10" s="22">
        <f t="shared" si="10"/>
        <v>-24.832724741063089</v>
      </c>
      <c r="AI10" s="106">
        <f t="shared" si="11"/>
        <v>107.10492600695349</v>
      </c>
      <c r="AJ10" s="104"/>
      <c r="AK10" s="104"/>
      <c r="AL10" s="104"/>
      <c r="AM10" s="104">
        <f t="shared" si="12"/>
        <v>7.5132722792177074</v>
      </c>
      <c r="AN10" s="109">
        <f t="shared" si="13"/>
        <v>99.576599050665024</v>
      </c>
      <c r="AO10" s="104"/>
      <c r="AP10" s="104">
        <f t="shared" si="14"/>
        <v>3.7566361396088537</v>
      </c>
      <c r="AQ10" s="104">
        <f t="shared" si="15"/>
        <v>112.81996291105618</v>
      </c>
      <c r="AR10" s="104"/>
      <c r="AS10" s="104"/>
      <c r="AT10" s="104"/>
      <c r="AU10" s="104"/>
      <c r="AV10" s="104"/>
      <c r="AW10" s="104"/>
      <c r="AX10" s="22"/>
      <c r="AY10" s="22">
        <f t="shared" si="16"/>
        <v>3.4712430055308136E-2</v>
      </c>
      <c r="AZ10" s="22">
        <f t="shared" si="17"/>
        <v>-14.595149823334921</v>
      </c>
      <c r="BA10" s="104">
        <f t="shared" si="18"/>
        <v>137.34250092468164</v>
      </c>
      <c r="BB10">
        <f t="shared" si="34"/>
        <v>23.75</v>
      </c>
      <c r="BC10">
        <f t="shared" si="19"/>
        <v>27.513272279217706</v>
      </c>
      <c r="BD10">
        <f t="shared" si="20"/>
        <v>2.7771432237144049</v>
      </c>
      <c r="BE10" s="88">
        <f t="shared" si="21"/>
        <v>142.75896883290321</v>
      </c>
      <c r="BF10">
        <f t="shared" si="22"/>
        <v>1.0166703577821195E-2</v>
      </c>
      <c r="BG10">
        <f t="shared" si="23"/>
        <v>30.29041550293211</v>
      </c>
      <c r="BH10">
        <f t="shared" si="24"/>
        <v>32.697968803805921</v>
      </c>
      <c r="BI10">
        <f t="shared" si="25"/>
        <v>0.33243055642513947</v>
      </c>
      <c r="BL10">
        <f t="shared" si="35"/>
        <v>107.5</v>
      </c>
      <c r="BM10">
        <f t="shared" si="26"/>
        <v>40.628169285032484</v>
      </c>
      <c r="BN10">
        <f t="shared" si="27"/>
        <v>12.570227223128358</v>
      </c>
      <c r="BO10" s="88">
        <f t="shared" si="28"/>
        <v>125.87158774095413</v>
      </c>
      <c r="BP10">
        <f t="shared" si="29"/>
        <v>1.4548261769054495E-3</v>
      </c>
      <c r="BQ10">
        <f t="shared" si="30"/>
        <v>53.19839650816084</v>
      </c>
      <c r="BR10">
        <f t="shared" si="31"/>
        <v>457.00381489182575</v>
      </c>
      <c r="BS10">
        <f t="shared" si="32"/>
        <v>0.6648611128502806</v>
      </c>
      <c r="CD10" s="73"/>
      <c r="CE10" s="40"/>
      <c r="CF10" s="40"/>
      <c r="CG10" s="40"/>
      <c r="CH10" s="40"/>
      <c r="CI10" s="40"/>
      <c r="CJ10" s="40"/>
      <c r="CK10" s="40"/>
      <c r="CL10" s="40"/>
      <c r="CM10" s="40"/>
      <c r="CS10" s="57"/>
      <c r="CT10" s="40"/>
      <c r="CU10" s="40"/>
      <c r="CV10" s="91"/>
      <c r="CW10" s="91"/>
      <c r="CX10" s="93"/>
      <c r="CY10" s="93"/>
      <c r="CZ10" s="91"/>
      <c r="DA10" s="92">
        <f t="shared" si="36"/>
        <v>6</v>
      </c>
      <c r="DB10" s="92">
        <v>0.92</v>
      </c>
      <c r="DC10" s="94"/>
      <c r="DD10" s="94"/>
      <c r="DE10" s="92"/>
      <c r="DF10" s="40"/>
    </row>
    <row r="11" spans="1:110">
      <c r="B11" s="291" t="s">
        <v>0</v>
      </c>
      <c r="C11" s="291"/>
      <c r="D11" s="291"/>
      <c r="E11" s="12"/>
      <c r="F11" s="330"/>
      <c r="G11" s="330"/>
      <c r="H11" s="330"/>
      <c r="I11" s="2"/>
      <c r="J11" s="2"/>
      <c r="K11" s="2"/>
      <c r="L11" s="2"/>
      <c r="R11" s="17">
        <f t="shared" si="39"/>
        <v>3</v>
      </c>
      <c r="S11" s="25">
        <f>10*LOG10(G34)+$S$6+170.8</f>
        <v>210.94359539317236</v>
      </c>
      <c r="T11" s="37">
        <f>$C$23+20*LOG10(G21/1)</f>
        <v>204.94850021680094</v>
      </c>
      <c r="U11" s="61"/>
      <c r="V11">
        <f t="shared" si="33"/>
        <v>2.75</v>
      </c>
      <c r="W11" s="56">
        <f t="shared" si="1"/>
        <v>8.7866538766052535</v>
      </c>
      <c r="X11" s="56">
        <f t="shared" si="2"/>
        <v>0.32156395221956263</v>
      </c>
      <c r="Y11" s="56">
        <f t="shared" si="3"/>
        <v>149.96176642029016</v>
      </c>
      <c r="Z11" s="56">
        <f t="shared" si="4"/>
        <v>-32.653599185090314</v>
      </c>
      <c r="AA11" s="87">
        <f t="shared" si="0"/>
        <v>2.3298075094117604E-2</v>
      </c>
      <c r="AB11" s="86">
        <f t="shared" si="5"/>
        <v>9.1082178288248166</v>
      </c>
      <c r="AC11" s="22">
        <f t="shared" si="6"/>
        <v>2.8537169279626378</v>
      </c>
      <c r="AD11" s="102">
        <f t="shared" si="7"/>
        <v>6.6486111285028127E-2</v>
      </c>
      <c r="AE11" s="22">
        <f t="shared" si="8"/>
        <v>17.573307753210507</v>
      </c>
      <c r="AF11" s="22"/>
      <c r="AG11" s="22">
        <f t="shared" si="9"/>
        <v>4.406215010406494E-3</v>
      </c>
      <c r="AH11" s="22">
        <f t="shared" si="10"/>
        <v>-23.559343143675541</v>
      </c>
      <c r="AI11" s="106">
        <f t="shared" si="11"/>
        <v>105.83154440956594</v>
      </c>
      <c r="AJ11" s="104"/>
      <c r="AK11" s="104"/>
      <c r="AL11" s="104"/>
      <c r="AM11" s="104">
        <f t="shared" si="12"/>
        <v>8.7866538766052535</v>
      </c>
      <c r="AN11" s="109">
        <f t="shared" si="13"/>
        <v>98.259367823429372</v>
      </c>
      <c r="AO11" s="104"/>
      <c r="AP11" s="104">
        <f t="shared" si="14"/>
        <v>4.3933269383026268</v>
      </c>
      <c r="AQ11" s="104">
        <f t="shared" si="15"/>
        <v>110.86604088512675</v>
      </c>
      <c r="AR11" s="104"/>
      <c r="AS11" s="104"/>
      <c r="AT11" s="104"/>
      <c r="AU11" s="104"/>
      <c r="AV11" s="104"/>
      <c r="AW11" s="104"/>
      <c r="AX11" s="22"/>
      <c r="AY11" s="22">
        <f t="shared" si="16"/>
        <v>4.0193340064040996E-2</v>
      </c>
      <c r="AZ11" s="22">
        <f t="shared" si="17"/>
        <v>-13.958459024641147</v>
      </c>
      <c r="BA11" s="104">
        <f t="shared" si="18"/>
        <v>135.43242852860033</v>
      </c>
      <c r="BB11">
        <f t="shared" si="34"/>
        <v>24.5</v>
      </c>
      <c r="BC11">
        <f t="shared" si="19"/>
        <v>27.783321687290648</v>
      </c>
      <c r="BD11">
        <f t="shared" si="20"/>
        <v>2.8648424834106492</v>
      </c>
      <c r="BE11" s="88">
        <f t="shared" si="21"/>
        <v>142.40122016513402</v>
      </c>
      <c r="BF11">
        <f t="shared" si="22"/>
        <v>9.7564703258349907E-3</v>
      </c>
      <c r="BG11">
        <f t="shared" si="23"/>
        <v>30.648164170701296</v>
      </c>
      <c r="BH11">
        <f t="shared" si="24"/>
        <v>34.072830165317903</v>
      </c>
      <c r="BI11">
        <f t="shared" si="25"/>
        <v>0.33243055642513947</v>
      </c>
      <c r="BL11">
        <f t="shared" si="35"/>
        <v>109</v>
      </c>
      <c r="BM11">
        <f t="shared" si="26"/>
        <v>40.748529958812476</v>
      </c>
      <c r="BN11">
        <f t="shared" si="27"/>
        <v>12.745625742520847</v>
      </c>
      <c r="BO11" s="88">
        <f t="shared" si="28"/>
        <v>125.57582854778165</v>
      </c>
      <c r="BP11">
        <f t="shared" si="29"/>
        <v>1.4061224659482903E-3</v>
      </c>
      <c r="BQ11">
        <f t="shared" si="30"/>
        <v>53.494155701333327</v>
      </c>
      <c r="BR11">
        <f t="shared" si="31"/>
        <v>472.83300633554586</v>
      </c>
      <c r="BS11">
        <f t="shared" si="32"/>
        <v>0.66486111285028127</v>
      </c>
      <c r="CD11" s="73"/>
      <c r="CE11" s="40"/>
      <c r="CF11" s="40"/>
      <c r="CG11" s="40"/>
      <c r="CH11" s="40"/>
      <c r="CI11" s="40"/>
      <c r="CJ11" s="40"/>
      <c r="CK11" s="40"/>
      <c r="CL11" s="40"/>
      <c r="CM11" s="40"/>
      <c r="CS11" s="57"/>
      <c r="CT11" s="40"/>
      <c r="CU11" s="40"/>
      <c r="CV11" s="91"/>
      <c r="CW11" s="91"/>
      <c r="CX11" s="93"/>
      <c r="CY11" s="93"/>
      <c r="CZ11" s="91"/>
      <c r="DA11" s="92">
        <f t="shared" si="36"/>
        <v>7</v>
      </c>
      <c r="DB11" s="92">
        <v>0.92200000000000004</v>
      </c>
      <c r="DC11" s="94"/>
      <c r="DD11" s="94"/>
      <c r="DE11" s="92"/>
      <c r="DF11" s="40"/>
    </row>
    <row r="12" spans="1:110">
      <c r="B12" s="18" t="s">
        <v>27</v>
      </c>
      <c r="C12" s="20">
        <v>0.4</v>
      </c>
      <c r="D12" s="5"/>
      <c r="E12" s="12"/>
      <c r="F12" s="330"/>
      <c r="G12" s="330"/>
      <c r="H12" s="330"/>
      <c r="I12" s="2"/>
      <c r="J12" s="291" t="s">
        <v>83</v>
      </c>
      <c r="K12" s="291"/>
      <c r="L12" s="291"/>
      <c r="N12" s="323" t="s">
        <v>84</v>
      </c>
      <c r="O12" s="323"/>
      <c r="P12" s="323"/>
      <c r="R12" s="17">
        <f t="shared" si="39"/>
        <v>4</v>
      </c>
      <c r="S12" s="25">
        <f>10*LOG10(G35)+$S$6+170.8</f>
        <v>216.96419530645198</v>
      </c>
      <c r="T12" s="37">
        <f>$C$23+20*LOG10(G22/1)</f>
        <v>210.96910013008056</v>
      </c>
      <c r="U12" s="61"/>
      <c r="V12">
        <f t="shared" si="33"/>
        <v>3.125</v>
      </c>
      <c r="W12" s="56">
        <f t="shared" si="1"/>
        <v>9.89700043360188</v>
      </c>
      <c r="X12" s="56">
        <f t="shared" si="2"/>
        <v>0.36541358206768487</v>
      </c>
      <c r="Y12" s="56">
        <f t="shared" si="3"/>
        <v>148.8075702334454</v>
      </c>
      <c r="Z12" s="56">
        <f t="shared" si="4"/>
        <v>-33.807795371935072</v>
      </c>
      <c r="AA12" s="87">
        <f t="shared" si="0"/>
        <v>2.0399063571966337E-2</v>
      </c>
      <c r="AB12" s="86">
        <f t="shared" si="5"/>
        <v>10.262414015669565</v>
      </c>
      <c r="AC12" s="22">
        <f t="shared" si="6"/>
        <v>3.2592727136944357</v>
      </c>
      <c r="AD12" s="102">
        <f t="shared" si="7"/>
        <v>6.6486111285028029E-2</v>
      </c>
      <c r="AE12" s="22">
        <f t="shared" si="8"/>
        <v>19.79400086720376</v>
      </c>
      <c r="AF12" s="22"/>
      <c r="AG12" s="22">
        <f t="shared" si="9"/>
        <v>5.6898437634381382E-3</v>
      </c>
      <c r="AH12" s="22">
        <f t="shared" si="10"/>
        <v>-22.448996586678916</v>
      </c>
      <c r="AI12" s="106">
        <f t="shared" si="11"/>
        <v>104.72119785256932</v>
      </c>
      <c r="AJ12" s="104"/>
      <c r="AK12" s="104"/>
      <c r="AL12" s="104"/>
      <c r="AM12" s="104">
        <f t="shared" si="12"/>
        <v>9.89700043360188</v>
      </c>
      <c r="AN12" s="109">
        <f t="shared" si="13"/>
        <v>97.1051716365846</v>
      </c>
      <c r="AO12" s="104"/>
      <c r="AP12" s="104">
        <f t="shared" si="14"/>
        <v>4.94850021680094</v>
      </c>
      <c r="AQ12" s="104">
        <f t="shared" si="15"/>
        <v>109.15667141978369</v>
      </c>
      <c r="AR12" s="104"/>
      <c r="AS12" s="104"/>
      <c r="AT12" s="104"/>
      <c r="AU12" s="104"/>
      <c r="AV12" s="104"/>
      <c r="AW12" s="104"/>
      <c r="AX12" s="22"/>
      <c r="AY12" s="22">
        <f t="shared" si="16"/>
        <v>4.5674250072773863E-2</v>
      </c>
      <c r="AZ12" s="22">
        <f t="shared" si="17"/>
        <v>-13.403285746142835</v>
      </c>
      <c r="BA12" s="104">
        <f t="shared" si="18"/>
        <v>133.76690869310539</v>
      </c>
      <c r="BB12">
        <f t="shared" si="34"/>
        <v>25.25</v>
      </c>
      <c r="BC12">
        <f t="shared" si="19"/>
        <v>28.045227649093604</v>
      </c>
      <c r="BD12">
        <f t="shared" si="20"/>
        <v>2.9525417431068939</v>
      </c>
      <c r="BE12" s="88">
        <f t="shared" si="21"/>
        <v>142.05161494363483</v>
      </c>
      <c r="BF12">
        <f t="shared" si="22"/>
        <v>9.371572448367246E-3</v>
      </c>
      <c r="BG12">
        <f t="shared" si="23"/>
        <v>30.9977693922005</v>
      </c>
      <c r="BH12">
        <f t="shared" si="24"/>
        <v>35.472228194005737</v>
      </c>
      <c r="BI12">
        <f t="shared" si="25"/>
        <v>0.33243055642514002</v>
      </c>
      <c r="BL12">
        <f t="shared" si="35"/>
        <v>110.5</v>
      </c>
      <c r="BM12">
        <f t="shared" si="26"/>
        <v>40.867245560422589</v>
      </c>
      <c r="BN12">
        <f t="shared" si="27"/>
        <v>12.921024261913336</v>
      </c>
      <c r="BO12" s="88">
        <f t="shared" si="28"/>
        <v>125.28171442677903</v>
      </c>
      <c r="BP12">
        <f t="shared" si="29"/>
        <v>1.3593066484676392E-3</v>
      </c>
      <c r="BQ12">
        <f t="shared" si="30"/>
        <v>53.788269822335927</v>
      </c>
      <c r="BR12">
        <f t="shared" si="31"/>
        <v>489.11782606212148</v>
      </c>
      <c r="BS12">
        <f t="shared" si="32"/>
        <v>0.66486111285028004</v>
      </c>
      <c r="CD12" s="73"/>
      <c r="CE12" s="40"/>
      <c r="CF12" s="40"/>
      <c r="CG12" s="40"/>
      <c r="CH12" s="40"/>
      <c r="CI12" s="40"/>
      <c r="CJ12" s="40"/>
      <c r="CK12" s="40"/>
      <c r="CL12" s="40"/>
      <c r="CM12" s="40"/>
      <c r="CS12" s="57"/>
      <c r="CT12" s="40"/>
      <c r="CU12" s="40"/>
      <c r="CV12" s="91"/>
      <c r="CW12" s="91"/>
      <c r="CX12" s="93"/>
      <c r="CY12" s="93"/>
      <c r="CZ12" s="91"/>
      <c r="DA12" s="92">
        <f t="shared" si="36"/>
        <v>8</v>
      </c>
      <c r="DB12" s="92">
        <v>0.92400000000000004</v>
      </c>
      <c r="DC12" s="94"/>
      <c r="DD12" s="94"/>
      <c r="DE12" s="92"/>
      <c r="DF12" s="40"/>
    </row>
    <row r="13" spans="1:110">
      <c r="B13" s="21"/>
      <c r="C13" s="22"/>
      <c r="D13" s="22"/>
      <c r="E13" s="22"/>
      <c r="F13" s="2"/>
      <c r="G13" s="2"/>
      <c r="H13" s="2"/>
      <c r="I13" s="2"/>
      <c r="J13" s="317" t="s">
        <v>29</v>
      </c>
      <c r="K13" s="291"/>
      <c r="L13" s="291"/>
      <c r="N13" s="291" t="s">
        <v>85</v>
      </c>
      <c r="O13" s="291"/>
      <c r="P13" s="291"/>
      <c r="R13" s="2"/>
      <c r="S13" s="14"/>
      <c r="T13" s="2"/>
      <c r="U13" s="62"/>
      <c r="V13">
        <f t="shared" si="33"/>
        <v>3.5</v>
      </c>
      <c r="W13" s="56">
        <f t="shared" si="1"/>
        <v>10.881360887005513</v>
      </c>
      <c r="X13" s="56">
        <f t="shared" si="2"/>
        <v>0.409263211915807</v>
      </c>
      <c r="Y13" s="56">
        <f t="shared" si="3"/>
        <v>147.77936015019364</v>
      </c>
      <c r="Z13" s="56">
        <f t="shared" si="4"/>
        <v>-34.836005455186836</v>
      </c>
      <c r="AA13" s="87">
        <f t="shared" si="0"/>
        <v>1.8121732995203362E-2</v>
      </c>
      <c r="AB13" s="86">
        <f t="shared" si="5"/>
        <v>11.29062409892132</v>
      </c>
      <c r="AC13" s="22">
        <f t="shared" si="6"/>
        <v>3.6688605500713547</v>
      </c>
      <c r="AD13" s="102">
        <f t="shared" si="7"/>
        <v>6.6486111285028029E-2</v>
      </c>
      <c r="AE13" s="22">
        <f t="shared" si="8"/>
        <v>21.762721774011027</v>
      </c>
      <c r="AF13" s="22"/>
      <c r="AG13" s="22">
        <f t="shared" si="9"/>
        <v>7.1373400168568005E-3</v>
      </c>
      <c r="AH13" s="22">
        <f t="shared" si="10"/>
        <v>-21.464636133275281</v>
      </c>
      <c r="AI13" s="106">
        <f t="shared" si="11"/>
        <v>103.73683739916568</v>
      </c>
      <c r="AJ13" s="104"/>
      <c r="AK13" s="104"/>
      <c r="AL13" s="104"/>
      <c r="AM13" s="104">
        <f t="shared" si="12"/>
        <v>10.881360887005513</v>
      </c>
      <c r="AN13" s="109">
        <f t="shared" si="13"/>
        <v>96.076961553332865</v>
      </c>
      <c r="AO13" s="104"/>
      <c r="AP13" s="104">
        <f t="shared" si="14"/>
        <v>5.4406804435027567</v>
      </c>
      <c r="AQ13" s="104">
        <f t="shared" si="15"/>
        <v>107.63628110983012</v>
      </c>
      <c r="AR13" s="104"/>
      <c r="AS13" s="104"/>
      <c r="AT13" s="104"/>
      <c r="AU13" s="104"/>
      <c r="AV13" s="104"/>
      <c r="AW13" s="104"/>
      <c r="AX13" s="22"/>
      <c r="AY13" s="22">
        <f t="shared" si="16"/>
        <v>5.1155160081506723E-2</v>
      </c>
      <c r="AZ13" s="22">
        <f t="shared" si="17"/>
        <v>-12.911105519441019</v>
      </c>
      <c r="BA13" s="104">
        <f t="shared" si="18"/>
        <v>132.29036801299995</v>
      </c>
      <c r="BB13">
        <f t="shared" si="34"/>
        <v>26</v>
      </c>
      <c r="BC13">
        <f t="shared" si="19"/>
        <v>28.29946695941636</v>
      </c>
      <c r="BD13">
        <f t="shared" si="20"/>
        <v>3.0402410028031377</v>
      </c>
      <c r="BE13" s="88">
        <f t="shared" si="21"/>
        <v>141.70967637361585</v>
      </c>
      <c r="BF13">
        <f t="shared" si="22"/>
        <v>9.0098080455848304E-3</v>
      </c>
      <c r="BG13">
        <f t="shared" si="23"/>
        <v>31.339707962219499</v>
      </c>
      <c r="BH13">
        <f t="shared" si="24"/>
        <v>36.896519297993819</v>
      </c>
      <c r="BI13">
        <f t="shared" si="25"/>
        <v>0.33243055642514069</v>
      </c>
      <c r="BL13">
        <f t="shared" si="35"/>
        <v>112</v>
      </c>
      <c r="BM13">
        <f t="shared" si="26"/>
        <v>40.984360453403632</v>
      </c>
      <c r="BN13">
        <f t="shared" si="27"/>
        <v>13.096422781305824</v>
      </c>
      <c r="BO13" s="88">
        <f t="shared" si="28"/>
        <v>124.98920101440551</v>
      </c>
      <c r="BP13">
        <f t="shared" si="29"/>
        <v>1.3142917157254808E-3</v>
      </c>
      <c r="BQ13">
        <f t="shared" si="30"/>
        <v>54.080783234709457</v>
      </c>
      <c r="BR13">
        <f t="shared" si="31"/>
        <v>505.87027590239427</v>
      </c>
      <c r="BS13">
        <f t="shared" si="32"/>
        <v>0.66486111285028016</v>
      </c>
      <c r="CD13" s="73"/>
      <c r="CE13" s="40"/>
      <c r="CF13" s="40"/>
      <c r="CG13" s="40"/>
      <c r="CH13" s="40"/>
      <c r="CI13" s="40"/>
      <c r="CJ13" s="40"/>
      <c r="CK13" s="40"/>
      <c r="CL13" s="40"/>
      <c r="CM13" s="40"/>
      <c r="CS13" s="57"/>
      <c r="CT13" s="40"/>
      <c r="CU13" s="40"/>
      <c r="CV13" s="91"/>
      <c r="CW13" s="91"/>
      <c r="CX13" s="93"/>
      <c r="CY13" s="93"/>
      <c r="CZ13" s="91"/>
      <c r="DA13" s="92">
        <f t="shared" si="36"/>
        <v>9</v>
      </c>
      <c r="DB13" s="92">
        <v>0.92600000000000005</v>
      </c>
      <c r="DC13" s="94"/>
      <c r="DD13" s="94"/>
      <c r="DE13" s="92"/>
      <c r="DF13" s="40"/>
    </row>
    <row r="14" spans="1:110">
      <c r="B14" s="331" t="s">
        <v>65</v>
      </c>
      <c r="C14" s="331"/>
      <c r="D14" s="331"/>
      <c r="E14" s="21"/>
      <c r="F14" s="327" t="s">
        <v>68</v>
      </c>
      <c r="G14" s="327"/>
      <c r="H14" s="327"/>
      <c r="I14" s="12"/>
      <c r="J14" s="5">
        <f>B16</f>
        <v>1</v>
      </c>
      <c r="K14" s="20">
        <v>120</v>
      </c>
      <c r="L14" s="5" t="s">
        <v>30</v>
      </c>
      <c r="N14" s="5">
        <f>B16</f>
        <v>1</v>
      </c>
      <c r="O14" s="41">
        <f>(4*$K$24*(K14/1000000))/POWER(RADIANS($K$28),2)</f>
        <v>36.931571437632122</v>
      </c>
      <c r="P14" s="5" t="s">
        <v>7</v>
      </c>
      <c r="R14" s="323" t="s">
        <v>73</v>
      </c>
      <c r="S14" s="323"/>
      <c r="T14" s="323"/>
      <c r="U14" s="59"/>
      <c r="V14">
        <f t="shared" si="33"/>
        <v>3.875</v>
      </c>
      <c r="W14" s="56">
        <f t="shared" si="1"/>
        <v>11.765434136846583</v>
      </c>
      <c r="X14" s="56">
        <f t="shared" si="2"/>
        <v>0.45311284176392919</v>
      </c>
      <c r="Y14" s="56">
        <f t="shared" si="3"/>
        <v>146.85143727050445</v>
      </c>
      <c r="Z14" s="56">
        <f t="shared" si="4"/>
        <v>-35.763928334876027</v>
      </c>
      <c r="AA14" s="87">
        <f t="shared" si="0"/>
        <v>1.628559323613234E-2</v>
      </c>
      <c r="AB14" s="86">
        <f t="shared" si="5"/>
        <v>12.218546978610512</v>
      </c>
      <c r="AC14" s="22">
        <f t="shared" si="6"/>
        <v>4.0825108622704223</v>
      </c>
      <c r="AD14" s="102">
        <f t="shared" si="7"/>
        <v>6.6486111285028002E-2</v>
      </c>
      <c r="AE14" s="22">
        <f t="shared" si="8"/>
        <v>23.530868273693166</v>
      </c>
      <c r="AF14" s="22"/>
      <c r="AG14" s="22">
        <f t="shared" si="9"/>
        <v>8.74870377066248E-3</v>
      </c>
      <c r="AH14" s="22">
        <f t="shared" si="10"/>
        <v>-20.580562883434212</v>
      </c>
      <c r="AI14" s="106">
        <f t="shared" si="11"/>
        <v>102.85276414932461</v>
      </c>
      <c r="AJ14" s="104"/>
      <c r="AK14" s="104"/>
      <c r="AL14" s="104"/>
      <c r="AM14" s="104">
        <f t="shared" si="12"/>
        <v>11.765434136846583</v>
      </c>
      <c r="AN14" s="109">
        <f t="shared" si="13"/>
        <v>95.149038673643659</v>
      </c>
      <c r="AO14" s="104"/>
      <c r="AP14" s="104">
        <f t="shared" si="14"/>
        <v>5.8827170684232915</v>
      </c>
      <c r="AQ14" s="104">
        <f t="shared" si="15"/>
        <v>106.26632160522037</v>
      </c>
      <c r="AR14" s="104"/>
      <c r="AS14" s="104"/>
      <c r="AT14" s="104"/>
      <c r="AU14" s="104"/>
      <c r="AV14" s="104"/>
      <c r="AW14" s="104"/>
      <c r="AX14" s="22"/>
      <c r="AY14" s="22">
        <f t="shared" si="16"/>
        <v>5.663607009023959E-2</v>
      </c>
      <c r="AZ14" s="22">
        <f t="shared" si="17"/>
        <v>-12.469068894520483</v>
      </c>
      <c r="BA14" s="104">
        <f t="shared" si="18"/>
        <v>130.96425813823834</v>
      </c>
      <c r="BB14">
        <f t="shared" si="34"/>
        <v>26.75</v>
      </c>
      <c r="BC14">
        <f t="shared" si="19"/>
        <v>28.546475727144944</v>
      </c>
      <c r="BD14">
        <f t="shared" si="20"/>
        <v>3.127940262499382</v>
      </c>
      <c r="BE14" s="88">
        <f t="shared" si="21"/>
        <v>141.374968346191</v>
      </c>
      <c r="BF14">
        <f t="shared" si="22"/>
        <v>8.6692222516275858E-3</v>
      </c>
      <c r="BG14">
        <f t="shared" si="23"/>
        <v>31.674415989644327</v>
      </c>
      <c r="BH14">
        <f t="shared" si="24"/>
        <v>38.346064592210475</v>
      </c>
      <c r="BI14">
        <f t="shared" si="25"/>
        <v>0.33243055642513974</v>
      </c>
      <c r="BL14">
        <f t="shared" si="35"/>
        <v>113.5</v>
      </c>
      <c r="BM14">
        <f t="shared" si="26"/>
        <v>41.099917230582832</v>
      </c>
      <c r="BN14">
        <f t="shared" si="27"/>
        <v>13.271821300698313</v>
      </c>
      <c r="BO14" s="88">
        <f t="shared" si="28"/>
        <v>124.69824571783381</v>
      </c>
      <c r="BP14">
        <f t="shared" si="29"/>
        <v>1.2709954786341415E-3</v>
      </c>
      <c r="BQ14">
        <f t="shared" si="30"/>
        <v>54.371738531281146</v>
      </c>
      <c r="BR14">
        <f t="shared" si="31"/>
        <v>523.10265774097343</v>
      </c>
      <c r="BS14">
        <f t="shared" si="32"/>
        <v>0.66486111285028004</v>
      </c>
      <c r="CD14" s="73"/>
      <c r="CE14" s="40"/>
      <c r="CF14" s="40"/>
      <c r="CG14" s="40"/>
      <c r="CH14" s="40"/>
      <c r="CI14" s="40"/>
      <c r="CJ14" s="40"/>
      <c r="CK14" s="40"/>
      <c r="CL14" s="40"/>
      <c r="CM14" s="40"/>
      <c r="CS14" s="57"/>
      <c r="CT14" s="40"/>
      <c r="CU14" s="40"/>
      <c r="CV14" s="91"/>
      <c r="CW14" s="91"/>
      <c r="CX14" s="93"/>
      <c r="CY14" s="93"/>
      <c r="CZ14" s="91"/>
      <c r="DA14" s="92">
        <f t="shared" si="36"/>
        <v>10</v>
      </c>
      <c r="DB14" s="92">
        <v>0.92800000000000005</v>
      </c>
      <c r="DC14" s="94"/>
      <c r="DD14" s="94"/>
      <c r="DE14" s="92"/>
      <c r="DF14" s="40"/>
    </row>
    <row r="15" spans="1:110">
      <c r="B15" s="317" t="s">
        <v>60</v>
      </c>
      <c r="C15" s="317"/>
      <c r="D15" s="317"/>
      <c r="E15" s="13"/>
      <c r="F15" s="18" t="s">
        <v>8</v>
      </c>
      <c r="G15" s="45">
        <f>POWER(PI()*(C8/100)/G6,2)</f>
        <v>909.58274160439498</v>
      </c>
      <c r="H15" s="5"/>
      <c r="I15" s="12"/>
      <c r="J15" s="5">
        <f>B17</f>
        <v>2</v>
      </c>
      <c r="K15" s="20">
        <v>240</v>
      </c>
      <c r="L15" s="5" t="s">
        <v>30</v>
      </c>
      <c r="N15" s="5">
        <f>B17</f>
        <v>2</v>
      </c>
      <c r="O15" s="41">
        <f>(4*$K$24*(K15/1000000))/POWER(RADIANS($K$28),2)</f>
        <v>73.863142875264245</v>
      </c>
      <c r="P15" s="5" t="s">
        <v>7</v>
      </c>
      <c r="R15" s="5" t="s">
        <v>25</v>
      </c>
      <c r="S15" s="51">
        <v>20</v>
      </c>
      <c r="T15" s="5" t="s">
        <v>51</v>
      </c>
      <c r="U15" s="12"/>
      <c r="V15">
        <f t="shared" si="33"/>
        <v>4.25</v>
      </c>
      <c r="W15" s="56">
        <f t="shared" si="1"/>
        <v>12.56777860100623</v>
      </c>
      <c r="X15" s="56">
        <f t="shared" si="2"/>
        <v>0.49696247161205143</v>
      </c>
      <c r="Y15" s="56">
        <f t="shared" si="3"/>
        <v>146.00524317649666</v>
      </c>
      <c r="Z15" s="56">
        <f t="shared" si="4"/>
        <v>-36.610122428883813</v>
      </c>
      <c r="AA15" s="87">
        <f t="shared" si="0"/>
        <v>1.4773856574761051E-2</v>
      </c>
      <c r="AB15" s="86">
        <f t="shared" si="5"/>
        <v>13.064741072618281</v>
      </c>
      <c r="AC15" s="22">
        <f t="shared" si="6"/>
        <v>4.5002542801592895</v>
      </c>
      <c r="AD15" s="102">
        <f t="shared" si="7"/>
        <v>6.6486111285027877E-2</v>
      </c>
      <c r="AE15" s="22">
        <f t="shared" si="8"/>
        <v>25.13555720201246</v>
      </c>
      <c r="AF15" s="22"/>
      <c r="AG15" s="22">
        <f t="shared" si="9"/>
        <v>1.052393502485518E-2</v>
      </c>
      <c r="AH15" s="22">
        <f t="shared" si="10"/>
        <v>-19.778218419274566</v>
      </c>
      <c r="AI15" s="106">
        <f t="shared" si="11"/>
        <v>102.05041968516497</v>
      </c>
      <c r="AJ15" s="104"/>
      <c r="AK15" s="104"/>
      <c r="AL15" s="104"/>
      <c r="AM15" s="104">
        <f t="shared" si="12"/>
        <v>12.56777860100623</v>
      </c>
      <c r="AN15" s="109">
        <f t="shared" si="13"/>
        <v>94.302844579635888</v>
      </c>
      <c r="AO15" s="104"/>
      <c r="AP15" s="104">
        <f t="shared" si="14"/>
        <v>6.2838893005031151</v>
      </c>
      <c r="AQ15" s="104">
        <f t="shared" si="15"/>
        <v>105.01895527913278</v>
      </c>
      <c r="AR15" s="104"/>
      <c r="AS15" s="104"/>
      <c r="AT15" s="104"/>
      <c r="AU15" s="104"/>
      <c r="AV15" s="104"/>
      <c r="AW15" s="104"/>
      <c r="AX15" s="22"/>
      <c r="AY15" s="22">
        <f t="shared" si="16"/>
        <v>6.2116980098972457E-2</v>
      </c>
      <c r="AZ15" s="22">
        <f t="shared" si="17"/>
        <v>-12.067896662440658</v>
      </c>
      <c r="BA15" s="104">
        <f t="shared" si="18"/>
        <v>129.76074144199887</v>
      </c>
      <c r="BB15">
        <f t="shared" si="34"/>
        <v>27.5</v>
      </c>
      <c r="BC15">
        <f t="shared" si="19"/>
        <v>28.786653876605254</v>
      </c>
      <c r="BD15">
        <f t="shared" si="20"/>
        <v>3.2156395221956267</v>
      </c>
      <c r="BE15" s="88">
        <f t="shared" si="21"/>
        <v>141.04709093703445</v>
      </c>
      <c r="BF15">
        <f t="shared" si="22"/>
        <v>8.3480735472592077E-3</v>
      </c>
      <c r="BG15">
        <f t="shared" si="23"/>
        <v>32.00229339880088</v>
      </c>
      <c r="BH15">
        <f t="shared" si="24"/>
        <v>39.821229957213546</v>
      </c>
      <c r="BI15">
        <f t="shared" si="25"/>
        <v>0.3324305564251403</v>
      </c>
      <c r="BL15">
        <f t="shared" si="35"/>
        <v>115</v>
      </c>
      <c r="BM15">
        <f t="shared" si="26"/>
        <v>41.213956807072236</v>
      </c>
      <c r="BN15">
        <f t="shared" si="27"/>
        <v>13.447219820090803</v>
      </c>
      <c r="BO15" s="88">
        <f t="shared" si="28"/>
        <v>124.40880762195194</v>
      </c>
      <c r="BP15">
        <f t="shared" si="29"/>
        <v>1.2293402490892707E-3</v>
      </c>
      <c r="BQ15">
        <f t="shared" si="30"/>
        <v>54.661176627163037</v>
      </c>
      <c r="BR15">
        <f t="shared" si="31"/>
        <v>540.82758076360778</v>
      </c>
      <c r="BS15">
        <f t="shared" si="32"/>
        <v>0.66486111285028127</v>
      </c>
      <c r="CD15" s="73"/>
      <c r="CE15" s="40"/>
      <c r="CF15" s="40"/>
      <c r="CG15" s="40"/>
      <c r="CH15" s="40"/>
      <c r="CI15" s="40"/>
      <c r="CJ15" s="40"/>
      <c r="CK15" s="40"/>
      <c r="CL15" s="40"/>
      <c r="CM15" s="40"/>
      <c r="CS15" s="57"/>
      <c r="CT15" s="40"/>
      <c r="CU15" s="40"/>
      <c r="CV15" s="91"/>
      <c r="CW15" s="91"/>
      <c r="CX15" s="93"/>
      <c r="CY15" s="93"/>
      <c r="CZ15" s="91"/>
      <c r="DA15" s="92">
        <f t="shared" si="36"/>
        <v>11</v>
      </c>
      <c r="DB15" s="92">
        <v>0.93</v>
      </c>
      <c r="DC15" s="94"/>
      <c r="DD15" s="94"/>
      <c r="DE15" s="92"/>
      <c r="DF15" s="40"/>
    </row>
    <row r="16" spans="1:110">
      <c r="A16" s="280" t="s">
        <v>128</v>
      </c>
      <c r="B16" s="5">
        <v>1</v>
      </c>
      <c r="C16" s="20">
        <v>20</v>
      </c>
      <c r="D16" s="5" t="s">
        <v>3</v>
      </c>
      <c r="E16" s="12"/>
      <c r="I16" s="12"/>
      <c r="J16" s="5">
        <f>B18</f>
        <v>3</v>
      </c>
      <c r="K16" s="20">
        <v>480</v>
      </c>
      <c r="L16" s="5" t="s">
        <v>30</v>
      </c>
      <c r="N16" s="5">
        <f>B18</f>
        <v>3</v>
      </c>
      <c r="O16" s="41">
        <f>(4*$K$24*(K16/1000000))/POWER(RADIANS($K$28),2)</f>
        <v>147.72628575052849</v>
      </c>
      <c r="P16" s="5" t="s">
        <v>7</v>
      </c>
      <c r="V16">
        <f t="shared" si="33"/>
        <v>4.625</v>
      </c>
      <c r="W16" s="56">
        <f t="shared" si="1"/>
        <v>13.302234741501028</v>
      </c>
      <c r="X16" s="56">
        <f t="shared" si="2"/>
        <v>0.54081210146017356</v>
      </c>
      <c r="Y16" s="56">
        <f t="shared" si="3"/>
        <v>145.22693740615375</v>
      </c>
      <c r="Z16" s="56">
        <f t="shared" si="4"/>
        <v>-37.388428199226723</v>
      </c>
      <c r="AA16" s="87">
        <f t="shared" si="0"/>
        <v>1.3507612398336016E-2</v>
      </c>
      <c r="AB16" s="86">
        <f t="shared" si="5"/>
        <v>13.843046842961202</v>
      </c>
      <c r="AC16" s="22">
        <f t="shared" si="6"/>
        <v>4.9221216395888208</v>
      </c>
      <c r="AD16" s="102">
        <f t="shared" si="7"/>
        <v>6.6486111285027946E-2</v>
      </c>
      <c r="AE16" s="22">
        <f t="shared" si="8"/>
        <v>26.604469483002056</v>
      </c>
      <c r="AF16" s="22"/>
      <c r="AG16" s="22">
        <f t="shared" si="9"/>
        <v>1.2463033779434897E-2</v>
      </c>
      <c r="AH16" s="22">
        <f t="shared" si="10"/>
        <v>-19.043762278779766</v>
      </c>
      <c r="AI16" s="106">
        <f t="shared" si="11"/>
        <v>101.31596354467017</v>
      </c>
      <c r="AJ16" s="104"/>
      <c r="AK16" s="104"/>
      <c r="AL16" s="104"/>
      <c r="AM16" s="104">
        <f t="shared" si="12"/>
        <v>13.302234741501028</v>
      </c>
      <c r="AN16" s="109">
        <f t="shared" si="13"/>
        <v>93.524538809292977</v>
      </c>
      <c r="AO16" s="104"/>
      <c r="AP16" s="104">
        <f t="shared" si="14"/>
        <v>6.651117370750514</v>
      </c>
      <c r="AQ16" s="104">
        <f t="shared" si="15"/>
        <v>103.87342143854247</v>
      </c>
      <c r="AR16" s="104"/>
      <c r="AS16" s="104"/>
      <c r="AT16" s="104"/>
      <c r="AU16" s="104"/>
      <c r="AV16" s="104"/>
      <c r="AW16" s="104"/>
      <c r="AX16" s="22"/>
      <c r="AY16" s="22">
        <f t="shared" si="16"/>
        <v>6.7597890107705311E-2</v>
      </c>
      <c r="AZ16" s="22">
        <f t="shared" si="17"/>
        <v>-11.700668592193262</v>
      </c>
      <c r="BA16" s="104">
        <f t="shared" si="18"/>
        <v>128.65905723125667</v>
      </c>
      <c r="BB16">
        <f t="shared" si="34"/>
        <v>28.25</v>
      </c>
      <c r="BC16">
        <f t="shared" si="19"/>
        <v>29.020369043109149</v>
      </c>
      <c r="BD16">
        <f t="shared" si="20"/>
        <v>3.3033387818918709</v>
      </c>
      <c r="BE16" s="88">
        <f t="shared" si="21"/>
        <v>140.72567651083429</v>
      </c>
      <c r="BF16">
        <f t="shared" si="22"/>
        <v>8.044805438652965E-3</v>
      </c>
      <c r="BG16">
        <f t="shared" si="23"/>
        <v>32.323707825001023</v>
      </c>
      <c r="BH16">
        <f t="shared" si="24"/>
        <v>41.322386098724856</v>
      </c>
      <c r="BI16">
        <f t="shared" si="25"/>
        <v>0.33243055642513941</v>
      </c>
      <c r="BL16">
        <f t="shared" si="35"/>
        <v>116.5</v>
      </c>
      <c r="BM16">
        <f t="shared" si="26"/>
        <v>41.326518507240749</v>
      </c>
      <c r="BN16">
        <f t="shared" si="27"/>
        <v>13.622618339483292</v>
      </c>
      <c r="BO16" s="88">
        <f t="shared" si="28"/>
        <v>124.12084740239094</v>
      </c>
      <c r="BP16">
        <f t="shared" si="29"/>
        <v>1.1892525460065115E-3</v>
      </c>
      <c r="BQ16">
        <f t="shared" si="30"/>
        <v>54.949136846724045</v>
      </c>
      <c r="BR16">
        <f t="shared" si="31"/>
        <v>559.05796887538588</v>
      </c>
      <c r="BS16">
        <f t="shared" si="32"/>
        <v>0.66486111285028171</v>
      </c>
      <c r="CD16" s="73"/>
      <c r="CE16" s="40"/>
      <c r="CF16" s="40"/>
      <c r="CG16" s="40"/>
      <c r="CH16" s="40"/>
      <c r="CI16" s="40"/>
      <c r="CJ16" s="40"/>
      <c r="CK16" s="40"/>
      <c r="CL16" s="40"/>
      <c r="CM16" s="40"/>
      <c r="CS16" s="57"/>
      <c r="CT16" s="40"/>
      <c r="CU16" s="40"/>
      <c r="CV16" s="91"/>
      <c r="CW16" s="91"/>
      <c r="CX16" s="93"/>
      <c r="CY16" s="93"/>
      <c r="CZ16" s="91"/>
      <c r="DA16" s="92">
        <f t="shared" si="36"/>
        <v>12</v>
      </c>
      <c r="DB16" s="92">
        <v>0.93700000000000006</v>
      </c>
      <c r="DC16" s="94"/>
      <c r="DD16" s="94"/>
      <c r="DE16" s="92"/>
      <c r="DF16" s="40"/>
    </row>
    <row r="17" spans="1:110">
      <c r="A17" s="280"/>
      <c r="B17" s="5">
        <v>2</v>
      </c>
      <c r="C17" s="20">
        <v>20</v>
      </c>
      <c r="D17" s="5" t="s">
        <v>3</v>
      </c>
      <c r="E17" s="12"/>
      <c r="F17" s="323" t="s">
        <v>66</v>
      </c>
      <c r="G17" s="323"/>
      <c r="H17" s="323"/>
      <c r="I17" s="12"/>
      <c r="J17" s="5">
        <f>B19</f>
        <v>4</v>
      </c>
      <c r="K17" s="20">
        <v>960</v>
      </c>
      <c r="L17" s="5" t="s">
        <v>30</v>
      </c>
      <c r="N17" s="5">
        <f>B19</f>
        <v>4</v>
      </c>
      <c r="O17" s="41">
        <f>(4*$K$24*(K17/1000000))/POWER(RADIANS($K$28),2)</f>
        <v>295.45257150105698</v>
      </c>
      <c r="P17" s="5" t="s">
        <v>7</v>
      </c>
      <c r="R17" s="323" t="s">
        <v>72</v>
      </c>
      <c r="S17" s="323"/>
      <c r="T17" s="323"/>
      <c r="U17" s="59"/>
      <c r="V17">
        <f t="shared" si="33"/>
        <v>5</v>
      </c>
      <c r="W17" s="56">
        <f t="shared" si="1"/>
        <v>13.979400086720377</v>
      </c>
      <c r="X17" s="56">
        <f t="shared" si="2"/>
        <v>0.5846617313082958</v>
      </c>
      <c r="Y17" s="56">
        <f t="shared" si="3"/>
        <v>144.50592243108628</v>
      </c>
      <c r="Z17" s="56">
        <f t="shared" si="4"/>
        <v>-38.109443174294199</v>
      </c>
      <c r="AA17" s="87">
        <f t="shared" si="0"/>
        <v>1.2431623286086522E-2</v>
      </c>
      <c r="AB17" s="86">
        <f t="shared" si="5"/>
        <v>14.564061818028673</v>
      </c>
      <c r="AC17" s="22">
        <f t="shared" si="6"/>
        <v>5.348143983693519</v>
      </c>
      <c r="AD17" s="102">
        <f t="shared" si="7"/>
        <v>6.6486111285027891E-2</v>
      </c>
      <c r="AE17" s="22">
        <f t="shared" si="8"/>
        <v>27.958800173440753</v>
      </c>
      <c r="AF17" s="22"/>
      <c r="AG17" s="22">
        <f t="shared" si="9"/>
        <v>1.4566000034401633E-2</v>
      </c>
      <c r="AH17" s="22">
        <f t="shared" si="10"/>
        <v>-18.36659693356042</v>
      </c>
      <c r="AI17" s="106">
        <f t="shared" si="11"/>
        <v>100.63879819945082</v>
      </c>
      <c r="AJ17" s="104"/>
      <c r="AK17" s="104"/>
      <c r="AL17" s="104"/>
      <c r="AM17" s="104">
        <f t="shared" si="12"/>
        <v>13.979400086720377</v>
      </c>
      <c r="AN17" s="109">
        <f t="shared" si="13"/>
        <v>92.803523834225501</v>
      </c>
      <c r="AO17" s="104"/>
      <c r="AP17" s="104">
        <f t="shared" si="14"/>
        <v>6.9897000433601884</v>
      </c>
      <c r="AQ17" s="104">
        <f t="shared" si="15"/>
        <v>102.81382379086531</v>
      </c>
      <c r="AR17" s="104"/>
      <c r="AS17" s="104"/>
      <c r="AT17" s="104"/>
      <c r="AU17" s="104"/>
      <c r="AV17" s="104"/>
      <c r="AW17" s="104"/>
      <c r="AX17" s="22"/>
      <c r="AY17" s="22">
        <f t="shared" si="16"/>
        <v>7.3078800116438178E-2</v>
      </c>
      <c r="AZ17" s="22">
        <f t="shared" si="17"/>
        <v>-11.362085919583587</v>
      </c>
      <c r="BA17" s="104">
        <f t="shared" si="18"/>
        <v>127.64330921342764</v>
      </c>
      <c r="BB17">
        <f t="shared" si="34"/>
        <v>29</v>
      </c>
      <c r="BC17">
        <f t="shared" si="19"/>
        <v>29.24795995797912</v>
      </c>
      <c r="BD17">
        <f t="shared" si="20"/>
        <v>3.3910380415881156</v>
      </c>
      <c r="BE17" s="88">
        <f t="shared" si="21"/>
        <v>140.41038633626812</v>
      </c>
      <c r="BF17">
        <f t="shared" si="22"/>
        <v>7.7580225308575808E-3</v>
      </c>
      <c r="BG17">
        <f t="shared" si="23"/>
        <v>32.638997999567238</v>
      </c>
      <c r="BH17">
        <f t="shared" si="24"/>
        <v>42.84990860788254</v>
      </c>
      <c r="BI17">
        <f t="shared" si="25"/>
        <v>0.33243055642514097</v>
      </c>
      <c r="BL17">
        <f t="shared" si="35"/>
        <v>118</v>
      </c>
      <c r="BM17">
        <f t="shared" si="26"/>
        <v>41.437640146122511</v>
      </c>
      <c r="BN17">
        <f t="shared" si="27"/>
        <v>13.798016858875778</v>
      </c>
      <c r="BO17" s="88">
        <f t="shared" si="28"/>
        <v>123.83432724411669</v>
      </c>
      <c r="BP17">
        <f t="shared" si="29"/>
        <v>1.1506628238620467E-3</v>
      </c>
      <c r="BQ17">
        <f t="shared" si="30"/>
        <v>55.235657004998288</v>
      </c>
      <c r="BR17">
        <f t="shared" si="31"/>
        <v>577.80706829370274</v>
      </c>
      <c r="BS17">
        <f t="shared" si="32"/>
        <v>0.66486111285028249</v>
      </c>
      <c r="CD17" s="73"/>
      <c r="CE17" s="40"/>
      <c r="CF17" s="40"/>
      <c r="CG17" s="40"/>
      <c r="CH17" s="40"/>
      <c r="CI17" s="40"/>
      <c r="CJ17" s="40"/>
      <c r="CK17" s="40"/>
      <c r="CL17" s="40"/>
      <c r="CM17" s="40"/>
      <c r="CS17" s="57"/>
      <c r="CT17" s="40"/>
      <c r="CU17" s="40"/>
      <c r="CV17" s="91"/>
      <c r="CW17" s="91"/>
      <c r="CX17" s="93"/>
      <c r="CY17" s="93"/>
      <c r="CZ17" s="91"/>
      <c r="DA17" s="92">
        <f t="shared" si="36"/>
        <v>13</v>
      </c>
      <c r="DB17" s="92">
        <v>0.94399999999999995</v>
      </c>
      <c r="DC17" s="94"/>
      <c r="DD17" s="94"/>
      <c r="DE17" s="92"/>
      <c r="DF17" s="40"/>
    </row>
    <row r="18" spans="1:110">
      <c r="A18" s="280"/>
      <c r="B18" s="5">
        <v>3</v>
      </c>
      <c r="C18" s="20">
        <v>100</v>
      </c>
      <c r="D18" s="5" t="s">
        <v>3</v>
      </c>
      <c r="E18" s="12"/>
      <c r="F18" s="291" t="s">
        <v>61</v>
      </c>
      <c r="G18" s="291"/>
      <c r="H18" s="291"/>
      <c r="I18" s="12"/>
      <c r="R18" s="5" t="s">
        <v>21</v>
      </c>
      <c r="S18" s="24">
        <v>-30</v>
      </c>
      <c r="T18" s="5" t="s">
        <v>51</v>
      </c>
      <c r="U18" s="12"/>
      <c r="V18">
        <f t="shared" si="33"/>
        <v>5.375</v>
      </c>
      <c r="W18" s="56">
        <f t="shared" si="1"/>
        <v>14.607569371752859</v>
      </c>
      <c r="X18" s="56">
        <f t="shared" si="2"/>
        <v>0.62851136115641792</v>
      </c>
      <c r="Y18" s="56">
        <f t="shared" si="3"/>
        <v>143.83390351620568</v>
      </c>
      <c r="Z18" s="56">
        <f t="shared" si="4"/>
        <v>-38.781462089174795</v>
      </c>
      <c r="AA18" s="87">
        <f t="shared" si="0"/>
        <v>1.1506066918960058E-2</v>
      </c>
      <c r="AB18" s="86">
        <f t="shared" si="5"/>
        <v>15.236080732909278</v>
      </c>
      <c r="AC18" s="22">
        <f t="shared" si="6"/>
        <v>5.7783525641998548</v>
      </c>
      <c r="AD18" s="102">
        <f t="shared" si="7"/>
        <v>6.6486111285027974E-2</v>
      </c>
      <c r="AE18" s="22">
        <f t="shared" si="8"/>
        <v>29.215138743505719</v>
      </c>
      <c r="AF18" s="22"/>
      <c r="AG18" s="22">
        <f t="shared" si="9"/>
        <v>1.6832833789755388E-2</v>
      </c>
      <c r="AH18" s="22">
        <f t="shared" si="10"/>
        <v>-17.738427648527939</v>
      </c>
      <c r="AI18" s="106">
        <f t="shared" si="11"/>
        <v>100.01062891441833</v>
      </c>
      <c r="AJ18" s="104"/>
      <c r="AK18" s="104"/>
      <c r="AL18" s="104"/>
      <c r="AM18" s="104">
        <f t="shared" si="12"/>
        <v>14.607569371752859</v>
      </c>
      <c r="AN18" s="109">
        <f t="shared" si="13"/>
        <v>92.131504919344906</v>
      </c>
      <c r="AO18" s="104"/>
      <c r="AP18" s="104">
        <f t="shared" si="14"/>
        <v>7.3037846858764297</v>
      </c>
      <c r="AQ18" s="104">
        <f t="shared" si="15"/>
        <v>101.82772023346848</v>
      </c>
      <c r="AR18" s="104"/>
      <c r="AS18" s="104"/>
      <c r="AT18" s="104"/>
      <c r="AU18" s="104"/>
      <c r="AV18" s="104"/>
      <c r="AW18" s="104"/>
      <c r="AX18" s="22"/>
      <c r="AY18" s="22">
        <f t="shared" si="16"/>
        <v>7.8559710125171045E-2</v>
      </c>
      <c r="AZ18" s="22">
        <f t="shared" si="17"/>
        <v>-11.048001277067346</v>
      </c>
      <c r="BA18" s="104">
        <f t="shared" si="18"/>
        <v>126.70105528587892</v>
      </c>
      <c r="BB18">
        <f t="shared" si="34"/>
        <v>29.75</v>
      </c>
      <c r="BC18">
        <f t="shared" si="19"/>
        <v>29.469739401291367</v>
      </c>
      <c r="BD18">
        <f t="shared" si="20"/>
        <v>3.4787373012843594</v>
      </c>
      <c r="BE18" s="88">
        <f t="shared" si="21"/>
        <v>140.1009076332596</v>
      </c>
      <c r="BF18">
        <f t="shared" si="22"/>
        <v>7.486470220410232E-3</v>
      </c>
      <c r="BG18">
        <f t="shared" si="23"/>
        <v>32.948476702575725</v>
      </c>
      <c r="BH18">
        <f t="shared" si="24"/>
        <v>44.404178022219355</v>
      </c>
      <c r="BI18">
        <f t="shared" si="25"/>
        <v>0.33243055642513969</v>
      </c>
      <c r="BL18">
        <f t="shared" si="35"/>
        <v>119.5</v>
      </c>
      <c r="BM18">
        <f t="shared" si="26"/>
        <v>41.547358105683124</v>
      </c>
      <c r="BN18">
        <f t="shared" si="27"/>
        <v>13.973415378268268</v>
      </c>
      <c r="BO18" s="88">
        <f t="shared" si="28"/>
        <v>123.54921076516358</v>
      </c>
      <c r="BP18">
        <f t="shared" si="29"/>
        <v>1.1135052217579949E-3</v>
      </c>
      <c r="BQ18">
        <f t="shared" si="30"/>
        <v>55.520773483951388</v>
      </c>
      <c r="BR18">
        <f t="shared" si="31"/>
        <v>597.08845532004136</v>
      </c>
      <c r="BS18">
        <f t="shared" si="32"/>
        <v>0.66486111285028127</v>
      </c>
      <c r="CD18" s="73"/>
      <c r="CE18" s="40"/>
      <c r="CF18" s="40"/>
      <c r="CG18" s="40"/>
      <c r="CH18" s="40"/>
      <c r="CI18" s="40"/>
      <c r="CJ18" s="40"/>
      <c r="CK18" s="40"/>
      <c r="CL18" s="40"/>
      <c r="CM18" s="40"/>
      <c r="CS18" s="57"/>
      <c r="CT18" s="40"/>
      <c r="CU18" s="40"/>
      <c r="CV18" s="91"/>
      <c r="CW18" s="91"/>
      <c r="CX18" s="93"/>
      <c r="CY18" s="93"/>
      <c r="CZ18" s="91"/>
      <c r="DA18" s="92">
        <f t="shared" si="36"/>
        <v>14</v>
      </c>
      <c r="DB18" s="92">
        <v>0.95099999999999996</v>
      </c>
      <c r="DC18" s="94"/>
      <c r="DD18" s="94"/>
      <c r="DE18" s="92"/>
      <c r="DF18" s="40"/>
    </row>
    <row r="19" spans="1:110">
      <c r="A19" s="280"/>
      <c r="B19" s="5">
        <v>4</v>
      </c>
      <c r="C19" s="20">
        <v>200</v>
      </c>
      <c r="D19" s="5" t="s">
        <v>3</v>
      </c>
      <c r="E19" s="12"/>
      <c r="F19" s="5">
        <f>B16</f>
        <v>1</v>
      </c>
      <c r="G19" s="46">
        <f>C16/POWER(2,0.5)</f>
        <v>14.142135623730949</v>
      </c>
      <c r="H19" s="5" t="s">
        <v>3</v>
      </c>
      <c r="I19" s="12"/>
      <c r="V19">
        <f t="shared" si="33"/>
        <v>5.75</v>
      </c>
      <c r="W19" s="56">
        <f t="shared" si="1"/>
        <v>15.193356893792609</v>
      </c>
      <c r="X19" s="56">
        <f t="shared" si="2"/>
        <v>0.67236099100454005</v>
      </c>
      <c r="Y19" s="56">
        <f t="shared" si="3"/>
        <v>143.20426636431779</v>
      </c>
      <c r="Z19" s="56">
        <f t="shared" si="4"/>
        <v>-39.411099241062686</v>
      </c>
      <c r="AA19" s="87">
        <f t="shared" si="0"/>
        <v>1.0701509415982824E-2</v>
      </c>
      <c r="AB19" s="86">
        <f t="shared" si="5"/>
        <v>15.865717884797149</v>
      </c>
      <c r="AC19" s="22">
        <f t="shared" si="6"/>
        <v>6.212778842742507</v>
      </c>
      <c r="AD19" s="102">
        <f t="shared" si="7"/>
        <v>6.6486111285027807E-2</v>
      </c>
      <c r="AE19" s="22">
        <f t="shared" si="8"/>
        <v>30.386713787585219</v>
      </c>
      <c r="AF19" s="22"/>
      <c r="AG19" s="22">
        <f t="shared" si="9"/>
        <v>1.9263535045496161E-2</v>
      </c>
      <c r="AH19" s="22">
        <f t="shared" si="10"/>
        <v>-17.152640126488187</v>
      </c>
      <c r="AI19" s="106">
        <f t="shared" si="11"/>
        <v>99.424841392378568</v>
      </c>
      <c r="AJ19" s="104"/>
      <c r="AK19" s="104"/>
      <c r="AL19" s="104"/>
      <c r="AM19" s="104">
        <f t="shared" si="12"/>
        <v>15.193356893792609</v>
      </c>
      <c r="AN19" s="109">
        <f t="shared" si="13"/>
        <v>91.501867767457028</v>
      </c>
      <c r="AO19" s="104"/>
      <c r="AP19" s="104">
        <f t="shared" si="14"/>
        <v>7.5966784468963047</v>
      </c>
      <c r="AQ19" s="104">
        <f t="shared" si="15"/>
        <v>100.90518932056072</v>
      </c>
      <c r="AR19" s="104"/>
      <c r="AS19" s="104"/>
      <c r="AT19" s="104"/>
      <c r="AU19" s="104"/>
      <c r="AV19" s="104"/>
      <c r="AW19" s="104"/>
      <c r="AX19" s="22"/>
      <c r="AY19" s="22">
        <f t="shared" si="16"/>
        <v>8.4040620133903912E-2</v>
      </c>
      <c r="AZ19" s="22">
        <f t="shared" si="17"/>
        <v>-10.755107516047469</v>
      </c>
      <c r="BA19" s="104">
        <f t="shared" si="18"/>
        <v>125.82237400281929</v>
      </c>
      <c r="BB19">
        <f t="shared" si="34"/>
        <v>30.5</v>
      </c>
      <c r="BC19">
        <f t="shared" si="19"/>
        <v>29.685996786935718</v>
      </c>
      <c r="BD19">
        <f t="shared" si="20"/>
        <v>3.5664365609806041</v>
      </c>
      <c r="BE19" s="88">
        <f t="shared" si="21"/>
        <v>139.79695098791899</v>
      </c>
      <c r="BF19">
        <f t="shared" si="22"/>
        <v>7.2290173841301087E-3</v>
      </c>
      <c r="BG19">
        <f t="shared" si="23"/>
        <v>33.252433347916323</v>
      </c>
      <c r="BH19">
        <f t="shared" si="24"/>
        <v>45.985579887375195</v>
      </c>
      <c r="BI19">
        <f t="shared" si="25"/>
        <v>0.33243055642513919</v>
      </c>
      <c r="BL19">
        <f t="shared" si="35"/>
        <v>121</v>
      </c>
      <c r="BM19">
        <f t="shared" si="26"/>
        <v>41.655707406329007</v>
      </c>
      <c r="BN19">
        <f t="shared" si="27"/>
        <v>14.148813897660757</v>
      </c>
      <c r="BO19" s="88">
        <f t="shared" si="28"/>
        <v>123.26546294512521</v>
      </c>
      <c r="BP19">
        <f t="shared" si="29"/>
        <v>1.0777173312300106E-3</v>
      </c>
      <c r="BQ19">
        <f t="shared" si="30"/>
        <v>55.804521303989766</v>
      </c>
      <c r="BR19">
        <f t="shared" si="31"/>
        <v>616.91604429472056</v>
      </c>
      <c r="BS19">
        <f t="shared" si="32"/>
        <v>0.66486111285028127</v>
      </c>
      <c r="CD19" s="73"/>
      <c r="CE19" s="40"/>
      <c r="CF19" s="40"/>
      <c r="CG19" s="40"/>
      <c r="CH19" s="40"/>
      <c r="CI19" s="40"/>
      <c r="CJ19" s="40"/>
      <c r="CK19" s="40"/>
      <c r="CL19" s="40"/>
      <c r="CM19" s="40"/>
      <c r="CS19" s="57"/>
      <c r="CT19" s="40"/>
      <c r="CU19" s="40"/>
      <c r="CV19" s="91"/>
      <c r="CW19" s="91"/>
      <c r="CX19" s="93"/>
      <c r="CY19" s="93"/>
      <c r="CZ19" s="91"/>
      <c r="DA19" s="92">
        <f t="shared" si="36"/>
        <v>15</v>
      </c>
      <c r="DB19" s="92">
        <v>0.95799999999999996</v>
      </c>
      <c r="DC19" s="94"/>
      <c r="DD19" s="94"/>
      <c r="DE19" s="92"/>
      <c r="DF19" s="40"/>
    </row>
    <row r="20" spans="1:110">
      <c r="A20" s="2"/>
      <c r="B20" s="12"/>
      <c r="C20" s="22"/>
      <c r="D20" s="12"/>
      <c r="E20" s="12"/>
      <c r="F20" s="5">
        <f>B17</f>
        <v>2</v>
      </c>
      <c r="G20" s="46">
        <f>C17/POWER(2,0.5)</f>
        <v>14.142135623730949</v>
      </c>
      <c r="H20" s="5" t="s">
        <v>3</v>
      </c>
      <c r="I20" s="12"/>
      <c r="N20" s="319" t="s">
        <v>95</v>
      </c>
      <c r="O20" s="320"/>
      <c r="P20" s="321"/>
      <c r="R20" s="323" t="s">
        <v>88</v>
      </c>
      <c r="S20" s="323"/>
      <c r="T20" s="323"/>
      <c r="U20" s="59"/>
      <c r="V20">
        <f t="shared" si="33"/>
        <v>6.125</v>
      </c>
      <c r="W20" s="56">
        <f t="shared" si="1"/>
        <v>15.742121860731402</v>
      </c>
      <c r="X20" s="56">
        <f t="shared" si="2"/>
        <v>0.71621062085266229</v>
      </c>
      <c r="Y20" s="56">
        <f t="shared" si="3"/>
        <v>142.6116517675309</v>
      </c>
      <c r="Z20" s="56">
        <f t="shared" si="4"/>
        <v>-40.003713837849574</v>
      </c>
      <c r="AA20" s="87">
        <f t="shared" si="0"/>
        <v>9.9957252001210486E-3</v>
      </c>
      <c r="AB20" s="86">
        <f t="shared" si="5"/>
        <v>16.458332481584065</v>
      </c>
      <c r="AC20" s="22">
        <f t="shared" si="6"/>
        <v>6.6514544921886074</v>
      </c>
      <c r="AD20" s="102">
        <f t="shared" si="7"/>
        <v>6.6486111285028016E-2</v>
      </c>
      <c r="AE20" s="22">
        <f t="shared" si="8"/>
        <v>31.484243721462803</v>
      </c>
      <c r="AF20" s="22"/>
      <c r="AG20" s="22">
        <f t="shared" si="9"/>
        <v>2.1858103801623952E-2</v>
      </c>
      <c r="AH20" s="22">
        <f t="shared" si="10"/>
        <v>-16.603875159549396</v>
      </c>
      <c r="AI20" s="106">
        <f t="shared" si="11"/>
        <v>98.876076425439777</v>
      </c>
      <c r="AJ20" s="104"/>
      <c r="AK20" s="104"/>
      <c r="AL20" s="104"/>
      <c r="AM20" s="104">
        <f t="shared" si="12"/>
        <v>15.742121860731402</v>
      </c>
      <c r="AN20" s="109">
        <f t="shared" si="13"/>
        <v>90.909253170670112</v>
      </c>
      <c r="AO20" s="104"/>
      <c r="AP20" s="104">
        <f t="shared" si="14"/>
        <v>7.8710609303657009</v>
      </c>
      <c r="AQ20" s="104">
        <f t="shared" si="15"/>
        <v>100.03819224030441</v>
      </c>
      <c r="AR20" s="104"/>
      <c r="AS20" s="104"/>
      <c r="AT20" s="104"/>
      <c r="AU20" s="104"/>
      <c r="AV20" s="104"/>
      <c r="AW20" s="104"/>
      <c r="AX20" s="22"/>
      <c r="AY20" s="22">
        <f t="shared" si="16"/>
        <v>8.9521530142636779E-2</v>
      </c>
      <c r="AZ20" s="22">
        <f t="shared" si="17"/>
        <v>-10.480725032578073</v>
      </c>
      <c r="BA20" s="104">
        <f t="shared" si="18"/>
        <v>124.9992265524111</v>
      </c>
      <c r="BB20">
        <f t="shared" si="34"/>
        <v>31.25</v>
      </c>
      <c r="BC20">
        <f t="shared" si="19"/>
        <v>29.897000433601878</v>
      </c>
      <c r="BD20">
        <f t="shared" si="20"/>
        <v>3.6541358206768484</v>
      </c>
      <c r="BE20" s="88">
        <f t="shared" si="21"/>
        <v>139.4982480815566</v>
      </c>
      <c r="BF20">
        <f t="shared" si="22"/>
        <v>6.984641560732651E-3</v>
      </c>
      <c r="BG20">
        <f t="shared" si="23"/>
        <v>33.551136254278724</v>
      </c>
      <c r="BH20">
        <f t="shared" si="24"/>
        <v>47.594504819552846</v>
      </c>
      <c r="BI20">
        <f t="shared" si="25"/>
        <v>0.33243055642513925</v>
      </c>
      <c r="BL20">
        <f t="shared" si="35"/>
        <v>122.5</v>
      </c>
      <c r="BM20">
        <f t="shared" si="26"/>
        <v>41.762721774011027</v>
      </c>
      <c r="BN20">
        <f t="shared" si="27"/>
        <v>14.324212417053245</v>
      </c>
      <c r="BO20" s="88">
        <f t="shared" si="28"/>
        <v>122.98305005805069</v>
      </c>
      <c r="BP20">
        <f t="shared" si="29"/>
        <v>1.043239981189097E-3</v>
      </c>
      <c r="BQ20">
        <f t="shared" si="30"/>
        <v>56.086934191064273</v>
      </c>
      <c r="BR20">
        <f t="shared" si="31"/>
        <v>637.30409573880104</v>
      </c>
      <c r="BS20">
        <f t="shared" si="32"/>
        <v>0.66486111285028127</v>
      </c>
      <c r="CD20" s="73"/>
      <c r="CE20" s="40"/>
      <c r="CF20" s="40"/>
      <c r="CG20" s="40"/>
      <c r="CH20" s="40"/>
      <c r="CI20" s="40"/>
      <c r="CJ20" s="40"/>
      <c r="CK20" s="40"/>
      <c r="CL20" s="40"/>
      <c r="CM20" s="40"/>
      <c r="CS20" s="57"/>
      <c r="CT20" s="40"/>
      <c r="CU20" s="40"/>
      <c r="CV20" s="91"/>
      <c r="CW20" s="91"/>
      <c r="CX20" s="93"/>
      <c r="CY20" s="93"/>
      <c r="CZ20" s="91"/>
      <c r="DA20" s="92">
        <f t="shared" si="36"/>
        <v>16</v>
      </c>
      <c r="DB20" s="92">
        <v>0.96</v>
      </c>
      <c r="DC20" s="94"/>
      <c r="DD20" s="94"/>
      <c r="DE20" s="92"/>
      <c r="DF20" s="40"/>
    </row>
    <row r="21" spans="1:110">
      <c r="A21" s="2"/>
      <c r="B21" s="291" t="s">
        <v>98</v>
      </c>
      <c r="C21" s="291"/>
      <c r="D21" s="291"/>
      <c r="E21" s="12"/>
      <c r="F21" s="5">
        <f>B18</f>
        <v>3</v>
      </c>
      <c r="G21" s="46">
        <f>C18/POWER(2,0.5)</f>
        <v>70.710678118654741</v>
      </c>
      <c r="H21" s="5" t="s">
        <v>3</v>
      </c>
      <c r="I21" s="12"/>
      <c r="N21" s="17" t="s">
        <v>24</v>
      </c>
      <c r="O21" s="20">
        <v>0.5</v>
      </c>
      <c r="P21" s="17" t="s">
        <v>23</v>
      </c>
      <c r="R21" s="17" t="s">
        <v>42</v>
      </c>
      <c r="S21" s="41">
        <f>20*LOG10(O21*1000000)</f>
        <v>113.97940008672037</v>
      </c>
      <c r="T21" s="16" t="s">
        <v>51</v>
      </c>
      <c r="U21" s="22"/>
      <c r="V21">
        <f t="shared" si="33"/>
        <v>6.5</v>
      </c>
      <c r="W21" s="56">
        <f t="shared" si="1"/>
        <v>16.25826713285711</v>
      </c>
      <c r="X21" s="56">
        <f t="shared" si="2"/>
        <v>0.76006025070078442</v>
      </c>
      <c r="Y21" s="56">
        <f t="shared" si="3"/>
        <v>142.05165686555708</v>
      </c>
      <c r="Z21" s="56">
        <f t="shared" si="4"/>
        <v>-40.563708739823397</v>
      </c>
      <c r="AA21" s="87">
        <f t="shared" si="0"/>
        <v>9.3716176798053531E-3</v>
      </c>
      <c r="AB21" s="86">
        <f t="shared" si="5"/>
        <v>17.018327383557896</v>
      </c>
      <c r="AC21" s="22">
        <f t="shared" si="6"/>
        <v>7.0944113979699823</v>
      </c>
      <c r="AD21" s="102">
        <f t="shared" si="7"/>
        <v>6.6486111285028099E-2</v>
      </c>
      <c r="AE21" s="22">
        <f t="shared" si="8"/>
        <v>32.51653426571422</v>
      </c>
      <c r="AF21" s="22"/>
      <c r="AG21" s="22">
        <f t="shared" si="9"/>
        <v>2.461654005813876E-2</v>
      </c>
      <c r="AH21" s="22">
        <f t="shared" si="10"/>
        <v>-16.087729887423684</v>
      </c>
      <c r="AI21" s="106">
        <f t="shared" si="11"/>
        <v>98.359931153314079</v>
      </c>
      <c r="AJ21" s="104"/>
      <c r="AK21" s="104"/>
      <c r="AL21" s="104"/>
      <c r="AM21" s="104">
        <f t="shared" si="12"/>
        <v>16.25826713285711</v>
      </c>
      <c r="AN21" s="109">
        <f t="shared" si="13"/>
        <v>90.349258268696289</v>
      </c>
      <c r="AO21" s="104"/>
      <c r="AP21" s="104">
        <f t="shared" si="14"/>
        <v>8.1291335664285551</v>
      </c>
      <c r="AQ21" s="104">
        <f t="shared" si="15"/>
        <v>99.220124702267739</v>
      </c>
      <c r="AR21" s="104"/>
      <c r="AS21" s="104"/>
      <c r="AT21" s="104"/>
      <c r="AU21" s="104"/>
      <c r="AV21" s="104"/>
      <c r="AW21" s="104"/>
      <c r="AX21" s="22"/>
      <c r="AY21" s="22">
        <f t="shared" si="16"/>
        <v>9.5002440151369646E-2</v>
      </c>
      <c r="AZ21" s="22">
        <f t="shared" si="17"/>
        <v>-10.222652396515219</v>
      </c>
      <c r="BA21" s="104">
        <f t="shared" si="18"/>
        <v>124.22500864422254</v>
      </c>
      <c r="BB21">
        <f t="shared" si="34"/>
        <v>32</v>
      </c>
      <c r="BC21">
        <f t="shared" si="19"/>
        <v>30.102999566398122</v>
      </c>
      <c r="BD21">
        <f t="shared" si="20"/>
        <v>3.7418350803730926</v>
      </c>
      <c r="BE21" s="88">
        <f t="shared" si="21"/>
        <v>139.20454968906412</v>
      </c>
      <c r="BF21">
        <f t="shared" si="22"/>
        <v>6.7524162162869222E-3</v>
      </c>
      <c r="BG21">
        <f t="shared" si="23"/>
        <v>33.844834646771211</v>
      </c>
      <c r="BH21">
        <f t="shared" si="24"/>
        <v>49.231348568726119</v>
      </c>
      <c r="BI21">
        <f t="shared" si="25"/>
        <v>0.33243055642514019</v>
      </c>
      <c r="BL21">
        <f t="shared" si="35"/>
        <v>124</v>
      </c>
      <c r="BM21">
        <f t="shared" si="26"/>
        <v>41.868433703244705</v>
      </c>
      <c r="BN21">
        <f t="shared" si="27"/>
        <v>14.499610936445734</v>
      </c>
      <c r="BO21" s="88">
        <f t="shared" si="28"/>
        <v>122.70193960942454</v>
      </c>
      <c r="BP21">
        <f t="shared" si="29"/>
        <v>1.0100170385452262E-3</v>
      </c>
      <c r="BQ21">
        <f t="shared" si="30"/>
        <v>56.368044639690439</v>
      </c>
      <c r="BR21">
        <f t="shared" si="31"/>
        <v>658.26722468752769</v>
      </c>
      <c r="BS21">
        <f t="shared" si="32"/>
        <v>0.66486111285028171</v>
      </c>
      <c r="CD21" s="73"/>
      <c r="CE21" s="40"/>
      <c r="CF21" s="40"/>
      <c r="CG21" s="40"/>
      <c r="CH21" s="40"/>
      <c r="CI21" s="40"/>
      <c r="CJ21" s="40"/>
      <c r="CK21" s="40"/>
      <c r="CL21" s="40"/>
      <c r="CM21" s="40"/>
      <c r="CS21" s="57"/>
      <c r="CT21" s="40"/>
      <c r="CU21" s="40"/>
      <c r="CV21" s="91"/>
      <c r="CW21" s="91"/>
      <c r="CX21" s="93"/>
      <c r="CY21" s="93"/>
      <c r="CZ21" s="91"/>
      <c r="DA21" s="92">
        <f t="shared" si="36"/>
        <v>17</v>
      </c>
      <c r="DB21" s="92">
        <v>0.96199999999999997</v>
      </c>
      <c r="DC21" s="94"/>
      <c r="DD21" s="94"/>
      <c r="DE21" s="92"/>
      <c r="DF21" s="40"/>
    </row>
    <row r="22" spans="1:110">
      <c r="B22" s="17" t="s">
        <v>99</v>
      </c>
      <c r="C22" s="20">
        <v>250</v>
      </c>
      <c r="D22" s="17" t="s">
        <v>43</v>
      </c>
      <c r="E22" s="2"/>
      <c r="F22" s="5">
        <f>B19</f>
        <v>4</v>
      </c>
      <c r="G22" s="46">
        <f>C19/POWER(2,0.5)</f>
        <v>141.42135623730948</v>
      </c>
      <c r="H22" s="5" t="s">
        <v>3</v>
      </c>
      <c r="I22" s="2"/>
      <c r="N22" s="17" t="s">
        <v>86</v>
      </c>
      <c r="O22" s="17"/>
      <c r="P22" s="17"/>
      <c r="R22" s="295" t="s">
        <v>89</v>
      </c>
      <c r="S22" s="295"/>
      <c r="T22" s="295"/>
      <c r="U22" s="23"/>
      <c r="V22">
        <f t="shared" si="33"/>
        <v>6.875</v>
      </c>
      <c r="W22" s="56">
        <f t="shared" si="1"/>
        <v>16.745454050046003</v>
      </c>
      <c r="X22" s="56">
        <f t="shared" si="2"/>
        <v>0.80390988054890666</v>
      </c>
      <c r="Y22" s="56">
        <f t="shared" si="3"/>
        <v>141.52062031852006</v>
      </c>
      <c r="Z22" s="56">
        <f t="shared" si="4"/>
        <v>-41.094745286860416</v>
      </c>
      <c r="AA22" s="87">
        <f t="shared" si="0"/>
        <v>8.815820434684098E-3</v>
      </c>
      <c r="AB22" s="86">
        <f t="shared" si="5"/>
        <v>17.549363930594911</v>
      </c>
      <c r="AC22" s="22">
        <f t="shared" si="6"/>
        <v>7.5416816594235137</v>
      </c>
      <c r="AD22" s="102">
        <f t="shared" si="7"/>
        <v>6.6486111285028085E-2</v>
      </c>
      <c r="AE22" s="22">
        <f t="shared" si="8"/>
        <v>33.490908100092007</v>
      </c>
      <c r="AF22" s="22"/>
      <c r="AG22" s="22">
        <f t="shared" si="9"/>
        <v>2.7538843815040587E-2</v>
      </c>
      <c r="AH22" s="22">
        <f t="shared" si="10"/>
        <v>-15.600542970234789</v>
      </c>
      <c r="AI22" s="106">
        <f t="shared" si="11"/>
        <v>97.872744236125186</v>
      </c>
      <c r="AJ22" s="104"/>
      <c r="AK22" s="104"/>
      <c r="AL22" s="104"/>
      <c r="AM22" s="104">
        <f t="shared" si="12"/>
        <v>16.745454050046003</v>
      </c>
      <c r="AN22" s="109">
        <f t="shared" si="13"/>
        <v>89.81822172165927</v>
      </c>
      <c r="AO22" s="104"/>
      <c r="AP22" s="104">
        <f t="shared" si="14"/>
        <v>8.3727270250230017</v>
      </c>
      <c r="AQ22" s="104">
        <f t="shared" si="15"/>
        <v>98.445494696636274</v>
      </c>
      <c r="AR22" s="104"/>
      <c r="AS22" s="104"/>
      <c r="AT22" s="104"/>
      <c r="AU22" s="104"/>
      <c r="AV22" s="104"/>
      <c r="AW22" s="104"/>
      <c r="AX22" s="22"/>
      <c r="AY22" s="22">
        <f t="shared" si="16"/>
        <v>0.1004833501601025</v>
      </c>
      <c r="AZ22" s="22">
        <f t="shared" si="17"/>
        <v>-9.9790589379207724</v>
      </c>
      <c r="BA22" s="104">
        <f t="shared" si="18"/>
        <v>123.4942282684392</v>
      </c>
      <c r="BB22">
        <f t="shared" si="34"/>
        <v>32.75</v>
      </c>
      <c r="BC22">
        <f t="shared" si="19"/>
        <v>30.304226086556039</v>
      </c>
      <c r="BD22">
        <f t="shared" si="20"/>
        <v>3.8295343400693374</v>
      </c>
      <c r="BE22" s="88">
        <f t="shared" si="21"/>
        <v>138.91562390920996</v>
      </c>
      <c r="BF22">
        <f t="shared" si="22"/>
        <v>6.5314997594646332E-3</v>
      </c>
      <c r="BG22">
        <f t="shared" si="23"/>
        <v>34.133760426625379</v>
      </c>
      <c r="BH22">
        <f t="shared" si="24"/>
        <v>50.896512082607579</v>
      </c>
      <c r="BI22">
        <f t="shared" si="25"/>
        <v>0.33243055642514019</v>
      </c>
      <c r="BL22">
        <f t="shared" si="35"/>
        <v>125.5</v>
      </c>
      <c r="BM22">
        <f t="shared" si="26"/>
        <v>41.972874516341143</v>
      </c>
      <c r="BN22">
        <f t="shared" si="27"/>
        <v>14.675009455838223</v>
      </c>
      <c r="BO22" s="88">
        <f t="shared" si="28"/>
        <v>122.42210027693561</v>
      </c>
      <c r="BP22">
        <f t="shared" si="29"/>
        <v>9.7799522319935196E-4</v>
      </c>
      <c r="BQ22">
        <f t="shared" si="30"/>
        <v>56.647883972179365</v>
      </c>
      <c r="BR22">
        <f t="shared" si="31"/>
        <v>679.82040921968508</v>
      </c>
      <c r="BS22">
        <f t="shared" si="32"/>
        <v>0.66486111285028071</v>
      </c>
      <c r="CD22" s="73"/>
      <c r="CE22" s="40"/>
      <c r="CF22" s="40"/>
      <c r="CG22" s="40"/>
      <c r="CH22" s="40"/>
      <c r="CI22" s="40"/>
      <c r="CJ22" s="40"/>
      <c r="CK22" s="40"/>
      <c r="CL22" s="40"/>
      <c r="CM22" s="40"/>
      <c r="CS22" s="57"/>
      <c r="CT22" s="40"/>
      <c r="CU22" s="40"/>
      <c r="CV22" s="91"/>
      <c r="CW22" s="91"/>
      <c r="CX22" s="93"/>
      <c r="CY22" s="93"/>
      <c r="CZ22" s="91"/>
      <c r="DA22" s="92">
        <f t="shared" si="36"/>
        <v>18</v>
      </c>
      <c r="DB22" s="92">
        <v>0.96399999999999997</v>
      </c>
      <c r="DC22" s="94"/>
      <c r="DD22" s="94"/>
      <c r="DE22" s="92"/>
      <c r="DF22" s="40"/>
    </row>
    <row r="23" spans="1:110">
      <c r="B23" s="17" t="s">
        <v>101</v>
      </c>
      <c r="C23" s="41">
        <f>20*LOG10(C22*POWER(10,6))</f>
        <v>167.95880017344075</v>
      </c>
      <c r="D23" s="16" t="s">
        <v>100</v>
      </c>
      <c r="E23" s="2"/>
      <c r="I23" s="2"/>
      <c r="J23" s="291" t="s">
        <v>80</v>
      </c>
      <c r="K23" s="291"/>
      <c r="L23" s="291"/>
      <c r="N23" s="19" t="s">
        <v>40</v>
      </c>
      <c r="O23" s="20">
        <v>1</v>
      </c>
      <c r="P23" s="17" t="s">
        <v>31</v>
      </c>
      <c r="R23" s="31" t="s">
        <v>32</v>
      </c>
      <c r="S23" s="47">
        <f>S21+20*LOG10(O25/C6)</f>
        <v>66.375175252488248</v>
      </c>
      <c r="T23" s="31" t="s">
        <v>51</v>
      </c>
      <c r="U23" s="23"/>
      <c r="V23">
        <f t="shared" si="33"/>
        <v>7.25</v>
      </c>
      <c r="W23" s="56">
        <f t="shared" si="1"/>
        <v>17.206760131419873</v>
      </c>
      <c r="X23" s="56">
        <f t="shared" si="2"/>
        <v>0.8477595103970289</v>
      </c>
      <c r="Y23" s="56">
        <f t="shared" si="3"/>
        <v>141.01546460729804</v>
      </c>
      <c r="Z23" s="56">
        <f t="shared" si="4"/>
        <v>-41.599900998082433</v>
      </c>
      <c r="AA23" s="87">
        <f t="shared" si="0"/>
        <v>8.3177325161428554E-3</v>
      </c>
      <c r="AB23" s="86">
        <f t="shared" si="5"/>
        <v>18.054519641816903</v>
      </c>
      <c r="AC23" s="22">
        <f t="shared" si="6"/>
        <v>7.9932975911395667</v>
      </c>
      <c r="AD23" s="102">
        <f t="shared" si="7"/>
        <v>6.6486111285027932E-2</v>
      </c>
      <c r="AE23" s="22">
        <f t="shared" si="8"/>
        <v>34.413520262839747</v>
      </c>
      <c r="AF23" s="22"/>
      <c r="AG23" s="22">
        <f t="shared" si="9"/>
        <v>3.0625015072329433E-2</v>
      </c>
      <c r="AH23" s="22">
        <f t="shared" si="10"/>
        <v>-15.139236888860923</v>
      </c>
      <c r="AI23" s="106">
        <f t="shared" si="11"/>
        <v>97.411438154751323</v>
      </c>
      <c r="AJ23" s="104"/>
      <c r="AK23" s="104"/>
      <c r="AL23" s="104"/>
      <c r="AM23" s="104">
        <f t="shared" si="12"/>
        <v>17.206760131419873</v>
      </c>
      <c r="AN23" s="109">
        <f t="shared" si="13"/>
        <v>89.313066010437282</v>
      </c>
      <c r="AO23" s="104"/>
      <c r="AP23" s="104">
        <f t="shared" si="14"/>
        <v>8.6033800657099366</v>
      </c>
      <c r="AQ23" s="104">
        <f t="shared" si="15"/>
        <v>97.70968594472734</v>
      </c>
      <c r="AR23" s="104"/>
      <c r="AS23" s="104"/>
      <c r="AT23" s="104"/>
      <c r="AU23" s="104"/>
      <c r="AV23" s="104"/>
      <c r="AW23" s="104"/>
      <c r="AX23" s="22"/>
      <c r="AY23" s="22">
        <f t="shared" si="16"/>
        <v>0.10596426016883535</v>
      </c>
      <c r="AZ23" s="22">
        <f t="shared" si="17"/>
        <v>-9.7484058972338374</v>
      </c>
      <c r="BA23" s="104">
        <f t="shared" si="18"/>
        <v>122.80226914637841</v>
      </c>
      <c r="BB23">
        <f t="shared" si="34"/>
        <v>33.5</v>
      </c>
      <c r="BC23">
        <f t="shared" si="19"/>
        <v>30.500896140736906</v>
      </c>
      <c r="BD23">
        <f t="shared" si="20"/>
        <v>3.9172335997655816</v>
      </c>
      <c r="BE23" s="88">
        <f t="shared" si="21"/>
        <v>138.63125459533285</v>
      </c>
      <c r="BF23">
        <f t="shared" si="22"/>
        <v>6.3211260323596157E-3</v>
      </c>
      <c r="BG23">
        <f t="shared" si="23"/>
        <v>34.418129740502486</v>
      </c>
      <c r="BH23">
        <f t="shared" si="24"/>
        <v>52.59040157138692</v>
      </c>
      <c r="BI23">
        <f t="shared" si="25"/>
        <v>0.33243055642513991</v>
      </c>
      <c r="BL23">
        <f t="shared" si="35"/>
        <v>127</v>
      </c>
      <c r="BM23">
        <f t="shared" si="26"/>
        <v>42.076074419119138</v>
      </c>
      <c r="BN23">
        <f t="shared" si="27"/>
        <v>14.850407975230713</v>
      </c>
      <c r="BO23" s="88">
        <f t="shared" si="28"/>
        <v>122.14350185476509</v>
      </c>
      <c r="BP23">
        <f t="shared" si="29"/>
        <v>9.4712393621445667E-4</v>
      </c>
      <c r="BQ23">
        <f t="shared" si="30"/>
        <v>56.926482394349847</v>
      </c>
      <c r="BR23">
        <f t="shared" si="31"/>
        <v>701.97899918742439</v>
      </c>
      <c r="BS23">
        <f t="shared" si="32"/>
        <v>0.66486111285027827</v>
      </c>
      <c r="CD23" s="73"/>
      <c r="CE23" s="40"/>
      <c r="CF23" s="40"/>
      <c r="CG23" s="40"/>
      <c r="CH23" s="40"/>
      <c r="CI23" s="40"/>
      <c r="CJ23" s="40"/>
      <c r="CK23" s="40"/>
      <c r="CL23" s="40"/>
      <c r="CM23" s="40"/>
      <c r="CS23" s="57"/>
      <c r="CT23" s="40"/>
      <c r="CU23" s="40"/>
      <c r="CV23" s="91"/>
      <c r="CW23" s="91"/>
      <c r="CX23" s="93"/>
      <c r="CY23" s="93"/>
      <c r="CZ23" s="91"/>
      <c r="DA23" s="92">
        <f t="shared" si="36"/>
        <v>19</v>
      </c>
      <c r="DB23" s="92">
        <v>0.96599999999999997</v>
      </c>
      <c r="DC23" s="94"/>
      <c r="DD23" s="94"/>
      <c r="DE23" s="92"/>
      <c r="DF23" s="40"/>
    </row>
    <row r="24" spans="1:110">
      <c r="E24" s="2"/>
      <c r="F24" s="324" t="s">
        <v>74</v>
      </c>
      <c r="G24" s="325"/>
      <c r="H24" s="326"/>
      <c r="I24" s="2"/>
      <c r="J24" s="5" t="s">
        <v>81</v>
      </c>
      <c r="K24" s="20">
        <v>1500</v>
      </c>
      <c r="L24" s="5" t="s">
        <v>82</v>
      </c>
      <c r="N24" s="291" t="s">
        <v>87</v>
      </c>
      <c r="O24" s="291"/>
      <c r="P24" s="291"/>
      <c r="R24" s="295" t="s">
        <v>90</v>
      </c>
      <c r="S24" s="295"/>
      <c r="T24" s="295"/>
      <c r="U24" s="23"/>
      <c r="V24">
        <f t="shared" si="33"/>
        <v>7.625</v>
      </c>
      <c r="W24" s="56">
        <f t="shared" si="1"/>
        <v>17.644796960376471</v>
      </c>
      <c r="X24" s="56">
        <f t="shared" si="2"/>
        <v>0.89160914024515103</v>
      </c>
      <c r="Y24" s="56">
        <f t="shared" si="3"/>
        <v>140.53357814849332</v>
      </c>
      <c r="Z24" s="56">
        <f t="shared" si="4"/>
        <v>-42.081787456887156</v>
      </c>
      <c r="AA24" s="87">
        <f t="shared" si="0"/>
        <v>7.8688384132445562E-3</v>
      </c>
      <c r="AB24" s="86">
        <f t="shared" si="5"/>
        <v>18.536406100621623</v>
      </c>
      <c r="AC24" s="22">
        <f t="shared" si="6"/>
        <v>8.4492917243186429</v>
      </c>
      <c r="AD24" s="102">
        <f t="shared" si="7"/>
        <v>6.6486111285027877E-2</v>
      </c>
      <c r="AE24" s="22">
        <f t="shared" si="8"/>
        <v>35.289593920752942</v>
      </c>
      <c r="AF24" s="22"/>
      <c r="AG24" s="22">
        <f t="shared" si="9"/>
        <v>3.3875053830005296E-2</v>
      </c>
      <c r="AH24" s="22">
        <f t="shared" si="10"/>
        <v>-14.701200059904327</v>
      </c>
      <c r="AI24" s="106">
        <f t="shared" si="11"/>
        <v>96.973401325794725</v>
      </c>
      <c r="AJ24" s="104"/>
      <c r="AK24" s="104"/>
      <c r="AL24" s="104"/>
      <c r="AM24" s="104">
        <f t="shared" si="12"/>
        <v>17.644796960376471</v>
      </c>
      <c r="AN24" s="109">
        <f t="shared" si="13"/>
        <v>88.831179551632559</v>
      </c>
      <c r="AO24" s="104"/>
      <c r="AP24" s="104">
        <f t="shared" si="14"/>
        <v>8.8223984801882356</v>
      </c>
      <c r="AQ24" s="104">
        <f t="shared" si="15"/>
        <v>97.008781071444332</v>
      </c>
      <c r="AR24" s="104"/>
      <c r="AS24" s="104"/>
      <c r="AT24" s="104"/>
      <c r="AU24" s="104"/>
      <c r="AV24" s="104"/>
      <c r="AW24" s="104"/>
      <c r="AX24" s="22"/>
      <c r="AY24" s="22">
        <f t="shared" si="16"/>
        <v>0.11144517017756823</v>
      </c>
      <c r="AZ24" s="22">
        <f t="shared" si="17"/>
        <v>-9.5293874827555403</v>
      </c>
      <c r="BA24" s="104">
        <f t="shared" si="18"/>
        <v>122.14521390294351</v>
      </c>
      <c r="BB24">
        <f t="shared" si="34"/>
        <v>34.25</v>
      </c>
      <c r="BC24">
        <f t="shared" si="19"/>
        <v>30.693211516568887</v>
      </c>
      <c r="BD24">
        <f t="shared" si="20"/>
        <v>4.0049328594618263</v>
      </c>
      <c r="BE24" s="88">
        <f t="shared" si="21"/>
        <v>138.35123995980462</v>
      </c>
      <c r="BF24">
        <f t="shared" si="22"/>
        <v>6.1205960506952916E-3</v>
      </c>
      <c r="BG24">
        <f t="shared" si="23"/>
        <v>34.698144376030712</v>
      </c>
      <c r="BH24">
        <f t="shared" si="24"/>
        <v>54.313428573247549</v>
      </c>
      <c r="BI24">
        <f t="shared" si="25"/>
        <v>0.33243055642513974</v>
      </c>
      <c r="BL24">
        <f t="shared" si="35"/>
        <v>128.5</v>
      </c>
      <c r="BM24">
        <f t="shared" si="26"/>
        <v>42.178062553346265</v>
      </c>
      <c r="BN24">
        <f t="shared" si="27"/>
        <v>15.0258064946232</v>
      </c>
      <c r="BO24" s="88">
        <f t="shared" si="28"/>
        <v>121.86611520114552</v>
      </c>
      <c r="BP24">
        <f t="shared" si="29"/>
        <v>9.1735510008741266E-4</v>
      </c>
      <c r="BQ24">
        <f t="shared" si="30"/>
        <v>57.203869047969462</v>
      </c>
      <c r="BR24">
        <f t="shared" si="31"/>
        <v>724.75872515117521</v>
      </c>
      <c r="BS24">
        <f t="shared" si="32"/>
        <v>0.66486111285028193</v>
      </c>
      <c r="CD24" s="73"/>
      <c r="CE24" s="40"/>
      <c r="CF24" s="40"/>
      <c r="CG24" s="40"/>
      <c r="CH24" s="40"/>
      <c r="CI24" s="40"/>
      <c r="CJ24" s="40"/>
      <c r="CK24" s="40"/>
      <c r="CL24" s="40"/>
      <c r="CM24" s="40"/>
      <c r="CS24" s="57"/>
      <c r="CT24" s="40"/>
      <c r="CU24" s="40"/>
      <c r="CV24" s="91"/>
      <c r="CW24" s="91"/>
      <c r="CX24" s="93"/>
      <c r="CY24" s="93"/>
      <c r="CZ24" s="91"/>
      <c r="DA24" s="92">
        <f t="shared" si="36"/>
        <v>20</v>
      </c>
      <c r="DB24" s="92">
        <v>0.96799999999999997</v>
      </c>
      <c r="DC24" s="94"/>
      <c r="DD24" s="94"/>
      <c r="DE24" s="92"/>
      <c r="DF24" s="40"/>
    </row>
    <row r="25" spans="1:110">
      <c r="B25" s="291" t="s">
        <v>105</v>
      </c>
      <c r="C25" s="291"/>
      <c r="D25" s="291"/>
      <c r="E25" s="2"/>
      <c r="F25" s="319" t="s">
        <v>62</v>
      </c>
      <c r="G25" s="320"/>
      <c r="H25" s="321"/>
      <c r="I25" s="2"/>
      <c r="N25" s="15" t="s">
        <v>10</v>
      </c>
      <c r="O25" s="29">
        <v>1</v>
      </c>
      <c r="P25" s="15" t="s">
        <v>11</v>
      </c>
      <c r="R25" s="17" t="s">
        <v>92</v>
      </c>
      <c r="S25" s="41">
        <f>S23+10*LOG10(O28*1000)</f>
        <v>104.82615565263082</v>
      </c>
      <c r="T25" s="17" t="s">
        <v>51</v>
      </c>
      <c r="U25" s="12"/>
      <c r="V25">
        <f t="shared" si="33"/>
        <v>8</v>
      </c>
      <c r="W25" s="56">
        <f t="shared" si="1"/>
        <v>18.061799739838872</v>
      </c>
      <c r="X25" s="56">
        <f t="shared" si="2"/>
        <v>0.93545877009327316</v>
      </c>
      <c r="Y25" s="56">
        <f t="shared" si="3"/>
        <v>140.0727257391828</v>
      </c>
      <c r="Z25" s="56">
        <f t="shared" si="4"/>
        <v>-42.542639866197675</v>
      </c>
      <c r="AA25" s="87">
        <f t="shared" si="0"/>
        <v>7.4622192782490314E-3</v>
      </c>
      <c r="AB25" s="86">
        <f t="shared" si="5"/>
        <v>18.997258509932145</v>
      </c>
      <c r="AC25" s="22">
        <f t="shared" si="6"/>
        <v>8.9096968081362089</v>
      </c>
      <c r="AD25" s="102">
        <f t="shared" si="7"/>
        <v>6.6486111285027877E-2</v>
      </c>
      <c r="AE25" s="22">
        <f t="shared" si="8"/>
        <v>36.123599479677743</v>
      </c>
      <c r="AF25" s="22"/>
      <c r="AG25" s="22">
        <f t="shared" si="9"/>
        <v>3.7288960088068181E-2</v>
      </c>
      <c r="AH25" s="22">
        <f t="shared" si="10"/>
        <v>-14.284197280441923</v>
      </c>
      <c r="AI25" s="106">
        <f t="shared" si="11"/>
        <v>96.556398546332304</v>
      </c>
      <c r="AJ25" s="104"/>
      <c r="AK25" s="104"/>
      <c r="AL25" s="104"/>
      <c r="AM25" s="104">
        <f t="shared" si="12"/>
        <v>18.061799739838872</v>
      </c>
      <c r="AN25" s="109">
        <f t="shared" si="13"/>
        <v>88.370327142322026</v>
      </c>
      <c r="AO25" s="104"/>
      <c r="AP25" s="104">
        <f t="shared" si="14"/>
        <v>9.0308998699194358</v>
      </c>
      <c r="AQ25" s="104">
        <f t="shared" si="15"/>
        <v>96.339427272402617</v>
      </c>
      <c r="AR25" s="104"/>
      <c r="AS25" s="104"/>
      <c r="AT25" s="104"/>
      <c r="AU25" s="104"/>
      <c r="AV25" s="104"/>
      <c r="AW25" s="104"/>
      <c r="AX25" s="22"/>
      <c r="AY25" s="22">
        <f t="shared" si="16"/>
        <v>0.11692608018630109</v>
      </c>
      <c r="AZ25" s="22">
        <f t="shared" si="17"/>
        <v>-9.3208860930243382</v>
      </c>
      <c r="BA25" s="104">
        <f t="shared" si="18"/>
        <v>121.51970973374989</v>
      </c>
      <c r="BB25">
        <f t="shared" si="34"/>
        <v>35</v>
      </c>
      <c r="BC25">
        <f t="shared" si="19"/>
        <v>30.881360887005513</v>
      </c>
      <c r="BD25">
        <f t="shared" si="20"/>
        <v>4.092632119158071</v>
      </c>
      <c r="BE25" s="88">
        <f t="shared" si="21"/>
        <v>138.07539132967173</v>
      </c>
      <c r="BF25">
        <f t="shared" si="22"/>
        <v>5.9292708060119746E-3</v>
      </c>
      <c r="BG25">
        <f t="shared" si="23"/>
        <v>34.973993006163582</v>
      </c>
      <c r="BH25">
        <f t="shared" si="24"/>
        <v>56.066010020670959</v>
      </c>
      <c r="BI25">
        <f t="shared" si="25"/>
        <v>0.33243055642513913</v>
      </c>
      <c r="BL25">
        <f t="shared" si="35"/>
        <v>130</v>
      </c>
      <c r="BM25">
        <f t="shared" si="26"/>
        <v>42.278867046136739</v>
      </c>
      <c r="BN25">
        <f t="shared" si="27"/>
        <v>15.20120501401569</v>
      </c>
      <c r="BO25" s="88">
        <f t="shared" si="28"/>
        <v>121.58991218896254</v>
      </c>
      <c r="BP25">
        <f t="shared" si="29"/>
        <v>8.8864301014292529E-4</v>
      </c>
      <c r="BQ25">
        <f t="shared" si="30"/>
        <v>57.48007206015243</v>
      </c>
      <c r="BR25">
        <f t="shared" si="31"/>
        <v>748.17570752438439</v>
      </c>
      <c r="BS25">
        <f t="shared" si="32"/>
        <v>0.66486111285028182</v>
      </c>
      <c r="CD25" s="73"/>
      <c r="CE25" s="40"/>
      <c r="CF25" s="40"/>
      <c r="CG25" s="40"/>
      <c r="CH25" s="40"/>
      <c r="CI25" s="40"/>
      <c r="CJ25" s="40"/>
      <c r="CK25" s="40"/>
      <c r="CL25" s="40"/>
      <c r="CM25" s="40"/>
      <c r="CS25" s="57"/>
      <c r="CT25" s="40"/>
      <c r="CU25" s="40"/>
      <c r="CV25" s="91"/>
      <c r="CW25" s="91"/>
      <c r="CX25" s="93"/>
      <c r="CY25" s="93"/>
      <c r="CZ25" s="91"/>
      <c r="DA25" s="92">
        <f t="shared" si="36"/>
        <v>21</v>
      </c>
      <c r="DB25" s="92">
        <v>0.97</v>
      </c>
      <c r="DC25" s="94"/>
      <c r="DD25" s="94"/>
      <c r="DE25" s="92"/>
      <c r="DF25" s="40"/>
    </row>
    <row r="26" spans="1:110">
      <c r="B26" s="15" t="s">
        <v>106</v>
      </c>
      <c r="C26" s="29">
        <v>740</v>
      </c>
      <c r="D26" s="15" t="s">
        <v>50</v>
      </c>
      <c r="E26" s="2"/>
      <c r="F26" s="5">
        <f>B16</f>
        <v>1</v>
      </c>
      <c r="G26" s="46">
        <f>POWER(G19,2)/$C$10</f>
        <v>1.1363636363636362</v>
      </c>
      <c r="H26" s="5" t="s">
        <v>5</v>
      </c>
      <c r="I26" s="2"/>
      <c r="R26" s="295" t="s">
        <v>93</v>
      </c>
      <c r="S26" s="295"/>
      <c r="T26" s="295"/>
      <c r="U26" s="23"/>
      <c r="V26">
        <f>V25+$O$32</f>
        <v>8.375</v>
      </c>
      <c r="W26" s="56">
        <f t="shared" si="1"/>
        <v>18.459696314177656</v>
      </c>
      <c r="X26" s="56">
        <f t="shared" si="2"/>
        <v>0.9793083999413954</v>
      </c>
      <c r="Y26" s="56">
        <f t="shared" si="3"/>
        <v>139.6309795349959</v>
      </c>
      <c r="Z26" s="56">
        <f t="shared" si="4"/>
        <v>-42.984386070384573</v>
      </c>
      <c r="AA26" s="87">
        <f t="shared" si="0"/>
        <v>7.0921954646797339E-3</v>
      </c>
      <c r="AB26" s="86">
        <f t="shared" si="5"/>
        <v>19.439004714119051</v>
      </c>
      <c r="AC26" s="22">
        <f t="shared" si="6"/>
        <v>9.3745458111158051</v>
      </c>
      <c r="AD26" s="102">
        <f t="shared" si="7"/>
        <v>6.6486111285027905E-2</v>
      </c>
      <c r="AE26" s="22">
        <f t="shared" si="8"/>
        <v>36.919392628355311</v>
      </c>
      <c r="AF26" s="22"/>
      <c r="AG26" s="22">
        <f t="shared" si="9"/>
        <v>4.086673384651808E-2</v>
      </c>
      <c r="AH26" s="22">
        <f t="shared" si="10"/>
        <v>-13.886300706103139</v>
      </c>
      <c r="AI26" s="106">
        <f t="shared" si="11"/>
        <v>96.158501971993545</v>
      </c>
      <c r="AJ26" s="104"/>
      <c r="AK26" s="104"/>
      <c r="AL26" s="104"/>
      <c r="AM26" s="104">
        <f t="shared" si="12"/>
        <v>18.459696314177656</v>
      </c>
      <c r="AN26" s="109">
        <f t="shared" si="13"/>
        <v>87.928580938135127</v>
      </c>
      <c r="AO26" s="104"/>
      <c r="AP26" s="104">
        <f t="shared" si="14"/>
        <v>9.2298481570888278</v>
      </c>
      <c r="AQ26" s="104">
        <f t="shared" si="15"/>
        <v>95.698732781046317</v>
      </c>
      <c r="AR26" s="104"/>
      <c r="AS26" s="104"/>
      <c r="AT26" s="104"/>
      <c r="AU26" s="104"/>
      <c r="AV26" s="104"/>
      <c r="AW26" s="104"/>
      <c r="AX26" s="22"/>
      <c r="AY26" s="22">
        <f t="shared" si="16"/>
        <v>0.12240699019503395</v>
      </c>
      <c r="AZ26" s="22">
        <f t="shared" si="17"/>
        <v>-9.1219378058549463</v>
      </c>
      <c r="BA26" s="104">
        <f t="shared" si="18"/>
        <v>120.92286487224175</v>
      </c>
      <c r="BB26">
        <f t="shared" si="34"/>
        <v>35.75</v>
      </c>
      <c r="BC26">
        <f t="shared" si="19"/>
        <v>31.065520922741989</v>
      </c>
      <c r="BD26">
        <f t="shared" si="20"/>
        <v>4.1803313788543139</v>
      </c>
      <c r="BE26" s="88">
        <f t="shared" si="21"/>
        <v>137.80353203423903</v>
      </c>
      <c r="BF26">
        <f t="shared" si="22"/>
        <v>5.7465649738789064E-3</v>
      </c>
      <c r="BG26">
        <f t="shared" si="23"/>
        <v>35.245852301596301</v>
      </c>
      <c r="BH26">
        <f t="shared" si="24"/>
        <v>57.848568307538081</v>
      </c>
      <c r="BI26">
        <f t="shared" si="25"/>
        <v>0.33243055642513969</v>
      </c>
      <c r="BL26">
        <f t="shared" si="35"/>
        <v>131.5</v>
      </c>
      <c r="BM26">
        <f t="shared" si="26"/>
        <v>42.378515056515539</v>
      </c>
      <c r="BN26">
        <f t="shared" si="27"/>
        <v>15.376603533408179</v>
      </c>
      <c r="BO26" s="88">
        <f t="shared" si="28"/>
        <v>121.31486565919126</v>
      </c>
      <c r="BP26">
        <f t="shared" si="29"/>
        <v>8.6094419616034761E-4</v>
      </c>
      <c r="BQ26">
        <f t="shared" si="30"/>
        <v>57.755118589923718</v>
      </c>
      <c r="BR26">
        <f t="shared" si="31"/>
        <v>772.24646593291311</v>
      </c>
      <c r="BS26">
        <f t="shared" si="32"/>
        <v>0.66486111285028116</v>
      </c>
      <c r="CV26" s="91"/>
      <c r="CW26" s="91"/>
      <c r="CX26" s="91"/>
      <c r="CY26" s="91"/>
      <c r="CZ26" s="91"/>
      <c r="DA26" s="92">
        <f t="shared" si="36"/>
        <v>22</v>
      </c>
      <c r="DB26" s="95">
        <v>0.97599999999999998</v>
      </c>
      <c r="DC26" s="91"/>
      <c r="DD26" s="91"/>
      <c r="DE26" s="91"/>
    </row>
    <row r="27" spans="1:110">
      <c r="B27" s="15" t="s">
        <v>107</v>
      </c>
      <c r="C27" s="42">
        <f>20*LOG10(C26*POWER(10,-12))</f>
        <v>-182.61536560538048</v>
      </c>
      <c r="D27" s="110" t="s">
        <v>108</v>
      </c>
      <c r="E27" s="2"/>
      <c r="F27" s="5">
        <f>B17</f>
        <v>2</v>
      </c>
      <c r="G27" s="46">
        <f>POWER(G20,2)/$C$10</f>
        <v>1.1363636363636362</v>
      </c>
      <c r="H27" s="5" t="s">
        <v>5</v>
      </c>
      <c r="I27" s="2"/>
      <c r="J27" s="291" t="s">
        <v>79</v>
      </c>
      <c r="K27" s="291"/>
      <c r="L27" s="291"/>
      <c r="N27" s="291" t="s">
        <v>91</v>
      </c>
      <c r="O27" s="291"/>
      <c r="P27" s="291"/>
      <c r="R27" s="17" t="s">
        <v>48</v>
      </c>
      <c r="S27" s="32">
        <f>S25-S6</f>
        <v>75.237733537956771</v>
      </c>
      <c r="T27" s="17" t="s">
        <v>51</v>
      </c>
      <c r="U27" s="12"/>
      <c r="V27">
        <f t="shared" si="33"/>
        <v>8.75</v>
      </c>
      <c r="W27" s="56">
        <f t="shared" si="1"/>
        <v>18.840161060446267</v>
      </c>
      <c r="X27" s="56">
        <f t="shared" si="2"/>
        <v>1.0231580297895178</v>
      </c>
      <c r="Y27" s="56">
        <f t="shared" si="3"/>
        <v>139.20666515887916</v>
      </c>
      <c r="Z27" s="56">
        <f t="shared" si="4"/>
        <v>-43.408700446501314</v>
      </c>
      <c r="AA27" s="87">
        <f t="shared" si="0"/>
        <v>6.7540609841733679E-3</v>
      </c>
      <c r="AB27" s="86">
        <f t="shared" si="5"/>
        <v>19.863319090235784</v>
      </c>
      <c r="AC27" s="22">
        <f t="shared" si="6"/>
        <v>9.8438719225105089</v>
      </c>
      <c r="AD27" s="102">
        <f t="shared" si="7"/>
        <v>6.6486111285027905E-2</v>
      </c>
      <c r="AE27" s="22">
        <f t="shared" si="8"/>
        <v>37.680322120892534</v>
      </c>
      <c r="AF27" s="22"/>
      <c r="AG27" s="22">
        <f t="shared" si="9"/>
        <v>4.4608375105355001E-2</v>
      </c>
      <c r="AH27" s="22">
        <f t="shared" si="10"/>
        <v>-13.505835959834531</v>
      </c>
      <c r="AI27" s="106">
        <f t="shared" si="11"/>
        <v>95.77803722572493</v>
      </c>
      <c r="AJ27" s="104"/>
      <c r="AK27" s="104"/>
      <c r="AL27" s="104"/>
      <c r="AM27" s="104">
        <f t="shared" si="12"/>
        <v>18.840161060446267</v>
      </c>
      <c r="AN27" s="109">
        <f t="shared" si="13"/>
        <v>87.504266562018387</v>
      </c>
      <c r="AO27" s="104"/>
      <c r="AP27" s="104">
        <f t="shared" si="14"/>
        <v>9.4200805302231334</v>
      </c>
      <c r="AQ27" s="104">
        <f t="shared" si="15"/>
        <v>95.084186031795269</v>
      </c>
      <c r="AR27" s="104"/>
      <c r="AS27" s="104"/>
      <c r="AT27" s="104"/>
      <c r="AU27" s="104"/>
      <c r="AV27" s="104"/>
      <c r="AW27" s="104"/>
      <c r="AX27" s="22"/>
      <c r="AY27" s="22">
        <f t="shared" si="16"/>
        <v>0.12788790020376684</v>
      </c>
      <c r="AZ27" s="22">
        <f t="shared" si="17"/>
        <v>-8.9317054327206407</v>
      </c>
      <c r="BA27" s="104">
        <f t="shared" si="18"/>
        <v>120.35216775283882</v>
      </c>
      <c r="BB27">
        <f t="shared" si="34"/>
        <v>36.5</v>
      </c>
      <c r="BC27">
        <f t="shared" si="19"/>
        <v>31.245857289129493</v>
      </c>
      <c r="BD27">
        <f t="shared" si="20"/>
        <v>4.2680306385505586</v>
      </c>
      <c r="BE27" s="88">
        <f t="shared" si="21"/>
        <v>137.53549640815527</v>
      </c>
      <c r="BF27">
        <f t="shared" si="22"/>
        <v>5.5719413978120814E-3</v>
      </c>
      <c r="BG27">
        <f t="shared" si="23"/>
        <v>35.513887927680052</v>
      </c>
      <c r="BH27">
        <f t="shared" si="24"/>
        <v>59.661531357037191</v>
      </c>
      <c r="BI27">
        <f t="shared" si="25"/>
        <v>0.33243055642513913</v>
      </c>
      <c r="BL27">
        <f t="shared" si="35"/>
        <v>133</v>
      </c>
      <c r="BM27">
        <f t="shared" si="26"/>
        <v>42.477032819341716</v>
      </c>
      <c r="BN27">
        <f t="shared" si="27"/>
        <v>15.552002052800667</v>
      </c>
      <c r="BO27" s="88">
        <f t="shared" si="28"/>
        <v>121.04094937697256</v>
      </c>
      <c r="BP27">
        <f t="shared" si="29"/>
        <v>8.3421729342411546E-4</v>
      </c>
      <c r="BQ27">
        <f t="shared" si="30"/>
        <v>58.029034872142383</v>
      </c>
      <c r="BR27">
        <f t="shared" si="31"/>
        <v>796.98792879406778</v>
      </c>
      <c r="BS27">
        <f t="shared" si="32"/>
        <v>0.66486111285027893</v>
      </c>
      <c r="CV27" s="91"/>
      <c r="CW27" s="91"/>
      <c r="CX27" s="91"/>
      <c r="CY27" s="91"/>
      <c r="CZ27" s="91"/>
      <c r="DA27" s="92">
        <f t="shared" si="36"/>
        <v>23</v>
      </c>
      <c r="DB27" s="95">
        <v>0.98199999999999998</v>
      </c>
      <c r="DC27" s="91"/>
      <c r="DD27" s="91"/>
      <c r="DE27" s="91"/>
    </row>
    <row r="28" spans="1:110">
      <c r="E28" s="2"/>
      <c r="F28" s="5">
        <f>B18</f>
        <v>3</v>
      </c>
      <c r="G28" s="46">
        <f>POWER(G21,2)/$C$10</f>
        <v>28.409090909090899</v>
      </c>
      <c r="H28" s="5" t="s">
        <v>5</v>
      </c>
      <c r="I28" s="2"/>
      <c r="J28" s="18" t="s">
        <v>14</v>
      </c>
      <c r="K28" s="20">
        <v>8</v>
      </c>
      <c r="L28" s="5" t="s">
        <v>17</v>
      </c>
      <c r="N28" s="30" t="s">
        <v>40</v>
      </c>
      <c r="O28" s="29">
        <v>7</v>
      </c>
      <c r="P28" s="15" t="s">
        <v>11</v>
      </c>
      <c r="R28" s="295" t="s">
        <v>94</v>
      </c>
      <c r="S28" s="295"/>
      <c r="T28" s="295"/>
      <c r="U28" s="23"/>
      <c r="V28">
        <f t="shared" si="33"/>
        <v>9.125</v>
      </c>
      <c r="W28" s="56">
        <f t="shared" si="1"/>
        <v>19.204657462570246</v>
      </c>
      <c r="X28" s="56">
        <f t="shared" si="2"/>
        <v>1.0670076596376397</v>
      </c>
      <c r="Y28" s="56">
        <f t="shared" si="3"/>
        <v>138.79831912690705</v>
      </c>
      <c r="Z28" s="56">
        <f t="shared" si="4"/>
        <v>-43.817046478473429</v>
      </c>
      <c r="AA28" s="87">
        <f t="shared" si="0"/>
        <v>6.4438834397229335E-3</v>
      </c>
      <c r="AB28" s="86">
        <f t="shared" si="5"/>
        <v>20.271665122207885</v>
      </c>
      <c r="AC28" s="22">
        <f t="shared" si="6"/>
        <v>10.317708553692665</v>
      </c>
      <c r="AD28" s="102">
        <f t="shared" si="7"/>
        <v>6.6486111285027821E-2</v>
      </c>
      <c r="AE28" s="22">
        <f t="shared" si="8"/>
        <v>38.409314925140492</v>
      </c>
      <c r="AF28" s="22"/>
      <c r="AG28" s="22">
        <f t="shared" si="9"/>
        <v>4.8513883864578937E-2</v>
      </c>
      <c r="AH28" s="22">
        <f t="shared" si="10"/>
        <v>-13.14133955771055</v>
      </c>
      <c r="AI28" s="106">
        <f t="shared" si="11"/>
        <v>95.413540823600925</v>
      </c>
      <c r="AJ28" s="104"/>
      <c r="AK28" s="104"/>
      <c r="AL28" s="104"/>
      <c r="AM28" s="104">
        <f t="shared" si="12"/>
        <v>19.204657462570246</v>
      </c>
      <c r="AN28" s="109">
        <f t="shared" si="13"/>
        <v>87.0959205300463</v>
      </c>
      <c r="AO28" s="104"/>
      <c r="AP28" s="104">
        <f t="shared" si="14"/>
        <v>9.6023287312851231</v>
      </c>
      <c r="AQ28" s="104">
        <f t="shared" si="15"/>
        <v>94.493591798761173</v>
      </c>
      <c r="AR28" s="104"/>
      <c r="AS28" s="104"/>
      <c r="AT28" s="104"/>
      <c r="AU28" s="104"/>
      <c r="AV28" s="104"/>
      <c r="AW28" s="104"/>
      <c r="AX28" s="22"/>
      <c r="AY28" s="22">
        <f t="shared" si="16"/>
        <v>0.13336881021249969</v>
      </c>
      <c r="AZ28" s="22">
        <f t="shared" si="17"/>
        <v>-8.749457231658651</v>
      </c>
      <c r="BA28" s="104">
        <f t="shared" si="18"/>
        <v>119.80542314965282</v>
      </c>
      <c r="BB28">
        <f t="shared" si="34"/>
        <v>37.25</v>
      </c>
      <c r="BC28">
        <f t="shared" si="19"/>
        <v>31.422525541686234</v>
      </c>
      <c r="BD28">
        <f t="shared" si="20"/>
        <v>4.3557298982468033</v>
      </c>
      <c r="BE28" s="88">
        <f t="shared" si="21"/>
        <v>137.27112889590228</v>
      </c>
      <c r="BF28">
        <f t="shared" si="22"/>
        <v>5.4049062395705701E-3</v>
      </c>
      <c r="BG28">
        <f t="shared" si="23"/>
        <v>35.778255439933034</v>
      </c>
      <c r="BH28">
        <f t="shared" si="24"/>
        <v>61.505332690387547</v>
      </c>
      <c r="BI28">
        <f t="shared" si="25"/>
        <v>0.33243055642513941</v>
      </c>
      <c r="BL28">
        <f t="shared" si="35"/>
        <v>134.5</v>
      </c>
      <c r="BM28">
        <f t="shared" si="26"/>
        <v>42.574445686768534</v>
      </c>
      <c r="BN28">
        <f t="shared" si="27"/>
        <v>15.727400572193156</v>
      </c>
      <c r="BO28" s="88">
        <f t="shared" si="28"/>
        <v>120.76813799015328</v>
      </c>
      <c r="BP28">
        <f t="shared" si="29"/>
        <v>8.0842292246107632E-4</v>
      </c>
      <c r="BQ28">
        <f t="shared" si="30"/>
        <v>58.301846258961689</v>
      </c>
      <c r="BR28">
        <f t="shared" si="31"/>
        <v>822.4174431203021</v>
      </c>
      <c r="BS28">
        <f t="shared" si="32"/>
        <v>0.6648611128502806</v>
      </c>
      <c r="CV28" s="91"/>
      <c r="CW28" s="91"/>
      <c r="CX28" s="91"/>
      <c r="CY28" s="91"/>
      <c r="CZ28" s="91"/>
      <c r="DA28" s="92">
        <f t="shared" si="36"/>
        <v>24</v>
      </c>
      <c r="DB28" s="95">
        <v>0.98799999999999999</v>
      </c>
      <c r="DC28" s="91"/>
      <c r="DD28" s="91"/>
      <c r="DE28" s="91"/>
    </row>
    <row r="29" spans="1:110">
      <c r="E29" s="2"/>
      <c r="F29" s="5">
        <f>B19</f>
        <v>4</v>
      </c>
      <c r="G29" s="46">
        <f>POWER(G22,2)/$C$10</f>
        <v>113.6363636363636</v>
      </c>
      <c r="H29" s="5" t="s">
        <v>5</v>
      </c>
      <c r="I29" s="2"/>
      <c r="V29">
        <f t="shared" si="33"/>
        <v>9.5</v>
      </c>
      <c r="W29" s="56">
        <f t="shared" si="1"/>
        <v>19.554472105776956</v>
      </c>
      <c r="X29" s="56">
        <f t="shared" si="2"/>
        <v>1.1108572894857618</v>
      </c>
      <c r="Y29" s="56">
        <f t="shared" si="3"/>
        <v>138.40465485385224</v>
      </c>
      <c r="Z29" s="56">
        <f t="shared" si="4"/>
        <v>-44.210710751528239</v>
      </c>
      <c r="AA29" s="87">
        <f t="shared" si="0"/>
        <v>6.1583513431527322E-3</v>
      </c>
      <c r="AB29" s="86">
        <f t="shared" si="5"/>
        <v>20.665329395262717</v>
      </c>
      <c r="AC29" s="22">
        <f t="shared" si="6"/>
        <v>10.796089339552159</v>
      </c>
      <c r="AD29" s="102">
        <f t="shared" si="7"/>
        <v>6.6486111285027932E-2</v>
      </c>
      <c r="AE29" s="22">
        <f t="shared" si="8"/>
        <v>39.108944211553911</v>
      </c>
      <c r="AF29" s="22"/>
      <c r="AG29" s="22">
        <f t="shared" si="9"/>
        <v>5.2583260124189894E-2</v>
      </c>
      <c r="AH29" s="22">
        <f t="shared" si="10"/>
        <v>-12.791524914503841</v>
      </c>
      <c r="AI29" s="106">
        <f t="shared" si="11"/>
        <v>95.063726180394241</v>
      </c>
      <c r="AJ29" s="104"/>
      <c r="AK29" s="104"/>
      <c r="AL29" s="104"/>
      <c r="AM29" s="104">
        <f t="shared" si="12"/>
        <v>19.554472105776956</v>
      </c>
      <c r="AN29" s="109">
        <f t="shared" si="13"/>
        <v>86.702256256991447</v>
      </c>
      <c r="AO29" s="104"/>
      <c r="AP29" s="104">
        <f t="shared" si="14"/>
        <v>9.7772360528884779</v>
      </c>
      <c r="AQ29" s="104">
        <f t="shared" si="15"/>
        <v>93.925020204102992</v>
      </c>
      <c r="AR29" s="104"/>
      <c r="AS29" s="104"/>
      <c r="AT29" s="104"/>
      <c r="AU29" s="104"/>
      <c r="AV29" s="104"/>
      <c r="AW29" s="104"/>
      <c r="AX29" s="22"/>
      <c r="AY29" s="22">
        <f t="shared" si="16"/>
        <v>0.13884972022123254</v>
      </c>
      <c r="AZ29" s="22">
        <f t="shared" si="17"/>
        <v>-8.5745499100552962</v>
      </c>
      <c r="BA29" s="104">
        <f t="shared" si="18"/>
        <v>119.28070118484278</v>
      </c>
      <c r="BB29">
        <f t="shared" si="34"/>
        <v>38</v>
      </c>
      <c r="BC29">
        <f t="shared" si="19"/>
        <v>31.595671932336202</v>
      </c>
      <c r="BD29">
        <f t="shared" si="20"/>
        <v>4.4434291579430472</v>
      </c>
      <c r="BE29" s="88">
        <f t="shared" si="21"/>
        <v>137.01028324555608</v>
      </c>
      <c r="BF29">
        <f t="shared" si="22"/>
        <v>5.245004703765356E-3</v>
      </c>
      <c r="BG29">
        <f t="shared" si="23"/>
        <v>36.039101090279246</v>
      </c>
      <c r="BH29">
        <f t="shared" si="24"/>
        <v>63.380411496388206</v>
      </c>
      <c r="BI29">
        <f t="shared" si="25"/>
        <v>0.33243055642513997</v>
      </c>
      <c r="BL29">
        <f t="shared" si="35"/>
        <v>136</v>
      </c>
      <c r="BM29">
        <f t="shared" si="26"/>
        <v>42.67077816740435</v>
      </c>
      <c r="BN29">
        <f t="shared" si="27"/>
        <v>15.902799091585646</v>
      </c>
      <c r="BO29" s="88">
        <f t="shared" si="28"/>
        <v>120.49640699012495</v>
      </c>
      <c r="BP29">
        <f t="shared" si="29"/>
        <v>7.8352357679278785E-4</v>
      </c>
      <c r="BQ29">
        <f t="shared" si="30"/>
        <v>58.573577258989999</v>
      </c>
      <c r="BR29">
        <f t="shared" si="31"/>
        <v>848.55278455278699</v>
      </c>
      <c r="BS29">
        <f t="shared" si="32"/>
        <v>0.6648611128502796</v>
      </c>
      <c r="CV29" s="91"/>
      <c r="CW29" s="91"/>
      <c r="CX29" s="91"/>
      <c r="CY29" s="91"/>
      <c r="CZ29" s="91"/>
      <c r="DA29" s="92">
        <f t="shared" si="36"/>
        <v>25</v>
      </c>
      <c r="DB29" s="95">
        <v>0.99399999999999999</v>
      </c>
      <c r="DC29" s="91"/>
      <c r="DD29" s="91"/>
      <c r="DE29" s="91"/>
    </row>
    <row r="30" spans="1:110">
      <c r="E30" s="2"/>
      <c r="F30" s="323" t="s">
        <v>75</v>
      </c>
      <c r="G30" s="323"/>
      <c r="H30" s="323"/>
      <c r="I30" s="2"/>
      <c r="J30" s="291" t="s">
        <v>116</v>
      </c>
      <c r="K30" s="291"/>
      <c r="L30" s="291"/>
      <c r="N30" s="291" t="s">
        <v>104</v>
      </c>
      <c r="O30" s="291"/>
      <c r="P30" s="291"/>
      <c r="R30" s="291" t="s">
        <v>95</v>
      </c>
      <c r="S30" s="291"/>
      <c r="T30" s="291"/>
      <c r="U30" s="12"/>
      <c r="V30">
        <f t="shared" si="33"/>
        <v>9.875</v>
      </c>
      <c r="W30" s="56">
        <f t="shared" si="1"/>
        <v>19.890742085969958</v>
      </c>
      <c r="X30" s="56">
        <f t="shared" si="2"/>
        <v>1.1547069193338841</v>
      </c>
      <c r="Y30" s="56">
        <f t="shared" si="3"/>
        <v>138.02453524381113</v>
      </c>
      <c r="Z30" s="56">
        <f t="shared" si="4"/>
        <v>-44.590830361569346</v>
      </c>
      <c r="AA30" s="87">
        <f t="shared" si="0"/>
        <v>5.8946562210168574E-3</v>
      </c>
      <c r="AB30" s="86">
        <f t="shared" si="5"/>
        <v>21.045449005303841</v>
      </c>
      <c r="AC30" s="22">
        <f t="shared" si="6"/>
        <v>11.279048139903043</v>
      </c>
      <c r="AD30" s="102">
        <f t="shared" si="7"/>
        <v>6.6486111285028085E-2</v>
      </c>
      <c r="AE30" s="22">
        <f t="shared" si="8"/>
        <v>39.781484171939915</v>
      </c>
      <c r="AF30" s="22"/>
      <c r="AG30" s="22">
        <f t="shared" si="9"/>
        <v>5.6816503884187873E-2</v>
      </c>
      <c r="AH30" s="22">
        <f t="shared" si="10"/>
        <v>-12.45525493431084</v>
      </c>
      <c r="AI30" s="106">
        <f t="shared" si="11"/>
        <v>94.727456200201217</v>
      </c>
      <c r="AJ30" s="104"/>
      <c r="AK30" s="104"/>
      <c r="AL30" s="104"/>
      <c r="AM30" s="104">
        <f t="shared" si="12"/>
        <v>19.890742085969958</v>
      </c>
      <c r="AN30" s="109">
        <f t="shared" si="13"/>
        <v>86.322136646950341</v>
      </c>
      <c r="AO30" s="104"/>
      <c r="AP30" s="104">
        <f t="shared" si="14"/>
        <v>9.9453710429849789</v>
      </c>
      <c r="AQ30" s="104">
        <f t="shared" si="15"/>
        <v>93.376765603965367</v>
      </c>
      <c r="AR30" s="104"/>
      <c r="AS30" s="104"/>
      <c r="AT30" s="104"/>
      <c r="AU30" s="104"/>
      <c r="AV30" s="104"/>
      <c r="AW30" s="104"/>
      <c r="AX30" s="22"/>
      <c r="AY30" s="22">
        <f t="shared" si="16"/>
        <v>0.14433063022996542</v>
      </c>
      <c r="AZ30" s="22">
        <f t="shared" si="17"/>
        <v>-8.4064149199587952</v>
      </c>
      <c r="BA30" s="104">
        <f t="shared" si="18"/>
        <v>118.77629621455327</v>
      </c>
      <c r="BB30">
        <f t="shared" si="34"/>
        <v>38.75</v>
      </c>
      <c r="BC30">
        <f t="shared" si="19"/>
        <v>31.765434136846583</v>
      </c>
      <c r="BD30">
        <f t="shared" si="20"/>
        <v>4.5311284176392919</v>
      </c>
      <c r="BE30" s="88">
        <f t="shared" si="21"/>
        <v>136.75282178134947</v>
      </c>
      <c r="BF30">
        <f t="shared" si="22"/>
        <v>5.0918172589708745E-3</v>
      </c>
      <c r="BG30">
        <f t="shared" si="23"/>
        <v>36.296562554485874</v>
      </c>
      <c r="BH30">
        <f t="shared" si="24"/>
        <v>65.287212701802474</v>
      </c>
      <c r="BI30">
        <f t="shared" si="25"/>
        <v>0.33243055642514036</v>
      </c>
      <c r="BL30">
        <f t="shared" si="35"/>
        <v>137.5</v>
      </c>
      <c r="BM30">
        <f t="shared" si="26"/>
        <v>42.766053963325632</v>
      </c>
      <c r="BN30">
        <f t="shared" si="27"/>
        <v>16.078197610978133</v>
      </c>
      <c r="BO30" s="88">
        <f t="shared" si="28"/>
        <v>120.2257326748112</v>
      </c>
      <c r="BP30">
        <f t="shared" si="29"/>
        <v>7.5948351808970539E-4</v>
      </c>
      <c r="BQ30">
        <f t="shared" si="30"/>
        <v>58.844251574303769</v>
      </c>
      <c r="BR30">
        <f t="shared" si="31"/>
        <v>875.41216763014927</v>
      </c>
      <c r="BS30">
        <f t="shared" si="32"/>
        <v>0.66486111285028071</v>
      </c>
      <c r="CV30" s="91"/>
      <c r="CW30" s="91"/>
      <c r="CX30" s="91"/>
      <c r="CY30" s="91"/>
      <c r="CZ30" s="91"/>
      <c r="DA30" s="92">
        <f t="shared" si="36"/>
        <v>26</v>
      </c>
      <c r="DB30" s="95">
        <v>1</v>
      </c>
      <c r="DC30" s="91"/>
      <c r="DD30" s="91"/>
      <c r="DE30" s="91"/>
    </row>
    <row r="31" spans="1:110">
      <c r="E31" s="2"/>
      <c r="F31" s="291" t="s">
        <v>55</v>
      </c>
      <c r="G31" s="291"/>
      <c r="H31" s="291"/>
      <c r="I31" s="2"/>
      <c r="J31" s="19" t="s">
        <v>117</v>
      </c>
      <c r="K31" s="20">
        <v>1000</v>
      </c>
      <c r="L31" s="111" t="s">
        <v>118</v>
      </c>
      <c r="N31" s="26" t="s">
        <v>130</v>
      </c>
      <c r="O31" s="20">
        <v>500</v>
      </c>
      <c r="P31" s="17" t="s">
        <v>30</v>
      </c>
      <c r="R31" s="17" t="s">
        <v>33</v>
      </c>
      <c r="S31" s="48">
        <f>O21/C6*(POWER((O28*1000)/G15,0.5))</f>
        <v>5.7794522096481964E-3</v>
      </c>
      <c r="T31" s="17" t="s">
        <v>23</v>
      </c>
      <c r="U31" s="12"/>
      <c r="V31">
        <f t="shared" si="33"/>
        <v>10.25</v>
      </c>
      <c r="W31" s="56">
        <f t="shared" si="1"/>
        <v>20.214477307835462</v>
      </c>
      <c r="X31" s="56">
        <f t="shared" si="2"/>
        <v>1.1985565491820063</v>
      </c>
      <c r="Y31" s="56">
        <f t="shared" si="3"/>
        <v>137.65695039209749</v>
      </c>
      <c r="Z31" s="56">
        <f t="shared" si="4"/>
        <v>-44.95841521328299</v>
      </c>
      <c r="AA31" s="87">
        <f t="shared" si="0"/>
        <v>5.6504005996908507E-3</v>
      </c>
      <c r="AB31" s="86">
        <f t="shared" si="5"/>
        <v>21.413033857017467</v>
      </c>
      <c r="AC31" s="22">
        <f t="shared" si="6"/>
        <v>11.766619040898725</v>
      </c>
      <c r="AD31" s="102">
        <f t="shared" si="7"/>
        <v>6.6486111285027932E-2</v>
      </c>
      <c r="AE31" s="22">
        <f t="shared" si="8"/>
        <v>40.428954615670925</v>
      </c>
      <c r="AF31" s="22"/>
      <c r="AG31" s="22">
        <f t="shared" si="9"/>
        <v>6.121361514457286E-2</v>
      </c>
      <c r="AH31" s="22">
        <f t="shared" si="10"/>
        <v>-12.131519712445334</v>
      </c>
      <c r="AI31" s="106">
        <f t="shared" si="11"/>
        <v>94.403720978335713</v>
      </c>
      <c r="AJ31" s="104"/>
      <c r="AK31" s="104"/>
      <c r="AL31" s="104"/>
      <c r="AM31" s="104">
        <f t="shared" si="12"/>
        <v>20.214477307835462</v>
      </c>
      <c r="AN31" s="109">
        <f t="shared" si="13"/>
        <v>85.954551795236711</v>
      </c>
      <c r="AO31" s="104"/>
      <c r="AP31" s="104">
        <f t="shared" si="14"/>
        <v>10.107238653917731</v>
      </c>
      <c r="AQ31" s="104">
        <f t="shared" si="15"/>
        <v>92.847313141318978</v>
      </c>
      <c r="AR31" s="104"/>
      <c r="AS31" s="104"/>
      <c r="AT31" s="104"/>
      <c r="AU31" s="104"/>
      <c r="AV31" s="104"/>
      <c r="AW31" s="104"/>
      <c r="AX31" s="22"/>
      <c r="AY31" s="22">
        <f t="shared" si="16"/>
        <v>0.14981154023869828</v>
      </c>
      <c r="AZ31" s="22">
        <f t="shared" si="17"/>
        <v>-8.2445473090260428</v>
      </c>
      <c r="BA31" s="104">
        <f t="shared" si="18"/>
        <v>118.29069338175501</v>
      </c>
      <c r="BB31">
        <f t="shared" si="34"/>
        <v>39.5</v>
      </c>
      <c r="BC31">
        <f t="shared" si="19"/>
        <v>31.931941912529204</v>
      </c>
      <c r="BD31">
        <f t="shared" si="20"/>
        <v>4.6188276773355366</v>
      </c>
      <c r="BE31" s="88">
        <f t="shared" si="21"/>
        <v>136.4986147459706</v>
      </c>
      <c r="BF31">
        <f t="shared" si="22"/>
        <v>4.9449562893482445E-3</v>
      </c>
      <c r="BG31">
        <f t="shared" si="23"/>
        <v>36.550769589864743</v>
      </c>
      <c r="BH31">
        <f t="shared" si="24"/>
        <v>67.226187042586645</v>
      </c>
      <c r="BI31">
        <f t="shared" si="25"/>
        <v>0.3324305564251403</v>
      </c>
      <c r="BL31">
        <f t="shared" si="35"/>
        <v>139</v>
      </c>
      <c r="BM31">
        <f t="shared" si="26"/>
        <v>42.860296005081899</v>
      </c>
      <c r="BN31">
        <f t="shared" si="27"/>
        <v>16.253596130370624</v>
      </c>
      <c r="BO31" s="88">
        <f t="shared" si="28"/>
        <v>119.95609211366245</v>
      </c>
      <c r="BP31">
        <f t="shared" si="29"/>
        <v>7.3626867816695032E-4</v>
      </c>
      <c r="BQ31">
        <f t="shared" si="30"/>
        <v>59.113892135452524</v>
      </c>
      <c r="BR31">
        <f t="shared" si="31"/>
        <v>903.01425629778339</v>
      </c>
      <c r="BS31">
        <f t="shared" si="32"/>
        <v>0.66486111285028071</v>
      </c>
      <c r="DA31" s="92">
        <f t="shared" si="36"/>
        <v>27</v>
      </c>
      <c r="DB31" s="95">
        <v>1.004</v>
      </c>
    </row>
    <row r="32" spans="1:110">
      <c r="E32" s="2"/>
      <c r="F32" s="5">
        <f>B16</f>
        <v>1</v>
      </c>
      <c r="G32" s="46">
        <f>G26*$C$12</f>
        <v>0.45454545454545453</v>
      </c>
      <c r="H32" s="5" t="s">
        <v>5</v>
      </c>
      <c r="I32" s="2"/>
      <c r="N32" s="27" t="s">
        <v>132</v>
      </c>
      <c r="O32" s="38">
        <f>K24*(O31/1000000)/2</f>
        <v>0.375</v>
      </c>
      <c r="P32" s="17" t="s">
        <v>7</v>
      </c>
      <c r="R32" s="15" t="s">
        <v>48</v>
      </c>
      <c r="S32" s="49">
        <f>20*LOG10(S31*1000000)</f>
        <v>75.237733537956771</v>
      </c>
      <c r="T32" s="15" t="s">
        <v>51</v>
      </c>
      <c r="U32" s="23"/>
      <c r="V32">
        <f t="shared" si="33"/>
        <v>10.625</v>
      </c>
      <c r="W32" s="56">
        <f t="shared" si="1"/>
        <v>20.526578774446982</v>
      </c>
      <c r="X32" s="56">
        <f t="shared" si="2"/>
        <v>1.2424061790301286</v>
      </c>
      <c r="Y32" s="56">
        <f t="shared" si="3"/>
        <v>137.30099929563784</v>
      </c>
      <c r="Z32" s="56">
        <f t="shared" si="4"/>
        <v>-45.314366309742638</v>
      </c>
      <c r="AA32" s="87">
        <f t="shared" si="0"/>
        <v>5.4235254759735022E-3</v>
      </c>
      <c r="AB32" s="86">
        <f t="shared" si="5"/>
        <v>21.768984953477112</v>
      </c>
      <c r="AC32" s="22">
        <f t="shared" si="6"/>
        <v>12.258836356455742</v>
      </c>
      <c r="AD32" s="102">
        <f t="shared" si="7"/>
        <v>6.6486111285027905E-2</v>
      </c>
      <c r="AE32" s="22">
        <f t="shared" si="8"/>
        <v>41.053157548893964</v>
      </c>
      <c r="AF32" s="22"/>
      <c r="AG32" s="22">
        <f t="shared" si="9"/>
        <v>6.5774593905344875E-2</v>
      </c>
      <c r="AH32" s="22">
        <f t="shared" si="10"/>
        <v>-11.819418245833813</v>
      </c>
      <c r="AI32" s="106">
        <f t="shared" si="11"/>
        <v>94.09161951172419</v>
      </c>
      <c r="AJ32" s="104"/>
      <c r="AK32" s="104"/>
      <c r="AL32" s="104"/>
      <c r="AM32" s="104">
        <f t="shared" si="12"/>
        <v>20.526578774446982</v>
      </c>
      <c r="AN32" s="109">
        <f t="shared" si="13"/>
        <v>85.598600698777091</v>
      </c>
      <c r="AO32" s="104"/>
      <c r="AP32" s="104">
        <f t="shared" si="14"/>
        <v>10.263289387223491</v>
      </c>
      <c r="AQ32" s="104">
        <f t="shared" si="15"/>
        <v>92.335311311553582</v>
      </c>
      <c r="AR32" s="104"/>
      <c r="AS32" s="104"/>
      <c r="AT32" s="104"/>
      <c r="AU32" s="104"/>
      <c r="AV32" s="104"/>
      <c r="AW32" s="104"/>
      <c r="AX32" s="22"/>
      <c r="AY32" s="22">
        <f t="shared" si="16"/>
        <v>0.15529245024743113</v>
      </c>
      <c r="AZ32" s="22">
        <f t="shared" si="17"/>
        <v>-8.0884965757202831</v>
      </c>
      <c r="BA32" s="104">
        <f t="shared" si="18"/>
        <v>117.82254118183772</v>
      </c>
      <c r="BB32">
        <f t="shared" si="34"/>
        <v>40.25</v>
      </c>
      <c r="BC32">
        <f t="shared" si="19"/>
        <v>32.095317694077742</v>
      </c>
      <c r="BD32">
        <f t="shared" si="20"/>
        <v>4.7065269370317813</v>
      </c>
      <c r="BE32" s="88">
        <f t="shared" si="21"/>
        <v>136.2475397047258</v>
      </c>
      <c r="BF32">
        <f t="shared" si="22"/>
        <v>4.8040631206264098E-3</v>
      </c>
      <c r="BG32">
        <f t="shared" si="23"/>
        <v>36.801844631109525</v>
      </c>
      <c r="BH32">
        <f t="shared" si="24"/>
        <v>69.197791135973574</v>
      </c>
      <c r="BI32">
        <f t="shared" si="25"/>
        <v>0.33243055642513974</v>
      </c>
      <c r="BL32">
        <f t="shared" si="35"/>
        <v>140.5</v>
      </c>
      <c r="BM32">
        <f t="shared" si="26"/>
        <v>42.953526484821971</v>
      </c>
      <c r="BN32">
        <f t="shared" si="27"/>
        <v>16.428994649763112</v>
      </c>
      <c r="BO32" s="88">
        <f t="shared" si="28"/>
        <v>119.68746311452988</v>
      </c>
      <c r="BP32">
        <f t="shared" si="29"/>
        <v>7.1384656730938542E-4</v>
      </c>
      <c r="BQ32">
        <f t="shared" si="30"/>
        <v>59.382521134585083</v>
      </c>
      <c r="BR32">
        <f t="shared" si="31"/>
        <v>931.37817466330307</v>
      </c>
      <c r="BS32">
        <f t="shared" si="32"/>
        <v>0.66486111285028016</v>
      </c>
      <c r="DA32" s="92">
        <f t="shared" si="36"/>
        <v>28</v>
      </c>
      <c r="DB32" s="95">
        <v>1.008</v>
      </c>
    </row>
    <row r="33" spans="6:106">
      <c r="F33" s="5">
        <f>B17</f>
        <v>2</v>
      </c>
      <c r="G33" s="46">
        <f t="shared" ref="G33:G35" si="40">G27*$C$12</f>
        <v>0.45454545454545453</v>
      </c>
      <c r="H33" s="5" t="s">
        <v>5</v>
      </c>
      <c r="J33" s="291" t="s">
        <v>119</v>
      </c>
      <c r="K33" s="291"/>
      <c r="L33" s="291"/>
      <c r="N33" s="26" t="s">
        <v>131</v>
      </c>
      <c r="O33" s="20">
        <v>1</v>
      </c>
      <c r="P33" s="26" t="s">
        <v>129</v>
      </c>
      <c r="R33" s="291" t="s">
        <v>96</v>
      </c>
      <c r="S33" s="291"/>
      <c r="T33" s="291"/>
      <c r="U33" s="12"/>
      <c r="V33">
        <f t="shared" si="33"/>
        <v>11</v>
      </c>
      <c r="W33" s="56">
        <f t="shared" si="1"/>
        <v>20.827853703164504</v>
      </c>
      <c r="X33" s="56">
        <f t="shared" si="2"/>
        <v>1.2862558088782505</v>
      </c>
      <c r="Y33" s="56">
        <f t="shared" si="3"/>
        <v>136.95587473707221</v>
      </c>
      <c r="Z33" s="56">
        <f t="shared" si="4"/>
        <v>-45.659490868308268</v>
      </c>
      <c r="AA33" s="87">
        <f t="shared" si="0"/>
        <v>5.212252623247325E-3</v>
      </c>
      <c r="AB33" s="86">
        <f t="shared" si="5"/>
        <v>22.114109512042756</v>
      </c>
      <c r="AC33" s="22">
        <f t="shared" si="6"/>
        <v>12.755734629686087</v>
      </c>
      <c r="AD33" s="102">
        <f t="shared" si="7"/>
        <v>6.6486111285028057E-2</v>
      </c>
      <c r="AE33" s="22">
        <f t="shared" si="8"/>
        <v>41.655707406329007</v>
      </c>
      <c r="AF33" s="22"/>
      <c r="AG33" s="22">
        <f t="shared" si="9"/>
        <v>7.0499440166503904E-2</v>
      </c>
      <c r="AH33" s="22">
        <f t="shared" si="10"/>
        <v>-11.518143317116296</v>
      </c>
      <c r="AI33" s="106">
        <f t="shared" si="11"/>
        <v>93.790344583006672</v>
      </c>
      <c r="AJ33" s="104"/>
      <c r="AK33" s="104"/>
      <c r="AL33" s="104"/>
      <c r="AM33" s="104">
        <f t="shared" si="12"/>
        <v>20.827853703164504</v>
      </c>
      <c r="AN33" s="109">
        <f t="shared" si="13"/>
        <v>85.253476140211419</v>
      </c>
      <c r="AO33" s="104"/>
      <c r="AP33" s="104">
        <f t="shared" si="14"/>
        <v>10.413926851582252</v>
      </c>
      <c r="AQ33" s="104">
        <f t="shared" si="15"/>
        <v>91.839549288629172</v>
      </c>
      <c r="AR33" s="104"/>
      <c r="AS33" s="104"/>
      <c r="AT33" s="104"/>
      <c r="AU33" s="104"/>
      <c r="AV33" s="104"/>
      <c r="AW33" s="104"/>
      <c r="AX33" s="22"/>
      <c r="AY33" s="22">
        <f t="shared" si="16"/>
        <v>0.16077336025616398</v>
      </c>
      <c r="AZ33" s="22">
        <f t="shared" si="17"/>
        <v>-7.9378591113615249</v>
      </c>
      <c r="BA33" s="104">
        <f t="shared" si="18"/>
        <v>117.37062878876145</v>
      </c>
      <c r="BB33">
        <f t="shared" si="34"/>
        <v>41</v>
      </c>
      <c r="BC33">
        <f t="shared" si="19"/>
        <v>32.255677134394709</v>
      </c>
      <c r="BD33">
        <f t="shared" si="20"/>
        <v>4.7942261967280251</v>
      </c>
      <c r="BE33" s="88">
        <f t="shared" si="21"/>
        <v>135.99948100471258</v>
      </c>
      <c r="BF33">
        <f t="shared" si="22"/>
        <v>4.6688053725050648E-3</v>
      </c>
      <c r="BG33">
        <f t="shared" si="23"/>
        <v>37.049903331122735</v>
      </c>
      <c r="BH33">
        <f t="shared" si="24"/>
        <v>71.202487553421534</v>
      </c>
      <c r="BI33">
        <f t="shared" si="25"/>
        <v>0.33243055642513947</v>
      </c>
      <c r="BL33">
        <f t="shared" si="35"/>
        <v>142</v>
      </c>
      <c r="BM33">
        <f t="shared" si="26"/>
        <v>43.045766887661124</v>
      </c>
      <c r="BN33">
        <f t="shared" si="27"/>
        <v>16.604393169155596</v>
      </c>
      <c r="BO33" s="88">
        <f t="shared" si="28"/>
        <v>119.41982419229824</v>
      </c>
      <c r="BP33">
        <f t="shared" si="29"/>
        <v>6.9218618845694234E-4</v>
      </c>
      <c r="BQ33">
        <f t="shared" si="30"/>
        <v>59.650160056816716</v>
      </c>
      <c r="BR33">
        <f t="shared" si="31"/>
        <v>960.52351800376607</v>
      </c>
      <c r="BS33">
        <f t="shared" si="32"/>
        <v>0.66486111285028004</v>
      </c>
      <c r="DA33" s="92">
        <f t="shared" si="36"/>
        <v>29</v>
      </c>
      <c r="DB33" s="95">
        <v>1.012</v>
      </c>
    </row>
    <row r="34" spans="6:106">
      <c r="F34" s="5">
        <f>B18</f>
        <v>3</v>
      </c>
      <c r="G34" s="46">
        <f t="shared" si="40"/>
        <v>11.36363636363636</v>
      </c>
      <c r="H34" s="5" t="s">
        <v>5</v>
      </c>
      <c r="J34" s="19" t="s">
        <v>120</v>
      </c>
      <c r="K34" s="38">
        <f>K31*K24</f>
        <v>1500000</v>
      </c>
      <c r="L34" s="17" t="s">
        <v>121</v>
      </c>
      <c r="N34" s="16" t="s">
        <v>133</v>
      </c>
      <c r="O34" s="38">
        <f>K24*(O33/1000)/2</f>
        <v>0.75</v>
      </c>
      <c r="P34" s="26" t="s">
        <v>7</v>
      </c>
      <c r="V34">
        <f t="shared" si="33"/>
        <v>11.375</v>
      </c>
      <c r="W34" s="56">
        <f t="shared" si="1"/>
        <v>21.119028106583002</v>
      </c>
      <c r="X34" s="56">
        <f t="shared" si="2"/>
        <v>1.3301054387263729</v>
      </c>
      <c r="Y34" s="56">
        <f t="shared" si="3"/>
        <v>136.62085070380556</v>
      </c>
      <c r="Z34" s="56">
        <f t="shared" si="4"/>
        <v>-45.994514901574917</v>
      </c>
      <c r="AA34" s="87">
        <f t="shared" si="0"/>
        <v>5.0150383096074147E-3</v>
      </c>
      <c r="AB34" s="86">
        <f t="shared" si="5"/>
        <v>22.449133545309376</v>
      </c>
      <c r="AC34" s="22">
        <f t="shared" si="6"/>
        <v>13.257348634338243</v>
      </c>
      <c r="AD34" s="102">
        <f t="shared" si="7"/>
        <v>6.6486111285027821E-2</v>
      </c>
      <c r="AE34" s="22">
        <f t="shared" si="8"/>
        <v>42.238056213166004</v>
      </c>
      <c r="AF34" s="22"/>
      <c r="AG34" s="22">
        <f t="shared" si="9"/>
        <v>7.5388153928049956E-2</v>
      </c>
      <c r="AH34" s="22">
        <f t="shared" si="10"/>
        <v>-11.226968913697794</v>
      </c>
      <c r="AI34" s="106">
        <f t="shared" si="11"/>
        <v>93.499170179588191</v>
      </c>
      <c r="AJ34" s="104"/>
      <c r="AK34" s="104"/>
      <c r="AL34" s="104"/>
      <c r="AM34" s="104">
        <f t="shared" si="12"/>
        <v>21.119028106583002</v>
      </c>
      <c r="AN34" s="109">
        <f t="shared" si="13"/>
        <v>84.918452106944798</v>
      </c>
      <c r="AO34" s="104"/>
      <c r="AP34" s="104">
        <f t="shared" si="14"/>
        <v>10.559514053291501</v>
      </c>
      <c r="AQ34" s="104">
        <f t="shared" si="15"/>
        <v>91.358938053653304</v>
      </c>
      <c r="AR34" s="104"/>
      <c r="AS34" s="104"/>
      <c r="AT34" s="104"/>
      <c r="AU34" s="104"/>
      <c r="AV34" s="104"/>
      <c r="AW34" s="104"/>
      <c r="AX34" s="22"/>
      <c r="AY34" s="22">
        <f t="shared" si="16"/>
        <v>0.16625427026489686</v>
      </c>
      <c r="AZ34" s="22">
        <f t="shared" si="17"/>
        <v>-7.7922719096522739</v>
      </c>
      <c r="BA34" s="104">
        <f t="shared" si="18"/>
        <v>116.93386718363371</v>
      </c>
      <c r="BB34">
        <f t="shared" si="34"/>
        <v>41.75</v>
      </c>
      <c r="BC34">
        <f t="shared" si="19"/>
        <v>32.413129596392416</v>
      </c>
      <c r="BD34">
        <f t="shared" si="20"/>
        <v>4.8819254564242698</v>
      </c>
      <c r="BE34" s="88">
        <f t="shared" si="21"/>
        <v>135.75432928301865</v>
      </c>
      <c r="BF34">
        <f t="shared" si="22"/>
        <v>4.5388745964323168E-3</v>
      </c>
      <c r="BG34">
        <f t="shared" si="23"/>
        <v>37.295055052816686</v>
      </c>
      <c r="BH34">
        <f t="shared" si="24"/>
        <v>73.240744894437</v>
      </c>
      <c r="BI34">
        <f t="shared" si="25"/>
        <v>0.33243055642514002</v>
      </c>
      <c r="BL34">
        <f t="shared" si="35"/>
        <v>143.5</v>
      </c>
      <c r="BM34">
        <f t="shared" si="26"/>
        <v>43.137038021400222</v>
      </c>
      <c r="BN34">
        <f t="shared" si="27"/>
        <v>16.779791688548087</v>
      </c>
      <c r="BO34" s="88">
        <f t="shared" si="28"/>
        <v>119.15315453916664</v>
      </c>
      <c r="BP34">
        <f t="shared" si="29"/>
        <v>6.7125795682040131E-4</v>
      </c>
      <c r="BQ34">
        <f t="shared" si="30"/>
        <v>59.91682970994831</v>
      </c>
      <c r="BR34">
        <f t="shared" si="31"/>
        <v>990.47036403050947</v>
      </c>
      <c r="BS34">
        <f t="shared" si="32"/>
        <v>0.66486111285027893</v>
      </c>
      <c r="DA34" s="92">
        <f t="shared" si="36"/>
        <v>30</v>
      </c>
      <c r="DB34" s="95">
        <v>1.016</v>
      </c>
    </row>
    <row r="35" spans="6:106">
      <c r="F35" s="5">
        <f>B19</f>
        <v>4</v>
      </c>
      <c r="G35" s="46">
        <f t="shared" si="40"/>
        <v>45.454545454545439</v>
      </c>
      <c r="H35" s="5" t="s">
        <v>5</v>
      </c>
      <c r="N35" s="26" t="s">
        <v>134</v>
      </c>
      <c r="O35" s="20">
        <v>2</v>
      </c>
      <c r="P35" s="26" t="s">
        <v>129</v>
      </c>
      <c r="R35" s="291" t="s">
        <v>109</v>
      </c>
      <c r="S35" s="291"/>
      <c r="T35" s="291"/>
      <c r="U35" s="12"/>
      <c r="V35">
        <f t="shared" si="33"/>
        <v>11.75</v>
      </c>
      <c r="W35" s="56">
        <f t="shared" si="1"/>
        <v>21.400757332155102</v>
      </c>
      <c r="X35" s="56">
        <f t="shared" si="2"/>
        <v>1.373955068574495</v>
      </c>
      <c r="Y35" s="56">
        <f t="shared" si="3"/>
        <v>136.29527184838534</v>
      </c>
      <c r="Z35" s="56">
        <f t="shared" si="4"/>
        <v>-46.320093756995135</v>
      </c>
      <c r="AA35" s="87">
        <f t="shared" si="0"/>
        <v>4.8305358784765089E-3</v>
      </c>
      <c r="AB35" s="86">
        <f t="shared" si="5"/>
        <v>22.774712400729598</v>
      </c>
      <c r="AC35" s="22">
        <f t="shared" si="6"/>
        <v>13.763713376246931</v>
      </c>
      <c r="AD35" s="102">
        <f t="shared" si="7"/>
        <v>6.6486111285027849E-2</v>
      </c>
      <c r="AE35" s="22">
        <f t="shared" si="8"/>
        <v>42.801514664310204</v>
      </c>
      <c r="AF35" s="22"/>
      <c r="AG35" s="22">
        <f t="shared" si="9"/>
        <v>8.0440735189983015E-2</v>
      </c>
      <c r="AH35" s="22">
        <f t="shared" si="10"/>
        <v>-10.945239688125694</v>
      </c>
      <c r="AI35" s="106">
        <f t="shared" si="11"/>
        <v>93.21744095401607</v>
      </c>
      <c r="AJ35" s="104"/>
      <c r="AK35" s="104"/>
      <c r="AL35" s="104"/>
      <c r="AM35" s="104">
        <f t="shared" si="12"/>
        <v>21.400757332155102</v>
      </c>
      <c r="AN35" s="109">
        <f t="shared" si="13"/>
        <v>84.592873251524594</v>
      </c>
      <c r="AO35" s="104"/>
      <c r="AP35" s="104">
        <f t="shared" si="14"/>
        <v>10.700378666077551</v>
      </c>
      <c r="AQ35" s="104">
        <f t="shared" si="15"/>
        <v>90.892494585447025</v>
      </c>
      <c r="AR35" s="104"/>
      <c r="AS35" s="104"/>
      <c r="AT35" s="104"/>
      <c r="AU35" s="104"/>
      <c r="AV35" s="104"/>
      <c r="AW35" s="104"/>
      <c r="AX35" s="22"/>
      <c r="AY35" s="22">
        <f t="shared" si="16"/>
        <v>0.17173518027362972</v>
      </c>
      <c r="AZ35" s="22">
        <f t="shared" si="17"/>
        <v>-7.6514072968662239</v>
      </c>
      <c r="BA35" s="104">
        <f t="shared" si="18"/>
        <v>116.51127334527554</v>
      </c>
      <c r="BB35">
        <f t="shared" si="34"/>
        <v>42.5</v>
      </c>
      <c r="BC35">
        <f t="shared" si="19"/>
        <v>32.567778601006232</v>
      </c>
      <c r="BD35">
        <f t="shared" si="20"/>
        <v>4.9696247161205145</v>
      </c>
      <c r="BE35" s="88">
        <f t="shared" si="21"/>
        <v>135.51198101870858</v>
      </c>
      <c r="BF35">
        <f t="shared" si="22"/>
        <v>4.4139841635047299E-3</v>
      </c>
      <c r="BG35">
        <f t="shared" si="23"/>
        <v>37.537403317126746</v>
      </c>
      <c r="BH35">
        <f t="shared" si="24"/>
        <v>75.313037861284002</v>
      </c>
      <c r="BI35">
        <f t="shared" si="25"/>
        <v>0.33243055642513969</v>
      </c>
      <c r="BL35">
        <f t="shared" si="35"/>
        <v>145</v>
      </c>
      <c r="BM35">
        <f t="shared" si="26"/>
        <v>43.227360044699495</v>
      </c>
      <c r="BN35">
        <f t="shared" si="27"/>
        <v>16.955190207940575</v>
      </c>
      <c r="BO35" s="88">
        <f t="shared" si="28"/>
        <v>118.88743399647491</v>
      </c>
      <c r="BP35">
        <f t="shared" si="29"/>
        <v>6.5103362453347103E-4</v>
      </c>
      <c r="BQ35">
        <f t="shared" si="30"/>
        <v>60.18255025264007</v>
      </c>
      <c r="BR35">
        <f t="shared" si="31"/>
        <v>1021.2392844174824</v>
      </c>
      <c r="BS35">
        <f t="shared" si="32"/>
        <v>0.66486111285028182</v>
      </c>
    </row>
    <row r="36" spans="6:106">
      <c r="N36" s="16" t="s">
        <v>135</v>
      </c>
      <c r="O36" s="38">
        <f>K24*(O35/1000)/2</f>
        <v>1.5</v>
      </c>
      <c r="P36" s="26" t="s">
        <v>7</v>
      </c>
      <c r="R36" s="19" t="s">
        <v>110</v>
      </c>
      <c r="S36" s="50">
        <f>10*LOG10(G6/(2*PI()*(C8/200)))+6.9</f>
        <v>-7.8942110573370208</v>
      </c>
      <c r="T36" s="17" t="s">
        <v>113</v>
      </c>
      <c r="U36" s="12"/>
      <c r="V36">
        <f>V35+$O$32</f>
        <v>12.125</v>
      </c>
      <c r="W36" s="56">
        <f t="shared" si="1"/>
        <v>21.673634945486025</v>
      </c>
      <c r="X36" s="56">
        <f t="shared" si="2"/>
        <v>1.4178046984226171</v>
      </c>
      <c r="Y36" s="56">
        <f t="shared" si="3"/>
        <v>135.97854460520631</v>
      </c>
      <c r="Z36" s="56">
        <f t="shared" si="4"/>
        <v>-46.636821000174166</v>
      </c>
      <c r="AA36" s="87">
        <f t="shared" si="0"/>
        <v>4.6575652730232444E-3</v>
      </c>
      <c r="AB36" s="86">
        <f t="shared" si="5"/>
        <v>23.091439643908643</v>
      </c>
      <c r="AC36" s="22">
        <f t="shared" si="6"/>
        <v>14.274864094791626</v>
      </c>
      <c r="AD36" s="102">
        <f t="shared" si="7"/>
        <v>6.6486111285027863E-2</v>
      </c>
      <c r="AE36" s="22">
        <f t="shared" si="8"/>
        <v>43.347269890972051</v>
      </c>
      <c r="AF36" s="22"/>
      <c r="AG36" s="22">
        <f t="shared" si="9"/>
        <v>8.5657183952303109E-2</v>
      </c>
      <c r="AH36" s="22">
        <f t="shared" si="10"/>
        <v>-10.672362074794769</v>
      </c>
      <c r="AI36" s="106">
        <f t="shared" si="11"/>
        <v>92.944563340685164</v>
      </c>
      <c r="AJ36" s="104"/>
      <c r="AK36" s="104"/>
      <c r="AL36" s="104"/>
      <c r="AM36" s="104">
        <f t="shared" si="12"/>
        <v>21.673634945486025</v>
      </c>
      <c r="AN36" s="109">
        <f t="shared" si="13"/>
        <v>84.276146008345549</v>
      </c>
      <c r="AO36" s="104"/>
      <c r="AP36" s="104">
        <f t="shared" si="14"/>
        <v>10.836817472743013</v>
      </c>
      <c r="AQ36" s="104">
        <f t="shared" si="15"/>
        <v>90.439328535602527</v>
      </c>
      <c r="AR36" s="104"/>
      <c r="AS36" s="104"/>
      <c r="AT36" s="104"/>
      <c r="AU36" s="104"/>
      <c r="AV36" s="104"/>
      <c r="AW36" s="104"/>
      <c r="AX36" s="22"/>
      <c r="AY36" s="22">
        <f t="shared" si="16"/>
        <v>0.1772160902823626</v>
      </c>
      <c r="AZ36" s="22">
        <f t="shared" si="17"/>
        <v>-7.5149684902007614</v>
      </c>
      <c r="BA36" s="104">
        <f t="shared" si="18"/>
        <v>116.10195692527917</v>
      </c>
      <c r="BB36">
        <f t="shared" si="34"/>
        <v>43.25</v>
      </c>
      <c r="BC36">
        <f t="shared" si="19"/>
        <v>32.719722236016658</v>
      </c>
      <c r="BD36">
        <f t="shared" si="20"/>
        <v>5.0573239758167574</v>
      </c>
      <c r="BE36" s="88">
        <f t="shared" si="21"/>
        <v>135.27233812400192</v>
      </c>
      <c r="BF36">
        <f t="shared" si="22"/>
        <v>4.293867372128328E-3</v>
      </c>
      <c r="BG36">
        <f t="shared" si="23"/>
        <v>37.777046211833415</v>
      </c>
      <c r="BH36">
        <f t="shared" si="24"/>
        <v>77.419847334587132</v>
      </c>
      <c r="BI36">
        <f t="shared" si="25"/>
        <v>0.33243055642513997</v>
      </c>
      <c r="BL36">
        <f t="shared" si="35"/>
        <v>146.5</v>
      </c>
      <c r="BM36">
        <f t="shared" si="26"/>
        <v>43.316752493802568</v>
      </c>
      <c r="BN36">
        <f t="shared" si="27"/>
        <v>17.130588727333063</v>
      </c>
      <c r="BO36" s="88">
        <f t="shared" si="28"/>
        <v>118.62264302797935</v>
      </c>
      <c r="BP36">
        <f t="shared" si="29"/>
        <v>6.3148620997920395E-4</v>
      </c>
      <c r="BQ36">
        <f t="shared" si="30"/>
        <v>60.44734122113563</v>
      </c>
      <c r="BR36">
        <f t="shared" si="31"/>
        <v>1052.8513565991846</v>
      </c>
      <c r="BS36">
        <f t="shared" si="32"/>
        <v>0.66486111285028238</v>
      </c>
    </row>
    <row r="37" spans="6:106">
      <c r="J37" s="2"/>
      <c r="K37" s="2"/>
      <c r="L37" s="2"/>
      <c r="R37" s="295" t="s">
        <v>111</v>
      </c>
      <c r="S37" s="295"/>
      <c r="T37" s="295"/>
      <c r="U37" s="23"/>
      <c r="V37">
        <f t="shared" si="33"/>
        <v>12.5</v>
      </c>
      <c r="W37" s="56">
        <f t="shared" si="1"/>
        <v>21.938200260161128</v>
      </c>
      <c r="X37" s="56">
        <f t="shared" si="2"/>
        <v>1.4616543282707395</v>
      </c>
      <c r="Y37" s="56">
        <f t="shared" si="3"/>
        <v>135.6701296606831</v>
      </c>
      <c r="Z37" s="56">
        <f t="shared" si="4"/>
        <v>-46.945235944697373</v>
      </c>
      <c r="AA37" s="87">
        <f t="shared" ref="AA37:AA57" si="41">POWER(10,0.05*(Y37+$C$27))</f>
        <v>4.4950880461854317E-3</v>
      </c>
      <c r="AB37" s="86">
        <f t="shared" si="5"/>
        <v>23.399854588431868</v>
      </c>
      <c r="AC37" s="22">
        <f t="shared" si="6"/>
        <v>14.790836264363881</v>
      </c>
      <c r="AD37" s="102">
        <f t="shared" si="7"/>
        <v>6.6486111285028071E-2</v>
      </c>
      <c r="AE37" s="22">
        <f t="shared" si="8"/>
        <v>43.876400520322257</v>
      </c>
      <c r="AF37" s="22"/>
      <c r="AG37" s="22">
        <f t="shared" si="9"/>
        <v>9.1037500215010211E-2</v>
      </c>
      <c r="AH37" s="22">
        <f t="shared" si="10"/>
        <v>-10.407796760119668</v>
      </c>
      <c r="AI37" s="106">
        <f t="shared" si="11"/>
        <v>92.679998026010068</v>
      </c>
      <c r="AJ37" s="104"/>
      <c r="AK37" s="104"/>
      <c r="AL37" s="104"/>
      <c r="AM37" s="104">
        <f t="shared" si="12"/>
        <v>21.938200260161128</v>
      </c>
      <c r="AN37" s="109">
        <f t="shared" si="13"/>
        <v>83.967731063822299</v>
      </c>
      <c r="AO37" s="104"/>
      <c r="AP37" s="104">
        <f t="shared" si="14"/>
        <v>10.969100130080564</v>
      </c>
      <c r="AQ37" s="104">
        <f t="shared" si="15"/>
        <v>89.998630933741751</v>
      </c>
      <c r="AR37" s="104"/>
      <c r="AS37" s="104"/>
      <c r="AT37" s="104"/>
      <c r="AU37" s="104"/>
      <c r="AV37" s="104"/>
      <c r="AW37" s="104"/>
      <c r="AX37" s="22"/>
      <c r="AY37" s="22">
        <f t="shared" si="16"/>
        <v>0.18269700029109545</v>
      </c>
      <c r="AZ37" s="22">
        <f t="shared" si="17"/>
        <v>-7.3826858328632108</v>
      </c>
      <c r="BA37" s="104">
        <f t="shared" si="18"/>
        <v>115.70510895326652</v>
      </c>
      <c r="BB37">
        <f t="shared" si="34"/>
        <v>44</v>
      </c>
      <c r="BC37">
        <f t="shared" si="19"/>
        <v>32.86905352972375</v>
      </c>
      <c r="BD37">
        <f t="shared" si="20"/>
        <v>5.1450232355130021</v>
      </c>
      <c r="BE37" s="88">
        <f t="shared" si="21"/>
        <v>135.03530757059858</v>
      </c>
      <c r="BF37">
        <f t="shared" si="22"/>
        <v>4.1782757492185843E-3</v>
      </c>
      <c r="BG37">
        <f t="shared" si="23"/>
        <v>38.014076765236751</v>
      </c>
      <c r="BH37">
        <f t="shared" si="24"/>
        <v>79.561660449842364</v>
      </c>
      <c r="BI37">
        <f t="shared" si="25"/>
        <v>0.33243055642513969</v>
      </c>
      <c r="BL37">
        <f t="shared" si="35"/>
        <v>148</v>
      </c>
      <c r="BM37">
        <f t="shared" si="26"/>
        <v>43.40523430789915</v>
      </c>
      <c r="BN37">
        <f t="shared" si="27"/>
        <v>17.305987246725554</v>
      </c>
      <c r="BO37" s="88">
        <f t="shared" si="28"/>
        <v>118.35876269449027</v>
      </c>
      <c r="BP37">
        <f t="shared" si="29"/>
        <v>6.1258993145831702E-4</v>
      </c>
      <c r="BQ37">
        <f t="shared" si="30"/>
        <v>60.7112215546247</v>
      </c>
      <c r="BR37">
        <f t="shared" si="31"/>
        <v>1085.3281758443675</v>
      </c>
      <c r="BS37">
        <f t="shared" si="32"/>
        <v>0.66486111285028127</v>
      </c>
    </row>
    <row r="38" spans="6:106">
      <c r="R38" s="17" t="s">
        <v>115</v>
      </c>
      <c r="S38" s="38">
        <f>1*POWER(10,0.1*S36)</f>
        <v>0.16239733359208486</v>
      </c>
      <c r="T38" s="17" t="s">
        <v>19</v>
      </c>
      <c r="U38" s="12"/>
      <c r="V38">
        <f t="shared" si="33"/>
        <v>12.875</v>
      </c>
      <c r="W38" s="56">
        <f t="shared" si="1"/>
        <v>22.194944754264576</v>
      </c>
      <c r="X38" s="56">
        <f t="shared" si="2"/>
        <v>1.5055039581188614</v>
      </c>
      <c r="Y38" s="56">
        <f t="shared" si="3"/>
        <v>135.36953553673152</v>
      </c>
      <c r="Z38" s="56">
        <f t="shared" si="4"/>
        <v>-47.245830068648957</v>
      </c>
      <c r="AA38" s="87">
        <f t="shared" si="41"/>
        <v>4.3421867378736585E-3</v>
      </c>
      <c r="AB38" s="86">
        <f t="shared" si="5"/>
        <v>23.700448712383437</v>
      </c>
      <c r="AC38" s="22">
        <f t="shared" si="6"/>
        <v>15.311665595843483</v>
      </c>
      <c r="AD38" s="102">
        <f t="shared" si="7"/>
        <v>6.6486111285027946E-2</v>
      </c>
      <c r="AE38" s="22">
        <f t="shared" si="8"/>
        <v>44.389889508529151</v>
      </c>
      <c r="AF38" s="22"/>
      <c r="AG38" s="22">
        <f t="shared" si="9"/>
        <v>9.6581683978104335E-2</v>
      </c>
      <c r="AH38" s="22">
        <f t="shared" si="10"/>
        <v>-10.151052266016222</v>
      </c>
      <c r="AI38" s="106">
        <f t="shared" si="11"/>
        <v>92.423253531906596</v>
      </c>
      <c r="AJ38" s="104"/>
      <c r="AK38" s="104"/>
      <c r="AL38" s="104"/>
      <c r="AM38" s="104">
        <f t="shared" si="12"/>
        <v>22.194944754264576</v>
      </c>
      <c r="AN38" s="109">
        <f t="shared" si="13"/>
        <v>83.667136939870744</v>
      </c>
      <c r="AO38" s="104"/>
      <c r="AP38" s="104">
        <f t="shared" si="14"/>
        <v>11.097472377132288</v>
      </c>
      <c r="AQ38" s="104">
        <f t="shared" si="15"/>
        <v>89.569664562738467</v>
      </c>
      <c r="AR38" s="104"/>
      <c r="AS38" s="104"/>
      <c r="AT38" s="104"/>
      <c r="AU38" s="104"/>
      <c r="AV38" s="104"/>
      <c r="AW38" s="104"/>
      <c r="AX38" s="22"/>
      <c r="AY38" s="22">
        <f t="shared" si="16"/>
        <v>0.18817791029982833</v>
      </c>
      <c r="AZ38" s="22">
        <f t="shared" si="17"/>
        <v>-7.254313585811488</v>
      </c>
      <c r="BA38" s="104">
        <f t="shared" si="18"/>
        <v>115.31999221211133</v>
      </c>
      <c r="BB38">
        <f t="shared" si="34"/>
        <v>44.75</v>
      </c>
      <c r="BC38">
        <f t="shared" si="19"/>
        <v>33.015860793038613</v>
      </c>
      <c r="BD38">
        <f t="shared" si="20"/>
        <v>5.2327224952092468</v>
      </c>
      <c r="BE38" s="88">
        <f t="shared" si="21"/>
        <v>134.80080104758747</v>
      </c>
      <c r="BF38">
        <f t="shared" si="22"/>
        <v>4.066977522234113E-3</v>
      </c>
      <c r="BG38">
        <f t="shared" si="23"/>
        <v>38.248583288247858</v>
      </c>
      <c r="BH38">
        <f t="shared" si="24"/>
        <v>81.738970674842975</v>
      </c>
      <c r="BI38">
        <f t="shared" si="25"/>
        <v>0.33243055642513969</v>
      </c>
      <c r="BL38">
        <f t="shared" si="35"/>
        <v>149.5</v>
      </c>
      <c r="BM38">
        <f t="shared" si="26"/>
        <v>43.492823853208968</v>
      </c>
      <c r="BN38">
        <f t="shared" si="27"/>
        <v>17.481385766118041</v>
      </c>
      <c r="BO38" s="88">
        <f t="shared" si="28"/>
        <v>118.09577462978795</v>
      </c>
      <c r="BP38">
        <f t="shared" si="29"/>
        <v>5.943201448935085E-4</v>
      </c>
      <c r="BQ38">
        <f t="shared" si="30"/>
        <v>60.974209619327013</v>
      </c>
      <c r="BR38">
        <f t="shared" si="31"/>
        <v>1118.6918676118785</v>
      </c>
      <c r="BS38">
        <f t="shared" si="32"/>
        <v>0.66486111285028127</v>
      </c>
    </row>
    <row r="39" spans="6:106">
      <c r="V39">
        <f t="shared" si="33"/>
        <v>13.25</v>
      </c>
      <c r="W39" s="56">
        <f t="shared" si="1"/>
        <v>22.444317565456533</v>
      </c>
      <c r="X39" s="56">
        <f t="shared" si="2"/>
        <v>1.5493535879669837</v>
      </c>
      <c r="Y39" s="56">
        <f t="shared" si="3"/>
        <v>135.07631309569143</v>
      </c>
      <c r="Z39" s="56">
        <f t="shared" si="4"/>
        <v>-47.539052509689043</v>
      </c>
      <c r="AA39" s="87">
        <f t="shared" si="41"/>
        <v>4.1980477541594032E-3</v>
      </c>
      <c r="AB39" s="86">
        <f t="shared" si="5"/>
        <v>23.993671153423517</v>
      </c>
      <c r="AC39" s="22">
        <f t="shared" si="6"/>
        <v>15.837388038083613</v>
      </c>
      <c r="AD39" s="102">
        <f t="shared" si="7"/>
        <v>6.6486111285027905E-2</v>
      </c>
      <c r="AE39" s="22">
        <f t="shared" si="8"/>
        <v>44.888635130913066</v>
      </c>
      <c r="AF39" s="22"/>
      <c r="AG39" s="22">
        <f t="shared" si="9"/>
        <v>0.10228973524158547</v>
      </c>
      <c r="AH39" s="22">
        <f t="shared" si="10"/>
        <v>-9.9016794548242633</v>
      </c>
      <c r="AI39" s="106">
        <f t="shared" si="11"/>
        <v>92.173880720714664</v>
      </c>
      <c r="AJ39" s="104"/>
      <c r="AK39" s="104"/>
      <c r="AL39" s="104"/>
      <c r="AM39" s="104">
        <f t="shared" si="12"/>
        <v>22.444317565456533</v>
      </c>
      <c r="AN39" s="109">
        <f t="shared" si="13"/>
        <v>83.373914498830644</v>
      </c>
      <c r="AO39" s="104"/>
      <c r="AP39" s="104">
        <f t="shared" si="14"/>
        <v>11.222158782728267</v>
      </c>
      <c r="AQ39" s="104">
        <f t="shared" si="15"/>
        <v>89.1517557161024</v>
      </c>
      <c r="AR39" s="104"/>
      <c r="AS39" s="104"/>
      <c r="AT39" s="104"/>
      <c r="AU39" s="104"/>
      <c r="AV39" s="104"/>
      <c r="AW39" s="104"/>
      <c r="AX39" s="22"/>
      <c r="AY39" s="22">
        <f t="shared" si="16"/>
        <v>0.19365882030856119</v>
      </c>
      <c r="AZ39" s="22">
        <f t="shared" si="17"/>
        <v>-7.1296271802155076</v>
      </c>
      <c r="BA39" s="104">
        <f t="shared" si="18"/>
        <v>114.94593299532342</v>
      </c>
      <c r="BB39">
        <f t="shared" si="34"/>
        <v>45.5</v>
      </c>
      <c r="BC39">
        <f t="shared" si="19"/>
        <v>33.160227933142245</v>
      </c>
      <c r="BD39">
        <f t="shared" si="20"/>
        <v>5.3204217549054915</v>
      </c>
      <c r="BE39" s="88">
        <f t="shared" si="21"/>
        <v>134.56873464778761</v>
      </c>
      <c r="BF39">
        <f t="shared" si="22"/>
        <v>3.9597562423320781E-3</v>
      </c>
      <c r="BG39">
        <f t="shared" si="23"/>
        <v>38.480649688047734</v>
      </c>
      <c r="BH39">
        <f t="shared" si="24"/>
        <v>83.952277888034089</v>
      </c>
      <c r="BI39">
        <f t="shared" si="25"/>
        <v>0.33243055642514024</v>
      </c>
      <c r="BL39">
        <f t="shared" si="35"/>
        <v>151</v>
      </c>
      <c r="BM39">
        <f t="shared" si="26"/>
        <v>43.579538945863384</v>
      </c>
      <c r="BN39">
        <f t="shared" si="27"/>
        <v>17.656784285510533</v>
      </c>
      <c r="BO39" s="88">
        <f t="shared" si="28"/>
        <v>117.83366101774105</v>
      </c>
      <c r="BP39">
        <f t="shared" si="29"/>
        <v>5.7665328528832063E-4</v>
      </c>
      <c r="BQ39">
        <f t="shared" si="30"/>
        <v>61.236323231373916</v>
      </c>
      <c r="BR39">
        <f t="shared" si="31"/>
        <v>1152.9651001950986</v>
      </c>
      <c r="BS39">
        <f t="shared" si="32"/>
        <v>0.66486111285028138</v>
      </c>
    </row>
    <row r="40" spans="6:106">
      <c r="N40" s="107" t="s">
        <v>163</v>
      </c>
      <c r="O40">
        <f>20*LOG10(G6/(2*PI()*(C8/200)))+7.7</f>
        <v>-21.888422114674043</v>
      </c>
      <c r="R40" s="286" t="s">
        <v>126</v>
      </c>
      <c r="S40" s="289"/>
      <c r="T40" s="287"/>
      <c r="U40" s="23"/>
      <c r="V40">
        <f t="shared" si="33"/>
        <v>13.625</v>
      </c>
      <c r="W40" s="56">
        <f t="shared" si="1"/>
        <v>22.686730218973601</v>
      </c>
      <c r="X40" s="56">
        <f t="shared" si="2"/>
        <v>1.5932032178151059</v>
      </c>
      <c r="Y40" s="56">
        <f t="shared" si="3"/>
        <v>134.79005081232626</v>
      </c>
      <c r="Z40" s="56">
        <f t="shared" si="4"/>
        <v>-47.825314793054218</v>
      </c>
      <c r="AA40" s="87">
        <f t="shared" si="41"/>
        <v>4.0619470737530902E-3</v>
      </c>
      <c r="AB40" s="86">
        <f t="shared" si="5"/>
        <v>24.279933436788706</v>
      </c>
      <c r="AC40" s="22">
        <f t="shared" si="6"/>
        <v>16.368039779404942</v>
      </c>
      <c r="AD40" s="102">
        <f t="shared" si="7"/>
        <v>6.6486111285028085E-2</v>
      </c>
      <c r="AE40" s="22">
        <f t="shared" si="8"/>
        <v>45.373460437947202</v>
      </c>
      <c r="AF40" s="22"/>
      <c r="AG40" s="22">
        <f t="shared" si="9"/>
        <v>0.10816165400545363</v>
      </c>
      <c r="AH40" s="22">
        <f t="shared" si="10"/>
        <v>-9.6592668013071954</v>
      </c>
      <c r="AI40" s="106">
        <f t="shared" si="11"/>
        <v>91.931468067197599</v>
      </c>
      <c r="AJ40" s="104"/>
      <c r="AK40" s="104"/>
      <c r="AL40" s="104"/>
      <c r="AM40" s="104">
        <f t="shared" si="12"/>
        <v>22.686730218973601</v>
      </c>
      <c r="AN40" s="109">
        <f t="shared" si="13"/>
        <v>83.087652215465454</v>
      </c>
      <c r="AO40" s="104"/>
      <c r="AP40" s="104">
        <f t="shared" si="14"/>
        <v>11.3433651094868</v>
      </c>
      <c r="AQ40" s="104">
        <f t="shared" si="15"/>
        <v>88.744287105978685</v>
      </c>
      <c r="AR40" s="104"/>
      <c r="AS40" s="104"/>
      <c r="AT40" s="104"/>
      <c r="AU40" s="104"/>
      <c r="AV40" s="104"/>
      <c r="AW40" s="104"/>
      <c r="AX40" s="22"/>
      <c r="AY40" s="22">
        <f t="shared" si="16"/>
        <v>0.19913973031729404</v>
      </c>
      <c r="AZ40" s="22">
        <f t="shared" si="17"/>
        <v>-7.0084208534569745</v>
      </c>
      <c r="BA40" s="104">
        <f t="shared" si="18"/>
        <v>114.58231401504783</v>
      </c>
      <c r="BB40">
        <f t="shared" si="34"/>
        <v>46.25</v>
      </c>
      <c r="BC40">
        <f t="shared" si="19"/>
        <v>33.302234741501032</v>
      </c>
      <c r="BD40">
        <f t="shared" si="20"/>
        <v>5.4081210146017353</v>
      </c>
      <c r="BE40" s="88">
        <f t="shared" si="21"/>
        <v>134.33902857973257</v>
      </c>
      <c r="BF40">
        <f t="shared" si="22"/>
        <v>3.8564095414911517E-3</v>
      </c>
      <c r="BG40">
        <f t="shared" si="23"/>
        <v>38.710355756102764</v>
      </c>
      <c r="BH40">
        <f t="shared" si="24"/>
        <v>86.202088457804095</v>
      </c>
      <c r="BI40">
        <f t="shared" si="25"/>
        <v>0.33243055642513997</v>
      </c>
      <c r="BL40">
        <f t="shared" si="35"/>
        <v>152.5</v>
      </c>
      <c r="BM40">
        <f t="shared" si="26"/>
        <v>43.665396873656093</v>
      </c>
      <c r="BN40">
        <f t="shared" si="27"/>
        <v>17.83218280490302</v>
      </c>
      <c r="BO40" s="88">
        <f t="shared" si="28"/>
        <v>117.57240457055583</v>
      </c>
      <c r="BP40">
        <f t="shared" si="29"/>
        <v>5.5956681168119909E-4</v>
      </c>
      <c r="BQ40">
        <f t="shared" si="30"/>
        <v>61.497579678559113</v>
      </c>
      <c r="BR40">
        <f t="shared" si="31"/>
        <v>1188.1710976616491</v>
      </c>
      <c r="BS40">
        <f t="shared" si="32"/>
        <v>0.6648611128502796</v>
      </c>
    </row>
    <row r="41" spans="6:106">
      <c r="O41">
        <f>1*POWER(10,0.1*O40)</f>
        <v>6.4737777930673921E-3</v>
      </c>
      <c r="R41" s="26">
        <v>1</v>
      </c>
      <c r="S41" s="50">
        <f>10*LOG10(K14/1000000)</f>
        <v>-39.208187539523756</v>
      </c>
      <c r="T41" s="26" t="s">
        <v>114</v>
      </c>
      <c r="U41" s="12"/>
      <c r="V41">
        <f t="shared" si="33"/>
        <v>14</v>
      </c>
      <c r="W41" s="56">
        <f t="shared" si="1"/>
        <v>22.92256071356476</v>
      </c>
      <c r="X41" s="56">
        <f t="shared" si="2"/>
        <v>1.637052847663228</v>
      </c>
      <c r="Y41" s="56">
        <f t="shared" si="3"/>
        <v>134.51037068788696</v>
      </c>
      <c r="Z41" s="56">
        <f t="shared" si="4"/>
        <v>-48.104994917493514</v>
      </c>
      <c r="AA41" s="87">
        <f t="shared" si="41"/>
        <v>3.9332382516554399E-3</v>
      </c>
      <c r="AB41" s="86">
        <f t="shared" si="5"/>
        <v>24.559613561227987</v>
      </c>
      <c r="AC41" s="22">
        <f t="shared" si="6"/>
        <v>16.903657249098739</v>
      </c>
      <c r="AD41" s="102">
        <f t="shared" si="7"/>
        <v>6.6486111285027932E-2</v>
      </c>
      <c r="AE41" s="22">
        <f t="shared" si="8"/>
        <v>45.84512142712952</v>
      </c>
      <c r="AF41" s="22"/>
      <c r="AG41" s="22">
        <f t="shared" si="9"/>
        <v>0.11419744026970881</v>
      </c>
      <c r="AH41" s="22">
        <f t="shared" si="10"/>
        <v>-9.4234363067160345</v>
      </c>
      <c r="AI41" s="106">
        <f t="shared" si="11"/>
        <v>91.695637572606415</v>
      </c>
      <c r="AJ41" s="104"/>
      <c r="AK41" s="104"/>
      <c r="AL41" s="104"/>
      <c r="AM41" s="104">
        <f t="shared" si="12"/>
        <v>22.92256071356476</v>
      </c>
      <c r="AN41" s="109">
        <f t="shared" si="13"/>
        <v>82.807972091026187</v>
      </c>
      <c r="AO41" s="104"/>
      <c r="AP41" s="104">
        <f t="shared" si="14"/>
        <v>11.46128035678238</v>
      </c>
      <c r="AQ41" s="104">
        <f t="shared" si="15"/>
        <v>88.346691734243819</v>
      </c>
      <c r="AR41" s="104"/>
      <c r="AS41" s="104"/>
      <c r="AT41" s="104"/>
      <c r="AU41" s="104"/>
      <c r="AV41" s="104"/>
      <c r="AW41" s="104"/>
      <c r="AX41" s="22"/>
      <c r="AY41" s="22">
        <f t="shared" si="16"/>
        <v>0.20462064032602689</v>
      </c>
      <c r="AZ41" s="22">
        <f t="shared" si="17"/>
        <v>-6.8905056061613941</v>
      </c>
      <c r="BA41" s="104">
        <f t="shared" si="18"/>
        <v>114.22856827316106</v>
      </c>
      <c r="BB41">
        <f t="shared" si="34"/>
        <v>47</v>
      </c>
      <c r="BC41">
        <f t="shared" si="19"/>
        <v>33.441957158714352</v>
      </c>
      <c r="BD41">
        <f t="shared" si="20"/>
        <v>5.49582027429798</v>
      </c>
      <c r="BE41" s="88">
        <f t="shared" si="21"/>
        <v>134.11160690282298</v>
      </c>
      <c r="BF41">
        <f t="shared" si="22"/>
        <v>3.7567480086374478E-3</v>
      </c>
      <c r="BG41">
        <f t="shared" si="23"/>
        <v>38.937777433012329</v>
      </c>
      <c r="BH41">
        <f t="shared" si="24"/>
        <v>88.488915322726115</v>
      </c>
      <c r="BI41">
        <f t="shared" si="25"/>
        <v>0.33243055642513908</v>
      </c>
      <c r="BL41">
        <f t="shared" si="35"/>
        <v>154</v>
      </c>
      <c r="BM41">
        <f t="shared" si="26"/>
        <v>43.750414416729264</v>
      </c>
      <c r="BN41">
        <f t="shared" si="27"/>
        <v>18.007581324295508</v>
      </c>
      <c r="BO41" s="88">
        <f t="shared" si="28"/>
        <v>117.31198850809021</v>
      </c>
      <c r="BP41">
        <f t="shared" si="29"/>
        <v>5.4303915535566794E-4</v>
      </c>
      <c r="BQ41">
        <f t="shared" si="30"/>
        <v>61.757995741024772</v>
      </c>
      <c r="BR41">
        <f t="shared" si="31"/>
        <v>1224.333653095099</v>
      </c>
      <c r="BS41">
        <f t="shared" si="32"/>
        <v>0.66486111285028193</v>
      </c>
    </row>
    <row r="42" spans="6:106">
      <c r="R42" s="26">
        <v>2</v>
      </c>
      <c r="S42" s="50">
        <f>10*LOG10(K15/1000000)</f>
        <v>-36.197887582883943</v>
      </c>
      <c r="T42" s="26" t="s">
        <v>114</v>
      </c>
      <c r="U42" s="12"/>
      <c r="V42">
        <f t="shared" si="33"/>
        <v>14.375</v>
      </c>
      <c r="W42" s="56">
        <f t="shared" si="1"/>
        <v>23.152157067233361</v>
      </c>
      <c r="X42" s="56">
        <f t="shared" si="2"/>
        <v>1.6809024775113504</v>
      </c>
      <c r="Y42" s="56">
        <f t="shared" si="3"/>
        <v>134.23692470437024</v>
      </c>
      <c r="Z42" s="56">
        <f t="shared" si="4"/>
        <v>-48.378440901010237</v>
      </c>
      <c r="AA42" s="87">
        <f t="shared" si="41"/>
        <v>3.8113423004983481E-3</v>
      </c>
      <c r="AB42" s="86">
        <f t="shared" si="5"/>
        <v>24.83305954474471</v>
      </c>
      <c r="AC42" s="22">
        <f t="shared" si="6"/>
        <v>17.444277118939059</v>
      </c>
      <c r="AD42" s="102">
        <f t="shared" si="7"/>
        <v>6.6486111285027891E-2</v>
      </c>
      <c r="AE42" s="22">
        <f t="shared" si="8"/>
        <v>46.304314134466722</v>
      </c>
      <c r="AF42" s="22"/>
      <c r="AG42" s="22">
        <f t="shared" si="9"/>
        <v>0.120397094034351</v>
      </c>
      <c r="AH42" s="22">
        <f t="shared" si="10"/>
        <v>-9.1938399530474335</v>
      </c>
      <c r="AI42" s="106">
        <f t="shared" si="11"/>
        <v>91.466041218937832</v>
      </c>
      <c r="AJ42" s="104"/>
      <c r="AK42" s="104"/>
      <c r="AL42" s="104"/>
      <c r="AM42" s="104">
        <f t="shared" si="12"/>
        <v>23.152157067233361</v>
      </c>
      <c r="AN42" s="109">
        <f t="shared" si="13"/>
        <v>82.534526107509464</v>
      </c>
      <c r="AO42" s="104"/>
      <c r="AP42" s="104">
        <f t="shared" si="14"/>
        <v>11.57607853361668</v>
      </c>
      <c r="AQ42" s="104">
        <f t="shared" si="15"/>
        <v>87.958447573892784</v>
      </c>
      <c r="AR42" s="104"/>
      <c r="AS42" s="104"/>
      <c r="AT42" s="104"/>
      <c r="AU42" s="104"/>
      <c r="AV42" s="104"/>
      <c r="AW42" s="104"/>
      <c r="AX42" s="22"/>
      <c r="AY42" s="22">
        <f t="shared" si="16"/>
        <v>0.2101015503347598</v>
      </c>
      <c r="AZ42" s="22">
        <f t="shared" si="17"/>
        <v>-6.7757074293270936</v>
      </c>
      <c r="BA42" s="104">
        <f t="shared" si="18"/>
        <v>113.88417374265816</v>
      </c>
      <c r="BB42">
        <f>BB41+$O$34</f>
        <v>47.75</v>
      </c>
      <c r="BC42">
        <f t="shared" si="19"/>
        <v>33.579467518395305</v>
      </c>
      <c r="BD42">
        <f t="shared" si="20"/>
        <v>5.5835195339942247</v>
      </c>
      <c r="BE42" s="88">
        <f t="shared" si="21"/>
        <v>133.8863972834458</v>
      </c>
      <c r="BF42">
        <f t="shared" si="22"/>
        <v>3.6605941716892688E-3</v>
      </c>
      <c r="BG42">
        <f t="shared" si="23"/>
        <v>39.162987052389532</v>
      </c>
      <c r="BH42">
        <f t="shared" si="24"/>
        <v>90.813278072759417</v>
      </c>
      <c r="BI42">
        <f t="shared" si="25"/>
        <v>0.33243055642513997</v>
      </c>
      <c r="BL42">
        <f t="shared" si="35"/>
        <v>155.5</v>
      </c>
      <c r="BM42">
        <f t="shared" si="26"/>
        <v>43.834607867257127</v>
      </c>
      <c r="BN42">
        <f t="shared" si="27"/>
        <v>18.182979843687999</v>
      </c>
      <c r="BO42" s="88">
        <f t="shared" si="28"/>
        <v>117.05239653816984</v>
      </c>
      <c r="BP42">
        <f t="shared" si="29"/>
        <v>5.2704967108592156E-4</v>
      </c>
      <c r="BQ42">
        <f t="shared" si="30"/>
        <v>62.017587710945122</v>
      </c>
      <c r="BR42">
        <f t="shared" si="31"/>
        <v>1261.4771421456644</v>
      </c>
      <c r="BS42">
        <f t="shared" si="32"/>
        <v>0.66486111285028071</v>
      </c>
    </row>
    <row r="43" spans="6:106">
      <c r="R43" s="26">
        <v>3</v>
      </c>
      <c r="S43" s="50">
        <f>10*LOG10(K16/1000000)</f>
        <v>-33.187587626244131</v>
      </c>
      <c r="T43" s="26" t="s">
        <v>114</v>
      </c>
      <c r="U43" s="12"/>
      <c r="V43">
        <f t="shared" si="33"/>
        <v>14.75</v>
      </c>
      <c r="W43" s="56">
        <f t="shared" si="1"/>
        <v>23.375840406283636</v>
      </c>
      <c r="X43" s="56">
        <f t="shared" si="2"/>
        <v>1.7247521073594723</v>
      </c>
      <c r="Y43" s="56">
        <f t="shared" si="3"/>
        <v>133.96939173547185</v>
      </c>
      <c r="Z43" s="56">
        <f t="shared" si="4"/>
        <v>-48.64597386990863</v>
      </c>
      <c r="AA43" s="87">
        <f t="shared" si="41"/>
        <v>3.6957391154099147E-3</v>
      </c>
      <c r="AB43" s="86">
        <f t="shared" si="5"/>
        <v>25.100592513643107</v>
      </c>
      <c r="AC43" s="22">
        <f t="shared" si="6"/>
        <v>17.989936304704127</v>
      </c>
      <c r="AD43" s="102">
        <f t="shared" si="7"/>
        <v>6.6486111285027946E-2</v>
      </c>
      <c r="AE43" s="22">
        <f t="shared" si="8"/>
        <v>46.751680812567272</v>
      </c>
      <c r="AF43" s="22"/>
      <c r="AG43" s="22">
        <f t="shared" si="9"/>
        <v>0.12676061529938021</v>
      </c>
      <c r="AH43" s="22">
        <f t="shared" si="10"/>
        <v>-8.97015661399716</v>
      </c>
      <c r="AI43" s="106">
        <f t="shared" si="11"/>
        <v>91.242357879887564</v>
      </c>
      <c r="AJ43" s="104"/>
      <c r="AK43" s="104"/>
      <c r="AL43" s="104"/>
      <c r="AM43" s="104">
        <f t="shared" si="12"/>
        <v>23.375840406283636</v>
      </c>
      <c r="AN43" s="109">
        <f t="shared" si="13"/>
        <v>82.26699313861107</v>
      </c>
      <c r="AO43" s="104"/>
      <c r="AP43" s="104">
        <f t="shared" si="14"/>
        <v>11.687920203141818</v>
      </c>
      <c r="AQ43" s="104">
        <f t="shared" si="15"/>
        <v>87.57907293546927</v>
      </c>
      <c r="AR43" s="104"/>
      <c r="AS43" s="104"/>
      <c r="AT43" s="104"/>
      <c r="AU43" s="104"/>
      <c r="AV43" s="104"/>
      <c r="AW43" s="104"/>
      <c r="AX43" s="22"/>
      <c r="AY43" s="22">
        <f t="shared" si="16"/>
        <v>0.21558246034349265</v>
      </c>
      <c r="AZ43" s="22">
        <f t="shared" si="17"/>
        <v>-6.6638657598019559</v>
      </c>
      <c r="BA43" s="104">
        <f t="shared" si="18"/>
        <v>113.54864873408278</v>
      </c>
      <c r="BB43">
        <f t="shared" si="34"/>
        <v>48.5</v>
      </c>
      <c r="BC43">
        <f t="shared" si="19"/>
        <v>33.714834772045272</v>
      </c>
      <c r="BD43">
        <f t="shared" si="20"/>
        <v>5.6712187936904686</v>
      </c>
      <c r="BE43" s="88">
        <f t="shared" si="21"/>
        <v>133.66333077009961</v>
      </c>
      <c r="BF43">
        <f t="shared" si="22"/>
        <v>3.5677815740551345E-3</v>
      </c>
      <c r="BG43">
        <f t="shared" si="23"/>
        <v>39.386053565735743</v>
      </c>
      <c r="BH43">
        <f t="shared" si="24"/>
        <v>93.175703031422017</v>
      </c>
      <c r="BI43">
        <f t="shared" si="25"/>
        <v>0.33243055642514063</v>
      </c>
      <c r="BL43">
        <f t="shared" si="35"/>
        <v>157</v>
      </c>
      <c r="BM43">
        <f t="shared" si="26"/>
        <v>43.91799304818467</v>
      </c>
      <c r="BN43">
        <f t="shared" si="27"/>
        <v>18.358378363080487</v>
      </c>
      <c r="BO43" s="88">
        <f t="shared" si="28"/>
        <v>116.79361283784984</v>
      </c>
      <c r="BP43">
        <f t="shared" si="29"/>
        <v>5.1157859121416112E-4</v>
      </c>
      <c r="BQ43">
        <f t="shared" si="30"/>
        <v>62.27637141126516</v>
      </c>
      <c r="BR43">
        <f t="shared" si="31"/>
        <v>1299.6265368969534</v>
      </c>
      <c r="BS43">
        <f t="shared" si="32"/>
        <v>0.66486111285028249</v>
      </c>
    </row>
    <row r="44" spans="6:106">
      <c r="R44" s="17">
        <v>4</v>
      </c>
      <c r="S44" s="50">
        <f>10*LOG10(K17/1000000)</f>
        <v>-30.177287669604315</v>
      </c>
      <c r="T44" s="17" t="s">
        <v>114</v>
      </c>
      <c r="U44" s="12"/>
      <c r="V44">
        <f t="shared" si="33"/>
        <v>15.125</v>
      </c>
      <c r="W44" s="56">
        <f t="shared" si="1"/>
        <v>23.593907666490132</v>
      </c>
      <c r="X44" s="56">
        <f t="shared" si="2"/>
        <v>1.7686017372075946</v>
      </c>
      <c r="Y44" s="56">
        <f t="shared" si="3"/>
        <v>133.70747484541721</v>
      </c>
      <c r="Z44" s="56">
        <f t="shared" si="4"/>
        <v>-48.907890759963266</v>
      </c>
      <c r="AA44" s="87">
        <f t="shared" si="41"/>
        <v>3.5859601745195572E-3</v>
      </c>
      <c r="AB44" s="86">
        <f t="shared" si="5"/>
        <v>25.362509403697725</v>
      </c>
      <c r="AC44" s="22">
        <f t="shared" si="6"/>
        <v>18.540671967706814</v>
      </c>
      <c r="AD44" s="102">
        <f t="shared" si="7"/>
        <v>6.6486111285027794E-2</v>
      </c>
      <c r="AE44" s="22">
        <f t="shared" si="8"/>
        <v>47.187815332980264</v>
      </c>
      <c r="AF44" s="22"/>
      <c r="AG44" s="22">
        <f t="shared" si="9"/>
        <v>0.13328800406479643</v>
      </c>
      <c r="AH44" s="22">
        <f t="shared" si="10"/>
        <v>-8.7520893537906659</v>
      </c>
      <c r="AI44" s="106">
        <f t="shared" si="11"/>
        <v>91.02429061968104</v>
      </c>
      <c r="AJ44" s="104"/>
      <c r="AK44" s="104"/>
      <c r="AL44" s="104"/>
      <c r="AM44" s="104">
        <f t="shared" si="12"/>
        <v>23.593907666490132</v>
      </c>
      <c r="AN44" s="109">
        <f t="shared" si="13"/>
        <v>82.005076248556463</v>
      </c>
      <c r="AO44" s="104"/>
      <c r="AP44" s="104">
        <f t="shared" si="14"/>
        <v>11.796953833245066</v>
      </c>
      <c r="AQ44" s="104">
        <f t="shared" si="15"/>
        <v>87.208122415311379</v>
      </c>
      <c r="AR44" s="104"/>
      <c r="AS44" s="104"/>
      <c r="AT44" s="104"/>
      <c r="AU44" s="104"/>
      <c r="AV44" s="104"/>
      <c r="AW44" s="104"/>
      <c r="AX44" s="22"/>
      <c r="AY44" s="22">
        <f t="shared" si="16"/>
        <v>0.22106337035222551</v>
      </c>
      <c r="AZ44" s="22">
        <f t="shared" si="17"/>
        <v>-6.5548321296987098</v>
      </c>
      <c r="BA44" s="104">
        <f t="shared" si="18"/>
        <v>113.221547843773</v>
      </c>
      <c r="BB44">
        <f t="shared" si="34"/>
        <v>49.25</v>
      </c>
      <c r="BC44">
        <f t="shared" si="19"/>
        <v>33.848124696672613</v>
      </c>
      <c r="BD44">
        <f t="shared" si="20"/>
        <v>5.7589180533867133</v>
      </c>
      <c r="BE44" s="88">
        <f t="shared" si="21"/>
        <v>133.44234158577601</v>
      </c>
      <c r="BF44">
        <f t="shared" si="22"/>
        <v>3.4781539355166133E-3</v>
      </c>
      <c r="BG44">
        <f t="shared" si="23"/>
        <v>39.607042750059328</v>
      </c>
      <c r="BH44">
        <f t="shared" si="24"/>
        <v>95.576723338946621</v>
      </c>
      <c r="BI44">
        <f t="shared" si="25"/>
        <v>0.33243055642513974</v>
      </c>
      <c r="BL44">
        <f t="shared" si="35"/>
        <v>158.5</v>
      </c>
      <c r="BM44">
        <f t="shared" si="26"/>
        <v>44.000585331075406</v>
      </c>
      <c r="BN44">
        <f t="shared" si="27"/>
        <v>18.533776882472974</v>
      </c>
      <c r="BO44" s="88">
        <f t="shared" si="28"/>
        <v>116.53562203556659</v>
      </c>
      <c r="BP44">
        <f t="shared" si="29"/>
        <v>4.9660698237126118E-4</v>
      </c>
      <c r="BQ44">
        <f t="shared" si="30"/>
        <v>62.534362213548377</v>
      </c>
      <c r="BR44">
        <f t="shared" si="31"/>
        <v>1338.8074200560341</v>
      </c>
      <c r="BS44">
        <f t="shared" si="32"/>
        <v>0.6648611128502806</v>
      </c>
    </row>
    <row r="45" spans="6:106">
      <c r="R45" s="286" t="s">
        <v>112</v>
      </c>
      <c r="S45" s="289"/>
      <c r="T45" s="287"/>
      <c r="U45" s="23"/>
      <c r="V45">
        <f t="shared" si="33"/>
        <v>15.5</v>
      </c>
      <c r="W45" s="56">
        <f t="shared" si="1"/>
        <v>23.806633963405829</v>
      </c>
      <c r="X45" s="56">
        <f t="shared" si="2"/>
        <v>1.8124513670557167</v>
      </c>
      <c r="Y45" s="56">
        <f t="shared" si="3"/>
        <v>133.45089891865339</v>
      </c>
      <c r="Z45" s="56">
        <f t="shared" si="4"/>
        <v>-49.164466686727081</v>
      </c>
      <c r="AA45" s="87">
        <f t="shared" si="41"/>
        <v>3.4815822990673022E-3</v>
      </c>
      <c r="AB45" s="86">
        <f t="shared" si="5"/>
        <v>25.619085330461544</v>
      </c>
      <c r="AC45" s="22">
        <f t="shared" si="6"/>
        <v>19.09652151633442</v>
      </c>
      <c r="AD45" s="102">
        <f t="shared" si="7"/>
        <v>6.6486111285027794E-2</v>
      </c>
      <c r="AE45" s="22">
        <f t="shared" si="8"/>
        <v>47.613267926811659</v>
      </c>
      <c r="AF45" s="22"/>
      <c r="AG45" s="22">
        <f t="shared" si="9"/>
        <v>0.13997926033059968</v>
      </c>
      <c r="AH45" s="22">
        <f t="shared" si="10"/>
        <v>-8.5393630568749668</v>
      </c>
      <c r="AI45" s="106">
        <f t="shared" si="11"/>
        <v>90.811564322765363</v>
      </c>
      <c r="AJ45" s="104"/>
      <c r="AK45" s="104"/>
      <c r="AL45" s="104"/>
      <c r="AM45" s="104">
        <f t="shared" si="12"/>
        <v>23.806633963405829</v>
      </c>
      <c r="AN45" s="109">
        <f t="shared" si="13"/>
        <v>81.748500321792619</v>
      </c>
      <c r="AO45" s="104"/>
      <c r="AP45" s="104">
        <f t="shared" si="14"/>
        <v>11.903316981702915</v>
      </c>
      <c r="AQ45" s="104">
        <f t="shared" si="15"/>
        <v>86.845183340089733</v>
      </c>
      <c r="AR45" s="104"/>
      <c r="AS45" s="104"/>
      <c r="AT45" s="104"/>
      <c r="AU45" s="104"/>
      <c r="AV45" s="104"/>
      <c r="AW45" s="104"/>
      <c r="AX45" s="22"/>
      <c r="AY45" s="22">
        <f t="shared" si="16"/>
        <v>0.22654428036095836</v>
      </c>
      <c r="AZ45" s="22">
        <f t="shared" si="17"/>
        <v>-6.4484689812408602</v>
      </c>
      <c r="BA45" s="104">
        <f t="shared" si="18"/>
        <v>112.90245839839946</v>
      </c>
      <c r="BB45">
        <f t="shared" si="34"/>
        <v>50</v>
      </c>
      <c r="BC45">
        <f t="shared" si="19"/>
        <v>33.979400086720375</v>
      </c>
      <c r="BD45">
        <f t="shared" si="20"/>
        <v>5.846617313082958</v>
      </c>
      <c r="BE45" s="88">
        <f t="shared" si="21"/>
        <v>133.22336693603199</v>
      </c>
      <c r="BF45">
        <f t="shared" si="22"/>
        <v>3.3915643886353844E-3</v>
      </c>
      <c r="BG45">
        <f t="shared" si="23"/>
        <v>39.826017399803334</v>
      </c>
      <c r="BH45">
        <f t="shared" si="24"/>
        <v>98.016879036430467</v>
      </c>
      <c r="BI45">
        <f t="shared" si="25"/>
        <v>0.33243055642513974</v>
      </c>
      <c r="BL45">
        <f t="shared" si="35"/>
        <v>160</v>
      </c>
      <c r="BM45">
        <f t="shared" si="26"/>
        <v>44.082399653118493</v>
      </c>
      <c r="BN45">
        <f t="shared" si="27"/>
        <v>18.709175401865465</v>
      </c>
      <c r="BO45" s="88">
        <f t="shared" si="28"/>
        <v>116.27840919413099</v>
      </c>
      <c r="BP45">
        <f t="shared" si="29"/>
        <v>4.8211670466667288E-4</v>
      </c>
      <c r="BQ45">
        <f t="shared" si="30"/>
        <v>62.791575054983959</v>
      </c>
      <c r="BR45">
        <f t="shared" si="31"/>
        <v>1379.0459994742412</v>
      </c>
      <c r="BS45">
        <f t="shared" si="32"/>
        <v>0.66486111285027949</v>
      </c>
    </row>
    <row r="46" spans="6:106">
      <c r="R46" s="17" t="s">
        <v>112</v>
      </c>
      <c r="S46" s="50">
        <f>10*LOG10(K24)</f>
        <v>31.760912590556813</v>
      </c>
      <c r="T46" s="16" t="s">
        <v>51</v>
      </c>
      <c r="U46" s="22"/>
      <c r="V46">
        <f t="shared" si="33"/>
        <v>15.875</v>
      </c>
      <c r="W46" s="56">
        <f t="shared" si="1"/>
        <v>24.014274679280266</v>
      </c>
      <c r="X46" s="56">
        <f t="shared" si="2"/>
        <v>1.8563009969038391</v>
      </c>
      <c r="Y46" s="56">
        <f t="shared" si="3"/>
        <v>133.19940857293085</v>
      </c>
      <c r="Z46" s="56">
        <f t="shared" si="4"/>
        <v>-49.415957032449626</v>
      </c>
      <c r="AA46" s="87">
        <f t="shared" si="41"/>
        <v>3.3822222979069919E-3</v>
      </c>
      <c r="AB46" s="86">
        <f t="shared" si="5"/>
        <v>25.870575676184107</v>
      </c>
      <c r="AC46" s="22">
        <f t="shared" si="6"/>
        <v>19.65752260759777</v>
      </c>
      <c r="AD46" s="102">
        <f t="shared" si="7"/>
        <v>6.6486111285027974E-2</v>
      </c>
      <c r="AE46" s="22">
        <f t="shared" si="8"/>
        <v>48.028549358560532</v>
      </c>
      <c r="AF46" s="22"/>
      <c r="AG46" s="22">
        <f t="shared" si="9"/>
        <v>0.14683438409678995</v>
      </c>
      <c r="AH46" s="22">
        <f t="shared" si="10"/>
        <v>-8.3317223410005301</v>
      </c>
      <c r="AI46" s="106">
        <f t="shared" si="11"/>
        <v>90.60392360689093</v>
      </c>
      <c r="AJ46" s="104"/>
      <c r="AK46" s="104"/>
      <c r="AL46" s="104"/>
      <c r="AM46" s="104">
        <f t="shared" si="12"/>
        <v>24.014274679280266</v>
      </c>
      <c r="AN46" s="109">
        <f t="shared" si="13"/>
        <v>81.497009976070061</v>
      </c>
      <c r="AO46" s="104"/>
      <c r="AP46" s="104">
        <f t="shared" si="14"/>
        <v>12.007137339640133</v>
      </c>
      <c r="AQ46" s="104">
        <f t="shared" si="15"/>
        <v>86.489872636429936</v>
      </c>
      <c r="AR46" s="104"/>
      <c r="AS46" s="104"/>
      <c r="AT46" s="104"/>
      <c r="AU46" s="104"/>
      <c r="AV46" s="104"/>
      <c r="AW46" s="104"/>
      <c r="AX46" s="22"/>
      <c r="AY46" s="22">
        <f t="shared" si="16"/>
        <v>0.23202519036969121</v>
      </c>
      <c r="AZ46" s="22">
        <f t="shared" si="17"/>
        <v>-6.3446486233036428</v>
      </c>
      <c r="BA46" s="104">
        <f t="shared" si="18"/>
        <v>112.59099732458782</v>
      </c>
      <c r="BB46">
        <f t="shared" si="34"/>
        <v>50.75</v>
      </c>
      <c r="BC46">
        <f t="shared" si="19"/>
        <v>34.108720931705008</v>
      </c>
      <c r="BD46">
        <f t="shared" si="20"/>
        <v>5.9343165727792018</v>
      </c>
      <c r="BE46" s="88">
        <f t="shared" si="21"/>
        <v>133.0063468313511</v>
      </c>
      <c r="BF46">
        <f t="shared" si="22"/>
        <v>3.307874782871562E-3</v>
      </c>
      <c r="BG46">
        <f t="shared" si="23"/>
        <v>40.043037504484211</v>
      </c>
      <c r="BH46">
        <f t="shared" si="24"/>
        <v>100.49671715099082</v>
      </c>
      <c r="BI46">
        <f t="shared" si="25"/>
        <v>0.33243055642513852</v>
      </c>
      <c r="BL46">
        <f t="shared" si="35"/>
        <v>161.5</v>
      </c>
      <c r="BM46">
        <f t="shared" si="26"/>
        <v>44.163450533342434</v>
      </c>
      <c r="BN46">
        <f t="shared" si="27"/>
        <v>18.884573921257953</v>
      </c>
      <c r="BO46" s="88">
        <f t="shared" si="28"/>
        <v>116.02195979451459</v>
      </c>
      <c r="BP46">
        <f t="shared" si="29"/>
        <v>4.680903731862729E-4</v>
      </c>
      <c r="BQ46">
        <f t="shared" si="30"/>
        <v>63.048024454600387</v>
      </c>
      <c r="BR46">
        <f t="shared" si="31"/>
        <v>1420.369123006308</v>
      </c>
      <c r="BS46">
        <f t="shared" si="32"/>
        <v>0.66486111285028182</v>
      </c>
    </row>
    <row r="47" spans="6:106">
      <c r="V47">
        <f t="shared" si="33"/>
        <v>16.25</v>
      </c>
      <c r="W47" s="56">
        <f t="shared" si="1"/>
        <v>24.217067306297864</v>
      </c>
      <c r="X47" s="56">
        <f t="shared" si="2"/>
        <v>1.9001506267519612</v>
      </c>
      <c r="Y47" s="56">
        <f t="shared" si="3"/>
        <v>132.95276631606515</v>
      </c>
      <c r="Z47" s="56">
        <f t="shared" si="4"/>
        <v>-49.662599289315324</v>
      </c>
      <c r="AA47" s="87">
        <f t="shared" si="41"/>
        <v>3.2875323535399457E-3</v>
      </c>
      <c r="AB47" s="86">
        <f t="shared" si="5"/>
        <v>26.117217933049826</v>
      </c>
      <c r="AC47" s="22">
        <f t="shared" si="6"/>
        <v>20.223713148689569</v>
      </c>
      <c r="AD47" s="102">
        <f t="shared" si="7"/>
        <v>6.6486111285028168E-2</v>
      </c>
      <c r="AE47" s="22">
        <f t="shared" si="8"/>
        <v>48.434134612595727</v>
      </c>
      <c r="AF47" s="22"/>
      <c r="AG47" s="22">
        <f t="shared" si="9"/>
        <v>0.15385337536336724</v>
      </c>
      <c r="AH47" s="22">
        <f t="shared" si="10"/>
        <v>-8.1289297139829326</v>
      </c>
      <c r="AI47" s="106">
        <f t="shared" si="11"/>
        <v>90.401130979873329</v>
      </c>
      <c r="AJ47" s="104"/>
      <c r="AK47" s="104"/>
      <c r="AL47" s="104"/>
      <c r="AM47" s="104">
        <f t="shared" si="12"/>
        <v>24.217067306297864</v>
      </c>
      <c r="AN47" s="109">
        <f t="shared" si="13"/>
        <v>81.250367719204363</v>
      </c>
      <c r="AO47" s="104"/>
      <c r="AP47" s="104">
        <f t="shared" si="14"/>
        <v>12.108533653148932</v>
      </c>
      <c r="AQ47" s="104">
        <f t="shared" si="15"/>
        <v>86.141834066055424</v>
      </c>
      <c r="AR47" s="104"/>
      <c r="AS47" s="104"/>
      <c r="AT47" s="104"/>
      <c r="AU47" s="104"/>
      <c r="AV47" s="104"/>
      <c r="AW47" s="104"/>
      <c r="AX47" s="22"/>
      <c r="AY47" s="22">
        <f t="shared" si="16"/>
        <v>0.23750610037842407</v>
      </c>
      <c r="AZ47" s="22">
        <f t="shared" si="17"/>
        <v>-6.2432523097948431</v>
      </c>
      <c r="BA47" s="104">
        <f t="shared" si="18"/>
        <v>112.28680838406142</v>
      </c>
      <c r="BB47">
        <f t="shared" si="34"/>
        <v>51.5</v>
      </c>
      <c r="BC47">
        <f t="shared" si="19"/>
        <v>34.236144580823819</v>
      </c>
      <c r="BD47">
        <f t="shared" si="20"/>
        <v>6.0220158324754456</v>
      </c>
      <c r="BE47" s="88">
        <f t="shared" si="21"/>
        <v>132.79122392253609</v>
      </c>
      <c r="BF47">
        <f t="shared" si="22"/>
        <v>3.2269550495108885E-3</v>
      </c>
      <c r="BG47">
        <f t="shared" si="23"/>
        <v>40.258160413299265</v>
      </c>
      <c r="BH47">
        <f t="shared" si="24"/>
        <v>103.01679178193923</v>
      </c>
      <c r="BI47">
        <f t="shared" si="25"/>
        <v>0.33243055642514063</v>
      </c>
      <c r="BL47">
        <f>BL46+$O$36</f>
        <v>163</v>
      </c>
      <c r="BM47">
        <f t="shared" si="26"/>
        <v>44.243752088079155</v>
      </c>
      <c r="BN47">
        <f t="shared" si="27"/>
        <v>19.059972440650441</v>
      </c>
      <c r="BO47" s="88">
        <f t="shared" si="28"/>
        <v>115.76625972038535</v>
      </c>
      <c r="BP47">
        <f t="shared" si="29"/>
        <v>4.5451132164884748E-4</v>
      </c>
      <c r="BQ47">
        <f t="shared" si="30"/>
        <v>63.303724528729596</v>
      </c>
      <c r="BR47">
        <f t="shared" si="31"/>
        <v>1462.8042937155851</v>
      </c>
      <c r="BS47">
        <f t="shared" si="32"/>
        <v>0.66486111285027949</v>
      </c>
    </row>
    <row r="48" spans="6:106">
      <c r="R48" s="26" t="s">
        <v>127</v>
      </c>
      <c r="S48" s="52">
        <f>10*LOG10(2)</f>
        <v>3.0102999566398121</v>
      </c>
      <c r="T48" s="26" t="s">
        <v>51</v>
      </c>
      <c r="U48" s="12"/>
      <c r="V48">
        <f t="shared" si="33"/>
        <v>16.625</v>
      </c>
      <c r="W48" s="56">
        <f t="shared" si="1"/>
        <v>24.415233079502844</v>
      </c>
      <c r="X48" s="56">
        <f t="shared" si="2"/>
        <v>1.9440002566000834</v>
      </c>
      <c r="Y48" s="56">
        <f t="shared" si="3"/>
        <v>132.71075091301202</v>
      </c>
      <c r="Z48" s="56">
        <f t="shared" si="4"/>
        <v>-49.904614692368455</v>
      </c>
      <c r="AA48" s="87">
        <f t="shared" si="41"/>
        <v>3.1971960325952154E-3</v>
      </c>
      <c r="AB48" s="86">
        <f t="shared" si="5"/>
        <v>26.359233336102928</v>
      </c>
      <c r="AC48" s="22">
        <f t="shared" si="6"/>
        <v>20.795131298552278</v>
      </c>
      <c r="AD48" s="102">
        <f t="shared" si="7"/>
        <v>6.6486111285027932E-2</v>
      </c>
      <c r="AE48" s="22">
        <f t="shared" si="8"/>
        <v>48.830466159005688</v>
      </c>
      <c r="AF48" s="22"/>
      <c r="AG48" s="22">
        <f t="shared" si="9"/>
        <v>0.16103623413033155</v>
      </c>
      <c r="AH48" s="22">
        <f t="shared" si="10"/>
        <v>-7.9307639407779522</v>
      </c>
      <c r="AI48" s="106">
        <f t="shared" si="11"/>
        <v>90.202965206668352</v>
      </c>
      <c r="AJ48" s="104"/>
      <c r="AK48" s="104"/>
      <c r="AL48" s="104"/>
      <c r="AM48" s="104">
        <f t="shared" si="12"/>
        <v>24.415233079502844</v>
      </c>
      <c r="AN48" s="109">
        <f t="shared" si="13"/>
        <v>81.00835231615126</v>
      </c>
      <c r="AO48" s="104"/>
      <c r="AP48" s="104">
        <f t="shared" si="14"/>
        <v>12.207616539751422</v>
      </c>
      <c r="AQ48" s="104">
        <f t="shared" si="15"/>
        <v>85.800735776399833</v>
      </c>
      <c r="AR48" s="104"/>
      <c r="AS48" s="104"/>
      <c r="AT48" s="104"/>
      <c r="AU48" s="104"/>
      <c r="AV48" s="104"/>
      <c r="AW48" s="104"/>
      <c r="AX48" s="22"/>
      <c r="AY48" s="22">
        <f t="shared" si="16"/>
        <v>0.24298701038715698</v>
      </c>
      <c r="AZ48" s="22">
        <f t="shared" si="17"/>
        <v>-6.144169423192352</v>
      </c>
      <c r="BA48" s="104">
        <f t="shared" si="18"/>
        <v>111.98955972425395</v>
      </c>
      <c r="BB48">
        <f t="shared" si="34"/>
        <v>52.25</v>
      </c>
      <c r="BC48">
        <f t="shared" si="19"/>
        <v>34.361725895661834</v>
      </c>
      <c r="BD48">
        <f t="shared" si="20"/>
        <v>6.1097150921716903</v>
      </c>
      <c r="BE48" s="88">
        <f t="shared" si="21"/>
        <v>132.57794334800181</v>
      </c>
      <c r="BF48">
        <f t="shared" si="22"/>
        <v>3.1486826212904252E-3</v>
      </c>
      <c r="BG48">
        <f t="shared" si="23"/>
        <v>40.471440987833525</v>
      </c>
      <c r="BH48">
        <f t="shared" si="24"/>
        <v>105.57766418798346</v>
      </c>
      <c r="BI48">
        <f t="shared" si="25"/>
        <v>0.33243055642514002</v>
      </c>
      <c r="BL48">
        <f t="shared" si="35"/>
        <v>164.5</v>
      </c>
      <c r="BM48">
        <f t="shared" si="26"/>
        <v>44.323318045719866</v>
      </c>
      <c r="BN48">
        <f t="shared" si="27"/>
        <v>19.235370960042932</v>
      </c>
      <c r="BO48" s="88">
        <f t="shared" si="28"/>
        <v>115.51129524335217</v>
      </c>
      <c r="BP48">
        <f t="shared" si="29"/>
        <v>4.4136356808279902E-4</v>
      </c>
      <c r="BQ48">
        <f t="shared" si="30"/>
        <v>63.558689005762801</v>
      </c>
      <c r="BR48">
        <f t="shared" si="31"/>
        <v>1506.3796854332902</v>
      </c>
      <c r="BS48">
        <f t="shared" si="32"/>
        <v>0.66486111285028138</v>
      </c>
    </row>
    <row r="49" spans="18:71">
      <c r="V49">
        <f t="shared" si="33"/>
        <v>17</v>
      </c>
      <c r="W49" s="56">
        <f t="shared" si="1"/>
        <v>24.608978427565479</v>
      </c>
      <c r="X49" s="56">
        <f t="shared" si="2"/>
        <v>1.9878498864482057</v>
      </c>
      <c r="Y49" s="56">
        <f t="shared" si="3"/>
        <v>132.47315593510126</v>
      </c>
      <c r="Z49" s="56">
        <f t="shared" si="4"/>
        <v>-50.142209670279215</v>
      </c>
      <c r="AA49" s="87">
        <f t="shared" si="41"/>
        <v>3.110924824334645E-3</v>
      </c>
      <c r="AB49" s="86">
        <f t="shared" si="5"/>
        <v>26.596828314013685</v>
      </c>
      <c r="AC49" s="22">
        <f t="shared" si="6"/>
        <v>21.371815469455374</v>
      </c>
      <c r="AD49" s="102">
        <f t="shared" si="7"/>
        <v>6.6486111285027905E-2</v>
      </c>
      <c r="AE49" s="22">
        <f t="shared" si="8"/>
        <v>49.217956855130957</v>
      </c>
      <c r="AF49" s="22"/>
      <c r="AG49" s="22">
        <f t="shared" si="9"/>
        <v>0.16838296039768288</v>
      </c>
      <c r="AH49" s="22">
        <f t="shared" si="10"/>
        <v>-7.7370185927153168</v>
      </c>
      <c r="AI49" s="106">
        <f t="shared" si="11"/>
        <v>90.009219858605718</v>
      </c>
      <c r="AJ49" s="104"/>
      <c r="AK49" s="104"/>
      <c r="AL49" s="104"/>
      <c r="AM49" s="104">
        <f t="shared" si="12"/>
        <v>24.608978427565479</v>
      </c>
      <c r="AN49" s="109">
        <f t="shared" si="13"/>
        <v>80.7707573382405</v>
      </c>
      <c r="AO49" s="104"/>
      <c r="AP49" s="104">
        <f t="shared" si="14"/>
        <v>12.304489213782739</v>
      </c>
      <c r="AQ49" s="104">
        <f t="shared" si="15"/>
        <v>85.46626812445777</v>
      </c>
      <c r="AR49" s="104"/>
      <c r="AS49" s="104"/>
      <c r="AT49" s="104"/>
      <c r="AU49" s="104"/>
      <c r="AV49" s="104"/>
      <c r="AW49" s="104"/>
      <c r="AX49" s="22"/>
      <c r="AY49" s="22">
        <f t="shared" si="16"/>
        <v>0.24846792039588983</v>
      </c>
      <c r="AZ49" s="22">
        <f t="shared" si="17"/>
        <v>-6.0472967491610348</v>
      </c>
      <c r="BA49" s="104">
        <f t="shared" si="18"/>
        <v>111.69894170216</v>
      </c>
      <c r="BB49">
        <f t="shared" si="34"/>
        <v>53</v>
      </c>
      <c r="BC49">
        <f t="shared" si="19"/>
        <v>34.48551739201578</v>
      </c>
      <c r="BD49">
        <f t="shared" si="20"/>
        <v>6.197414351867935</v>
      </c>
      <c r="BE49" s="88">
        <f t="shared" si="21"/>
        <v>132.36645259195163</v>
      </c>
      <c r="BF49">
        <f t="shared" si="22"/>
        <v>3.0729419013049383E-3</v>
      </c>
      <c r="BG49">
        <f t="shared" si="23"/>
        <v>40.682931743883714</v>
      </c>
      <c r="BH49">
        <f t="shared" si="24"/>
        <v>108.17990287547325</v>
      </c>
      <c r="BI49">
        <f t="shared" si="25"/>
        <v>0.3324305564251403</v>
      </c>
      <c r="BL49">
        <f t="shared" si="35"/>
        <v>166</v>
      </c>
      <c r="BM49">
        <f t="shared" si="26"/>
        <v>44.4021617608011</v>
      </c>
      <c r="BN49">
        <f t="shared" si="27"/>
        <v>19.41076947943542</v>
      </c>
      <c r="BO49" s="88">
        <f t="shared" si="28"/>
        <v>115.25705300887843</v>
      </c>
      <c r="BP49">
        <f t="shared" si="29"/>
        <v>4.2863178239459942E-4</v>
      </c>
      <c r="BQ49">
        <f t="shared" si="30"/>
        <v>63.812931240236523</v>
      </c>
      <c r="BR49">
        <f t="shared" si="31"/>
        <v>1551.1241586798792</v>
      </c>
      <c r="BS49">
        <f t="shared" si="32"/>
        <v>0.66486111285028004</v>
      </c>
    </row>
    <row r="50" spans="18:71">
      <c r="V50">
        <f>V49+$O$32</f>
        <v>17.375</v>
      </c>
      <c r="W50" s="56">
        <f t="shared" si="1"/>
        <v>24.798496265243028</v>
      </c>
      <c r="X50" s="56">
        <f t="shared" si="2"/>
        <v>2.0316995162963281</v>
      </c>
      <c r="Y50" s="56">
        <f t="shared" si="3"/>
        <v>132.23978846757561</v>
      </c>
      <c r="Z50" s="56">
        <f t="shared" si="4"/>
        <v>-50.375577137804868</v>
      </c>
      <c r="AA50" s="87">
        <f t="shared" si="41"/>
        <v>3.028455127408979E-3</v>
      </c>
      <c r="AB50" s="86">
        <f t="shared" si="5"/>
        <v>26.830195781539356</v>
      </c>
      <c r="AC50" s="22">
        <f t="shared" si="6"/>
        <v>21.953804328582155</v>
      </c>
      <c r="AD50" s="102">
        <f t="shared" si="7"/>
        <v>6.6486111285028071E-2</v>
      </c>
      <c r="AE50" s="22">
        <f t="shared" si="8"/>
        <v>49.596992530486055</v>
      </c>
      <c r="AF50" s="22"/>
      <c r="AG50" s="22">
        <f t="shared" si="9"/>
        <v>0.17589355416542121</v>
      </c>
      <c r="AH50" s="22">
        <f t="shared" si="10"/>
        <v>-7.547500755037766</v>
      </c>
      <c r="AI50" s="106">
        <f t="shared" si="11"/>
        <v>89.819702020928162</v>
      </c>
      <c r="AJ50" s="104"/>
      <c r="AK50" s="104"/>
      <c r="AL50" s="104"/>
      <c r="AM50" s="104">
        <f t="shared" si="12"/>
        <v>24.798496265243028</v>
      </c>
      <c r="AN50" s="109">
        <f t="shared" si="13"/>
        <v>80.537389870714819</v>
      </c>
      <c r="AO50" s="104"/>
      <c r="AP50" s="104">
        <f t="shared" si="14"/>
        <v>12.399248132621514</v>
      </c>
      <c r="AQ50" s="104">
        <f t="shared" si="15"/>
        <v>85.13814173809331</v>
      </c>
      <c r="AR50" s="104"/>
      <c r="AS50" s="104"/>
      <c r="AT50" s="104"/>
      <c r="AU50" s="104"/>
      <c r="AV50" s="104"/>
      <c r="AW50" s="104"/>
      <c r="AX50" s="22"/>
      <c r="AY50" s="22">
        <f t="shared" si="16"/>
        <v>0.25394883040462268</v>
      </c>
      <c r="AZ50" s="22">
        <f t="shared" si="17"/>
        <v>-5.9525378303222602</v>
      </c>
      <c r="BA50" s="104">
        <f t="shared" si="18"/>
        <v>111.41466494564366</v>
      </c>
      <c r="BB50">
        <f t="shared" si="34"/>
        <v>53.75</v>
      </c>
      <c r="BC50">
        <f t="shared" si="19"/>
        <v>34.607569371752859</v>
      </c>
      <c r="BD50">
        <f t="shared" si="20"/>
        <v>6.2851136115641788</v>
      </c>
      <c r="BE50" s="88">
        <f t="shared" si="21"/>
        <v>132.1567013525183</v>
      </c>
      <c r="BF50">
        <f t="shared" si="22"/>
        <v>2.9996237763799572E-3</v>
      </c>
      <c r="BG50">
        <f t="shared" si="23"/>
        <v>40.892682983317037</v>
      </c>
      <c r="BH50">
        <f t="shared" si="24"/>
        <v>110.82408368769764</v>
      </c>
      <c r="BI50">
        <f t="shared" si="25"/>
        <v>0.33243055642514002</v>
      </c>
      <c r="BL50">
        <f t="shared" si="35"/>
        <v>167.5</v>
      </c>
      <c r="BM50">
        <f t="shared" si="26"/>
        <v>44.480296227457281</v>
      </c>
      <c r="BN50">
        <f t="shared" si="27"/>
        <v>19.586167998827907</v>
      </c>
      <c r="BO50" s="88">
        <f t="shared" si="28"/>
        <v>115.00352002282979</v>
      </c>
      <c r="BP50">
        <f t="shared" si="29"/>
        <v>4.163012557098629E-4</v>
      </c>
      <c r="BQ50">
        <f t="shared" si="30"/>
        <v>64.066464226285191</v>
      </c>
      <c r="BR50">
        <f t="shared" si="31"/>
        <v>1597.0672769568832</v>
      </c>
      <c r="BS50">
        <f t="shared" si="32"/>
        <v>0.66486111285028182</v>
      </c>
    </row>
    <row r="51" spans="18:71">
      <c r="R51" s="28" t="s">
        <v>122</v>
      </c>
      <c r="S51" s="50">
        <f>$S$46+S41+$S$36+$S$18-$S$48</f>
        <v>-48.351785962943779</v>
      </c>
      <c r="T51" s="26" t="s">
        <v>51</v>
      </c>
      <c r="U51" s="12"/>
      <c r="V51">
        <f t="shared" si="33"/>
        <v>17.75</v>
      </c>
      <c r="W51" s="56">
        <f t="shared" si="1"/>
        <v>24.983967147822259</v>
      </c>
      <c r="X51" s="56">
        <f t="shared" si="2"/>
        <v>2.0755491461444495</v>
      </c>
      <c r="Y51" s="56">
        <f t="shared" si="3"/>
        <v>132.01046795514824</v>
      </c>
      <c r="Z51" s="56">
        <f t="shared" si="4"/>
        <v>-50.604897650232232</v>
      </c>
      <c r="AA51" s="87">
        <f t="shared" si="41"/>
        <v>2.9495456185745983E-3</v>
      </c>
      <c r="AB51" s="86">
        <f t="shared" si="5"/>
        <v>27.059516293966709</v>
      </c>
      <c r="AC51" s="22">
        <f t="shared" si="6"/>
        <v>22.541136799626123</v>
      </c>
      <c r="AD51" s="102">
        <f t="shared" si="7"/>
        <v>6.6486111285027877E-2</v>
      </c>
      <c r="AE51" s="22">
        <f t="shared" si="8"/>
        <v>49.967934295644518</v>
      </c>
      <c r="AF51" s="22"/>
      <c r="AG51" s="22">
        <f t="shared" si="9"/>
        <v>0.18356801543354659</v>
      </c>
      <c r="AH51" s="22">
        <f t="shared" si="10"/>
        <v>-7.3620298724585371</v>
      </c>
      <c r="AI51" s="106">
        <f t="shared" si="11"/>
        <v>89.634231138348937</v>
      </c>
      <c r="AJ51" s="104"/>
      <c r="AK51" s="104"/>
      <c r="AL51" s="104"/>
      <c r="AM51" s="104">
        <f t="shared" si="12"/>
        <v>24.983967147822259</v>
      </c>
      <c r="AN51" s="109">
        <f t="shared" si="13"/>
        <v>80.308069358287469</v>
      </c>
      <c r="AO51" s="104"/>
      <c r="AP51" s="104">
        <f t="shared" si="14"/>
        <v>12.49198357391113</v>
      </c>
      <c r="AQ51" s="104">
        <f t="shared" si="15"/>
        <v>84.816085784376355</v>
      </c>
      <c r="AR51" s="104"/>
      <c r="AS51" s="104"/>
      <c r="AT51" s="104"/>
      <c r="AU51" s="104"/>
      <c r="AV51" s="104"/>
      <c r="AW51" s="104"/>
      <c r="AX51" s="22"/>
      <c r="AY51" s="22">
        <f t="shared" si="16"/>
        <v>0.25942974041335554</v>
      </c>
      <c r="AZ51" s="22">
        <f t="shared" si="17"/>
        <v>-5.8598023890326454</v>
      </c>
      <c r="BA51" s="104">
        <f t="shared" si="18"/>
        <v>111.13645862177482</v>
      </c>
      <c r="BB51">
        <f t="shared" si="34"/>
        <v>54.5</v>
      </c>
      <c r="BC51">
        <f t="shared" si="19"/>
        <v>34.727930045532851</v>
      </c>
      <c r="BD51">
        <f t="shared" si="20"/>
        <v>6.3728128712604235</v>
      </c>
      <c r="BE51" s="88">
        <f t="shared" si="21"/>
        <v>131.94864141904205</v>
      </c>
      <c r="BF51">
        <f t="shared" si="22"/>
        <v>2.9286251706283845E-3</v>
      </c>
      <c r="BG51">
        <f t="shared" si="23"/>
        <v>41.100742916793273</v>
      </c>
      <c r="BH51">
        <f t="shared" si="24"/>
        <v>113.51078989525018</v>
      </c>
      <c r="BI51">
        <f t="shared" si="25"/>
        <v>0.33243055642513974</v>
      </c>
      <c r="BJ51" s="64"/>
      <c r="BK51" s="64"/>
      <c r="BL51">
        <f t="shared" si="35"/>
        <v>169</v>
      </c>
      <c r="BM51">
        <f t="shared" si="26"/>
        <v>44.557734092273471</v>
      </c>
      <c r="BN51">
        <f t="shared" si="27"/>
        <v>19.761566518220398</v>
      </c>
      <c r="BO51" s="88">
        <f t="shared" si="28"/>
        <v>114.75068363862108</v>
      </c>
      <c r="BP51">
        <f t="shared" si="29"/>
        <v>4.0435787137624459E-4</v>
      </c>
      <c r="BQ51">
        <f t="shared" si="30"/>
        <v>64.319300610493869</v>
      </c>
      <c r="BR51">
        <f t="shared" si="31"/>
        <v>1644.239323417655</v>
      </c>
      <c r="BS51">
        <f t="shared" si="32"/>
        <v>0.6648611128502796</v>
      </c>
    </row>
    <row r="52" spans="18:71">
      <c r="R52" s="28" t="s">
        <v>123</v>
      </c>
      <c r="S52" s="50">
        <f>$S$46+S42+$S$36+$S$18-$S$48</f>
        <v>-45.341486006303967</v>
      </c>
      <c r="T52" s="26" t="s">
        <v>51</v>
      </c>
      <c r="U52" s="12"/>
      <c r="V52">
        <f t="shared" si="33"/>
        <v>18.125</v>
      </c>
      <c r="W52" s="56">
        <f t="shared" si="1"/>
        <v>25.165560304860627</v>
      </c>
      <c r="X52" s="56">
        <f t="shared" si="2"/>
        <v>2.1193987759925719</v>
      </c>
      <c r="Y52" s="56">
        <f t="shared" si="3"/>
        <v>131.78502516826174</v>
      </c>
      <c r="Z52" s="56">
        <f t="shared" si="4"/>
        <v>-50.830340437118736</v>
      </c>
      <c r="AA52" s="87">
        <f t="shared" si="41"/>
        <v>2.8739749480524305E-3</v>
      </c>
      <c r="AB52" s="86">
        <f t="shared" si="5"/>
        <v>27.284959080853199</v>
      </c>
      <c r="AC52" s="22">
        <f t="shared" si="6"/>
        <v>23.133852064396955</v>
      </c>
      <c r="AD52" s="102">
        <f t="shared" si="7"/>
        <v>6.6486111285027849E-2</v>
      </c>
      <c r="AE52" s="22">
        <f t="shared" si="8"/>
        <v>50.331120609721253</v>
      </c>
      <c r="AF52" s="22"/>
      <c r="AG52" s="22">
        <f t="shared" si="9"/>
        <v>0.19140634420205896</v>
      </c>
      <c r="AH52" s="22">
        <f t="shared" si="10"/>
        <v>-7.1804367154201696</v>
      </c>
      <c r="AI52" s="106">
        <f t="shared" si="11"/>
        <v>89.452637981310545</v>
      </c>
      <c r="AJ52" s="104"/>
      <c r="AK52" s="104"/>
      <c r="AL52" s="104"/>
      <c r="AM52" s="104">
        <f t="shared" si="12"/>
        <v>25.165560304860627</v>
      </c>
      <c r="AN52" s="109">
        <f t="shared" si="13"/>
        <v>80.082626571400993</v>
      </c>
      <c r="AO52" s="104"/>
      <c r="AP52" s="104">
        <f t="shared" si="14"/>
        <v>12.582780152430313</v>
      </c>
      <c r="AQ52" s="104">
        <f t="shared" si="15"/>
        <v>84.499846418970662</v>
      </c>
      <c r="AR52" s="104"/>
      <c r="AS52" s="104"/>
      <c r="AT52" s="104"/>
      <c r="AU52" s="104"/>
      <c r="AV52" s="104"/>
      <c r="AW52" s="104"/>
      <c r="AX52" s="22"/>
      <c r="AY52" s="22">
        <f t="shared" si="16"/>
        <v>0.26491065042208839</v>
      </c>
      <c r="AZ52" s="22">
        <f t="shared" si="17"/>
        <v>-5.7690058105134625</v>
      </c>
      <c r="BA52" s="104">
        <f t="shared" si="18"/>
        <v>110.86406888621725</v>
      </c>
      <c r="BB52">
        <f t="shared" si="34"/>
        <v>55.25</v>
      </c>
      <c r="BC52">
        <f t="shared" si="19"/>
        <v>34.846645647142964</v>
      </c>
      <c r="BD52">
        <f t="shared" si="20"/>
        <v>6.4605121309566682</v>
      </c>
      <c r="BE52" s="88">
        <f t="shared" si="21"/>
        <v>131.74222655773571</v>
      </c>
      <c r="BF52">
        <f t="shared" si="22"/>
        <v>2.8598486353720947E-3</v>
      </c>
      <c r="BG52">
        <f t="shared" si="23"/>
        <v>41.307157778099629</v>
      </c>
      <c r="BH52">
        <f t="shared" si="24"/>
        <v>116.24061228747075</v>
      </c>
      <c r="BI52">
        <f t="shared" si="25"/>
        <v>0.33243055642513997</v>
      </c>
      <c r="BJ52" s="54"/>
      <c r="BK52" s="54"/>
      <c r="BL52">
        <f t="shared" si="35"/>
        <v>170.5</v>
      </c>
      <c r="BM52">
        <f t="shared" si="26"/>
        <v>44.634487666570323</v>
      </c>
      <c r="BN52">
        <f t="shared" si="27"/>
        <v>19.936965037612886</v>
      </c>
      <c r="BO52" s="88">
        <f t="shared" si="28"/>
        <v>114.49853154493177</v>
      </c>
      <c r="BP52">
        <f t="shared" si="29"/>
        <v>3.9278807752531124E-4</v>
      </c>
      <c r="BQ52">
        <f t="shared" si="30"/>
        <v>64.571452704183201</v>
      </c>
      <c r="BR52">
        <f t="shared" si="31"/>
        <v>1692.6713179257272</v>
      </c>
      <c r="BS52">
        <f t="shared" si="32"/>
        <v>0.66486111285028127</v>
      </c>
    </row>
    <row r="53" spans="18:71">
      <c r="R53" s="28" t="s">
        <v>124</v>
      </c>
      <c r="S53" s="50">
        <f>$S$46+S43+$S$36+$S$18-$S$48</f>
        <v>-42.331186049664154</v>
      </c>
      <c r="T53" s="26" t="s">
        <v>51</v>
      </c>
      <c r="U53" s="12"/>
      <c r="V53">
        <f t="shared" si="33"/>
        <v>18.5</v>
      </c>
      <c r="W53" s="56">
        <f t="shared" si="1"/>
        <v>25.343434568060275</v>
      </c>
      <c r="X53" s="56">
        <f t="shared" si="2"/>
        <v>2.1632484058406942</v>
      </c>
      <c r="Y53" s="56">
        <f t="shared" si="3"/>
        <v>131.56330127521397</v>
      </c>
      <c r="Z53" s="56">
        <f t="shared" si="4"/>
        <v>-51.052064330166502</v>
      </c>
      <c r="AA53" s="87">
        <f t="shared" si="41"/>
        <v>2.8015397151809453E-3</v>
      </c>
      <c r="AB53" s="86">
        <f t="shared" si="5"/>
        <v>27.506682973900968</v>
      </c>
      <c r="AC53" s="22">
        <f t="shared" si="6"/>
        <v>23.731989564436219</v>
      </c>
      <c r="AD53" s="102">
        <f t="shared" si="7"/>
        <v>6.6486111285027807E-2</v>
      </c>
      <c r="AE53" s="22">
        <f t="shared" si="8"/>
        <v>50.686869136120549</v>
      </c>
      <c r="AF53" s="22"/>
      <c r="AG53" s="22">
        <f t="shared" si="9"/>
        <v>0.19940854047095835</v>
      </c>
      <c r="AH53" s="22">
        <f t="shared" si="10"/>
        <v>-7.0025624522205199</v>
      </c>
      <c r="AI53" s="106">
        <f t="shared" si="11"/>
        <v>89.274763718110918</v>
      </c>
      <c r="AJ53" s="104"/>
      <c r="AK53" s="104"/>
      <c r="AL53" s="104"/>
      <c r="AM53" s="104">
        <f t="shared" si="12"/>
        <v>25.343434568060275</v>
      </c>
      <c r="AN53" s="109">
        <f t="shared" si="13"/>
        <v>79.860902678353199</v>
      </c>
      <c r="AO53" s="104"/>
      <c r="AP53" s="104">
        <f t="shared" si="14"/>
        <v>12.671717284030137</v>
      </c>
      <c r="AQ53" s="104">
        <f t="shared" si="15"/>
        <v>84.189185394323076</v>
      </c>
      <c r="AR53" s="104"/>
      <c r="AS53" s="104"/>
      <c r="AT53" s="104"/>
      <c r="AU53" s="104"/>
      <c r="AV53" s="104"/>
      <c r="AW53" s="104"/>
      <c r="AX53" s="22"/>
      <c r="AY53" s="22">
        <f t="shared" si="16"/>
        <v>0.27039156043082124</v>
      </c>
      <c r="AZ53" s="22">
        <f t="shared" si="17"/>
        <v>-5.6800686789136368</v>
      </c>
      <c r="BA53" s="104">
        <f t="shared" si="18"/>
        <v>110.59725749141779</v>
      </c>
      <c r="BB53">
        <f t="shared" si="34"/>
        <v>56</v>
      </c>
      <c r="BC53">
        <f t="shared" si="19"/>
        <v>34.963760540124007</v>
      </c>
      <c r="BD53">
        <f t="shared" si="20"/>
        <v>6.548211390652912</v>
      </c>
      <c r="BE53" s="88">
        <f t="shared" si="21"/>
        <v>131.5374124050584</v>
      </c>
      <c r="BF53">
        <f t="shared" si="22"/>
        <v>2.7932019720192736E-3</v>
      </c>
      <c r="BG53">
        <f t="shared" si="23"/>
        <v>41.511971930776916</v>
      </c>
      <c r="BH53">
        <f t="shared" si="24"/>
        <v>119.01414926498039</v>
      </c>
      <c r="BI53">
        <f t="shared" si="25"/>
        <v>0.33243055642513941</v>
      </c>
      <c r="BJ53" s="54"/>
      <c r="BK53" s="54"/>
      <c r="BL53">
        <f t="shared" si="35"/>
        <v>172</v>
      </c>
      <c r="BM53">
        <f t="shared" si="26"/>
        <v>44.710568938150971</v>
      </c>
      <c r="BN53">
        <f t="shared" si="27"/>
        <v>20.112363557005374</v>
      </c>
      <c r="BO53" s="88">
        <f t="shared" si="28"/>
        <v>114.24705175395862</v>
      </c>
      <c r="BP53">
        <f t="shared" si="29"/>
        <v>3.8157886109758141E-4</v>
      </c>
      <c r="BQ53">
        <f t="shared" si="30"/>
        <v>64.822932495156351</v>
      </c>
      <c r="BR53">
        <f t="shared" si="31"/>
        <v>1742.395034509668</v>
      </c>
      <c r="BS53">
        <f t="shared" si="32"/>
        <v>0.66486111285028016</v>
      </c>
    </row>
    <row r="54" spans="18:71">
      <c r="R54" s="28" t="s">
        <v>125</v>
      </c>
      <c r="S54" s="50">
        <f>$S$46+S44+$S$36+$S$18-$S$48</f>
        <v>-39.320886093024335</v>
      </c>
      <c r="T54" s="26" t="s">
        <v>51</v>
      </c>
      <c r="U54" s="12"/>
      <c r="V54">
        <f t="shared" si="33"/>
        <v>18.875</v>
      </c>
      <c r="W54" s="56">
        <f t="shared" si="1"/>
        <v>25.517739206024519</v>
      </c>
      <c r="X54" s="56">
        <f t="shared" si="2"/>
        <v>2.2070980356888166</v>
      </c>
      <c r="Y54" s="56">
        <f t="shared" si="3"/>
        <v>131.34514700740161</v>
      </c>
      <c r="Z54" s="56">
        <f t="shared" si="4"/>
        <v>-51.270218597978868</v>
      </c>
      <c r="AA54" s="87">
        <f t="shared" si="41"/>
        <v>2.7320526853822024E-3</v>
      </c>
      <c r="AB54" s="86">
        <f t="shared" si="5"/>
        <v>27.724837241713335</v>
      </c>
      <c r="AC54" s="22">
        <f t="shared" si="6"/>
        <v>24.33558900264282</v>
      </c>
      <c r="AD54" s="102">
        <f t="shared" si="7"/>
        <v>6.6486111285027905E-2</v>
      </c>
      <c r="AE54" s="22">
        <f t="shared" si="8"/>
        <v>51.035478412049038</v>
      </c>
      <c r="AF54" s="22"/>
      <c r="AG54" s="22">
        <f t="shared" si="9"/>
        <v>0.20757460424024476</v>
      </c>
      <c r="AH54" s="22">
        <f t="shared" si="10"/>
        <v>-6.8282578142562791</v>
      </c>
      <c r="AI54" s="106">
        <f t="shared" si="11"/>
        <v>89.100459080146678</v>
      </c>
      <c r="AJ54" s="104"/>
      <c r="AK54" s="104"/>
      <c r="AL54" s="104"/>
      <c r="AM54" s="104">
        <f t="shared" si="12"/>
        <v>25.517739206024519</v>
      </c>
      <c r="AN54" s="109">
        <f t="shared" si="13"/>
        <v>79.642748410540833</v>
      </c>
      <c r="AO54" s="104"/>
      <c r="AP54" s="104">
        <f t="shared" si="14"/>
        <v>12.758869603012259</v>
      </c>
      <c r="AQ54" s="104">
        <f t="shared" si="15"/>
        <v>83.883878807528589</v>
      </c>
      <c r="AR54" s="104"/>
      <c r="AS54" s="104"/>
      <c r="AT54" s="104"/>
      <c r="AU54" s="104"/>
      <c r="AV54" s="104"/>
      <c r="AW54" s="104"/>
      <c r="AX54" s="22"/>
      <c r="AY54" s="22">
        <f t="shared" si="16"/>
        <v>0.27587247043955415</v>
      </c>
      <c r="AZ54" s="22">
        <f t="shared" si="17"/>
        <v>-5.5929163599315155</v>
      </c>
      <c r="BA54" s="104">
        <f t="shared" si="18"/>
        <v>110.33580053447143</v>
      </c>
      <c r="BB54">
        <f t="shared" si="34"/>
        <v>56.75</v>
      </c>
      <c r="BC54">
        <f t="shared" si="19"/>
        <v>35.079317317303207</v>
      </c>
      <c r="BD54">
        <f t="shared" si="20"/>
        <v>6.6359106503491567</v>
      </c>
      <c r="BE54" s="88">
        <f t="shared" si="21"/>
        <v>131.33415636818296</v>
      </c>
      <c r="BF54">
        <f t="shared" si="22"/>
        <v>2.7285978848488237E-3</v>
      </c>
      <c r="BG54">
        <f t="shared" si="23"/>
        <v>41.715227967652368</v>
      </c>
      <c r="BH54">
        <f t="shared" si="24"/>
        <v>121.83200693331837</v>
      </c>
      <c r="BI54">
        <f t="shared" si="25"/>
        <v>0.33243055642513974</v>
      </c>
      <c r="BJ54" s="54"/>
      <c r="BK54" s="54"/>
      <c r="BL54">
        <f t="shared" si="35"/>
        <v>173.5</v>
      </c>
      <c r="BM54">
        <f t="shared" si="26"/>
        <v>44.785989582537844</v>
      </c>
      <c r="BN54">
        <f t="shared" si="27"/>
        <v>20.287762076397861</v>
      </c>
      <c r="BO54" s="88">
        <f t="shared" si="28"/>
        <v>113.99623259017928</v>
      </c>
      <c r="BP54">
        <f t="shared" si="29"/>
        <v>3.7071772324172043E-4</v>
      </c>
      <c r="BQ54">
        <f t="shared" si="30"/>
        <v>65.073751658935706</v>
      </c>
      <c r="BR54">
        <f t="shared" si="31"/>
        <v>1793.4430192234702</v>
      </c>
      <c r="BS54">
        <f t="shared" si="32"/>
        <v>0.66486111285028193</v>
      </c>
    </row>
    <row r="55" spans="18:71">
      <c r="V55">
        <f t="shared" si="33"/>
        <v>19.25</v>
      </c>
      <c r="W55" s="56">
        <f t="shared" si="1"/>
        <v>25.688614676890392</v>
      </c>
      <c r="X55" s="56">
        <f t="shared" si="2"/>
        <v>2.2509476655369385</v>
      </c>
      <c r="Y55" s="56">
        <f t="shared" si="3"/>
        <v>131.13042190668764</v>
      </c>
      <c r="Z55" s="56">
        <f t="shared" si="4"/>
        <v>-51.484943698692831</v>
      </c>
      <c r="AA55" s="87">
        <f t="shared" si="41"/>
        <v>2.6653412155344561E-3</v>
      </c>
      <c r="AB55" s="86">
        <f t="shared" si="5"/>
        <v>27.93956234242733</v>
      </c>
      <c r="AC55" s="22">
        <f t="shared" si="6"/>
        <v>24.944690344908157</v>
      </c>
      <c r="AD55" s="102">
        <f t="shared" si="7"/>
        <v>6.6486111285028113E-2</v>
      </c>
      <c r="AE55" s="22">
        <f t="shared" si="8"/>
        <v>51.377229353780784</v>
      </c>
      <c r="AF55" s="22"/>
      <c r="AG55" s="22">
        <f t="shared" si="9"/>
        <v>0.2159045355099182</v>
      </c>
      <c r="AH55" s="22">
        <f t="shared" si="10"/>
        <v>-6.6573823433904069</v>
      </c>
      <c r="AI55" s="106">
        <f t="shared" si="11"/>
        <v>88.929583609280783</v>
      </c>
      <c r="AJ55" s="104"/>
      <c r="AK55" s="104"/>
      <c r="AL55" s="104"/>
      <c r="AM55" s="104">
        <f t="shared" si="12"/>
        <v>25.688614676890392</v>
      </c>
      <c r="AN55" s="109">
        <f t="shared" si="13"/>
        <v>79.428023309826855</v>
      </c>
      <c r="AO55" s="104"/>
      <c r="AP55" s="104">
        <f t="shared" si="14"/>
        <v>12.844307338445196</v>
      </c>
      <c r="AQ55" s="104">
        <f t="shared" si="15"/>
        <v>83.58371597138165</v>
      </c>
      <c r="AR55" s="104"/>
      <c r="AS55" s="104"/>
      <c r="AT55" s="104"/>
      <c r="AU55" s="104"/>
      <c r="AV55" s="104"/>
      <c r="AW55" s="104"/>
      <c r="AX55" s="22"/>
      <c r="AY55" s="22">
        <f t="shared" si="16"/>
        <v>0.281353380448287</v>
      </c>
      <c r="AZ55" s="22">
        <f t="shared" si="17"/>
        <v>-5.5074786244985798</v>
      </c>
      <c r="BA55" s="104">
        <f t="shared" si="18"/>
        <v>110.07948732817262</v>
      </c>
      <c r="BB55">
        <f t="shared" si="34"/>
        <v>57.5</v>
      </c>
      <c r="BC55">
        <f t="shared" si="19"/>
        <v>35.193356893792611</v>
      </c>
      <c r="BD55">
        <f t="shared" si="20"/>
        <v>6.7236099100454014</v>
      </c>
      <c r="BE55" s="88">
        <f t="shared" si="21"/>
        <v>131.13241753199731</v>
      </c>
      <c r="BF55">
        <f t="shared" si="22"/>
        <v>2.6659536609709837E-3</v>
      </c>
      <c r="BG55">
        <f t="shared" si="23"/>
        <v>41.916966803838015</v>
      </c>
      <c r="BH55">
        <f t="shared" si="24"/>
        <v>124.69479919769614</v>
      </c>
      <c r="BI55">
        <f t="shared" si="25"/>
        <v>0.33243055642513969</v>
      </c>
      <c r="BJ55" s="54"/>
      <c r="BK55" s="54"/>
      <c r="BL55">
        <f t="shared" si="35"/>
        <v>175</v>
      </c>
      <c r="BM55">
        <f t="shared" si="26"/>
        <v>44.860760973725888</v>
      </c>
      <c r="BN55">
        <f t="shared" si="27"/>
        <v>20.463160595790349</v>
      </c>
      <c r="BO55" s="88">
        <f t="shared" si="28"/>
        <v>113.74606267959872</v>
      </c>
      <c r="BP55">
        <f t="shared" si="29"/>
        <v>3.6019265600483185E-4</v>
      </c>
      <c r="BQ55">
        <f t="shared" si="30"/>
        <v>65.323921569516244</v>
      </c>
      <c r="BR55">
        <f t="shared" si="31"/>
        <v>1845.8486084218271</v>
      </c>
      <c r="BS55">
        <f t="shared" si="32"/>
        <v>0.66486111285028071</v>
      </c>
    </row>
    <row r="56" spans="18:71">
      <c r="V56">
        <f t="shared" si="33"/>
        <v>19.625</v>
      </c>
      <c r="W56" s="56">
        <f t="shared" si="1"/>
        <v>25.856193308345805</v>
      </c>
      <c r="X56" s="56">
        <f t="shared" si="2"/>
        <v>2.2947972953850608</v>
      </c>
      <c r="Y56" s="56">
        <f t="shared" si="3"/>
        <v>130.91899364538409</v>
      </c>
      <c r="Z56" s="56">
        <f t="shared" si="4"/>
        <v>-51.696371959996384</v>
      </c>
      <c r="AA56" s="87">
        <f t="shared" si="41"/>
        <v>2.6012458598753244E-3</v>
      </c>
      <c r="AB56" s="86">
        <f t="shared" si="5"/>
        <v>28.150990603730865</v>
      </c>
      <c r="AC56" s="22">
        <f t="shared" si="6"/>
        <v>25.55933382176131</v>
      </c>
      <c r="AD56" s="102">
        <f t="shared" si="7"/>
        <v>6.648611128502796E-2</v>
      </c>
      <c r="AE56" s="22">
        <f t="shared" si="8"/>
        <v>51.71238661669161</v>
      </c>
      <c r="AF56" s="22"/>
      <c r="AG56" s="22">
        <f t="shared" si="9"/>
        <v>0.22439833427997866</v>
      </c>
      <c r="AH56" s="22">
        <f t="shared" si="10"/>
        <v>-6.4898037119349929</v>
      </c>
      <c r="AI56" s="106">
        <f t="shared" si="11"/>
        <v>88.76200497782537</v>
      </c>
      <c r="AJ56" s="104"/>
      <c r="AK56" s="104"/>
      <c r="AL56" s="104"/>
      <c r="AM56" s="104">
        <f t="shared" si="12"/>
        <v>25.856193308345805</v>
      </c>
      <c r="AN56" s="109">
        <f t="shared" si="13"/>
        <v>79.216595048523317</v>
      </c>
      <c r="AO56" s="104"/>
      <c r="AP56" s="104">
        <f t="shared" si="14"/>
        <v>12.928096654172903</v>
      </c>
      <c r="AQ56" s="104">
        <f t="shared" si="15"/>
        <v>83.288498394350427</v>
      </c>
      <c r="AR56" s="104"/>
      <c r="AS56" s="104"/>
      <c r="AT56" s="104"/>
      <c r="AU56" s="104"/>
      <c r="AV56" s="104"/>
      <c r="AW56" s="104"/>
      <c r="AX56" s="22"/>
      <c r="AY56" s="22">
        <f t="shared" si="16"/>
        <v>0.28683429045701986</v>
      </c>
      <c r="AZ56" s="22">
        <f t="shared" si="17"/>
        <v>-5.4236893087708724</v>
      </c>
      <c r="BA56" s="104">
        <f t="shared" si="18"/>
        <v>109.82811938098949</v>
      </c>
      <c r="BB56">
        <f t="shared" si="34"/>
        <v>58.25</v>
      </c>
      <c r="BC56">
        <f t="shared" si="19"/>
        <v>35.305918593961131</v>
      </c>
      <c r="BD56">
        <f t="shared" si="20"/>
        <v>6.8113091697416461</v>
      </c>
      <c r="BE56" s="88">
        <f t="shared" si="21"/>
        <v>130.93215657213256</v>
      </c>
      <c r="BF56">
        <f t="shared" si="22"/>
        <v>2.6051908750149336E-3</v>
      </c>
      <c r="BG56">
        <f t="shared" si="23"/>
        <v>42.117227763702779</v>
      </c>
      <c r="BH56">
        <f t="shared" si="24"/>
        <v>127.60314785888173</v>
      </c>
      <c r="BI56">
        <f t="shared" si="25"/>
        <v>0.33243055642514002</v>
      </c>
      <c r="BJ56" s="54"/>
      <c r="BK56" s="54"/>
      <c r="BL56">
        <f t="shared" si="35"/>
        <v>176.5</v>
      </c>
      <c r="BM56">
        <f t="shared" si="26"/>
        <v>44.934894194476833</v>
      </c>
      <c r="BN56">
        <f t="shared" si="27"/>
        <v>20.63855911518284</v>
      </c>
      <c r="BO56" s="88">
        <f t="shared" si="28"/>
        <v>113.4965309394553</v>
      </c>
      <c r="BP56">
        <f t="shared" si="29"/>
        <v>3.4999212023659773E-4</v>
      </c>
      <c r="BQ56">
        <f t="shared" si="30"/>
        <v>65.573453309659669</v>
      </c>
      <c r="BR56">
        <f t="shared" si="31"/>
        <v>1899.6459474596993</v>
      </c>
      <c r="BS56">
        <f t="shared" si="32"/>
        <v>0.66486111285028071</v>
      </c>
    </row>
    <row r="57" spans="18:71">
      <c r="V57">
        <f>V56+$O$32</f>
        <v>20</v>
      </c>
      <c r="W57" s="56">
        <f t="shared" si="1"/>
        <v>26.020599913279625</v>
      </c>
      <c r="X57" s="56">
        <f t="shared" si="2"/>
        <v>2.3386469252331832</v>
      </c>
      <c r="Y57" s="56">
        <f t="shared" si="3"/>
        <v>130.71073741060215</v>
      </c>
      <c r="Z57" s="56">
        <f t="shared" si="4"/>
        <v>-51.904628194778326</v>
      </c>
      <c r="AA57" s="87">
        <f t="shared" si="41"/>
        <v>2.5396191327409731E-3</v>
      </c>
      <c r="AB57" s="86">
        <f t="shared" si="5"/>
        <v>28.35924683851281</v>
      </c>
      <c r="AC57" s="22">
        <f t="shared" si="6"/>
        <v>26.179559930024034</v>
      </c>
      <c r="AD57" s="102">
        <f t="shared" si="7"/>
        <v>6.648611128502796E-2</v>
      </c>
      <c r="AE57" s="22">
        <f t="shared" si="8"/>
        <v>52.04119982655925</v>
      </c>
      <c r="AF57" s="22"/>
      <c r="AG57" s="22">
        <f t="shared" si="9"/>
        <v>0.23305600055042613</v>
      </c>
      <c r="AH57" s="22">
        <f t="shared" si="10"/>
        <v>-6.3253971070011712</v>
      </c>
      <c r="AI57" s="106">
        <f t="shared" si="11"/>
        <v>88.597598372891568</v>
      </c>
      <c r="AJ57" s="104"/>
      <c r="AK57" s="104"/>
      <c r="AL57" s="104"/>
      <c r="AM57" s="104">
        <f t="shared" si="12"/>
        <v>26.020599913279625</v>
      </c>
      <c r="AN57" s="109">
        <f t="shared" si="13"/>
        <v>79.008338813741375</v>
      </c>
      <c r="AO57" s="104"/>
      <c r="AP57" s="104">
        <f t="shared" si="14"/>
        <v>13.010299956639813</v>
      </c>
      <c r="AQ57" s="104">
        <f t="shared" si="15"/>
        <v>82.998038857101562</v>
      </c>
      <c r="AR57" s="104"/>
      <c r="AS57" s="104"/>
      <c r="AT57" s="104"/>
      <c r="AU57" s="104"/>
      <c r="AV57" s="104"/>
      <c r="AW57" s="104"/>
      <c r="AX57" s="22"/>
      <c r="AY57" s="22">
        <f t="shared" si="16"/>
        <v>0.29231520046575271</v>
      </c>
      <c r="AZ57" s="22">
        <f t="shared" si="17"/>
        <v>-5.3414860063039624</v>
      </c>
      <c r="BA57" s="104">
        <f t="shared" si="18"/>
        <v>109.58150947358877</v>
      </c>
      <c r="BB57">
        <f t="shared" si="34"/>
        <v>59</v>
      </c>
      <c r="BC57">
        <f t="shared" si="19"/>
        <v>35.417040232842886</v>
      </c>
      <c r="BD57">
        <f t="shared" si="20"/>
        <v>6.8990084294378891</v>
      </c>
      <c r="BE57" s="88">
        <f t="shared" si="21"/>
        <v>130.73333567355456</v>
      </c>
      <c r="BF57">
        <f t="shared" si="22"/>
        <v>2.5462351163429505E-3</v>
      </c>
      <c r="BG57">
        <f t="shared" si="23"/>
        <v>42.316048662280778</v>
      </c>
      <c r="BH57">
        <f t="shared" si="24"/>
        <v>130.55768271022666</v>
      </c>
      <c r="BI57">
        <f t="shared" si="25"/>
        <v>0.33243055642513997</v>
      </c>
      <c r="BJ57" s="54"/>
      <c r="BK57" s="54"/>
      <c r="BL57">
        <f t="shared" si="35"/>
        <v>178</v>
      </c>
      <c r="BM57">
        <f t="shared" si="26"/>
        <v>45.008400046177883</v>
      </c>
      <c r="BN57">
        <f t="shared" si="27"/>
        <v>20.813957634575328</v>
      </c>
      <c r="BO57" s="88">
        <f t="shared" si="28"/>
        <v>113.24762656836175</v>
      </c>
      <c r="BP57">
        <f t="shared" si="29"/>
        <v>3.4010502463509903E-4</v>
      </c>
      <c r="BQ57">
        <f t="shared" si="30"/>
        <v>65.822357680753214</v>
      </c>
      <c r="BR57">
        <f t="shared" si="31"/>
        <v>1954.8700098259767</v>
      </c>
      <c r="BS57">
        <f t="shared" si="32"/>
        <v>0.66486111285028004</v>
      </c>
    </row>
    <row r="58" spans="18:71">
      <c r="W58" s="39"/>
      <c r="X58" s="14"/>
      <c r="Y58" s="14"/>
      <c r="Z58" s="14"/>
      <c r="AA58" s="100"/>
      <c r="AB58" s="54"/>
      <c r="AC58" s="54"/>
      <c r="AD58" s="54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54"/>
      <c r="BB58">
        <f t="shared" si="34"/>
        <v>59.75</v>
      </c>
      <c r="BC58">
        <f t="shared" si="19"/>
        <v>35.526758192403506</v>
      </c>
      <c r="BD58">
        <f t="shared" si="20"/>
        <v>6.9867076891341338</v>
      </c>
      <c r="BE58" s="88">
        <f t="shared" si="21"/>
        <v>130.53591845429767</v>
      </c>
      <c r="BF58">
        <f t="shared" si="22"/>
        <v>2.4890157368118765E-3</v>
      </c>
      <c r="BG58">
        <f t="shared" si="23"/>
        <v>42.513465881537641</v>
      </c>
      <c r="BH58">
        <f t="shared" si="24"/>
        <v>133.55904163584833</v>
      </c>
      <c r="BI58">
        <f t="shared" si="25"/>
        <v>0.33243055642513913</v>
      </c>
      <c r="BJ58" s="54"/>
      <c r="BK58" s="54"/>
      <c r="BL58">
        <f t="shared" si="35"/>
        <v>179.5</v>
      </c>
      <c r="BM58">
        <f t="shared" si="26"/>
        <v>45.081289058286764</v>
      </c>
      <c r="BN58">
        <f t="shared" si="27"/>
        <v>20.989356153967815</v>
      </c>
      <c r="BO58" s="88">
        <f t="shared" si="28"/>
        <v>112.99933903686041</v>
      </c>
      <c r="BP58">
        <f t="shared" si="29"/>
        <v>3.3052070586709969E-4</v>
      </c>
      <c r="BQ58">
        <f t="shared" si="30"/>
        <v>66.070645212254576</v>
      </c>
      <c r="BR58">
        <f t="shared" si="31"/>
        <v>2011.5566167210648</v>
      </c>
      <c r="BS58">
        <f t="shared" si="32"/>
        <v>0.66486111285028127</v>
      </c>
    </row>
    <row r="59" spans="18:71">
      <c r="W59" s="39"/>
      <c r="X59" s="14"/>
      <c r="Y59" s="14" t="s">
        <v>9</v>
      </c>
      <c r="Z59" s="14"/>
      <c r="AA59" s="55"/>
      <c r="AB59" s="54"/>
      <c r="AC59" s="54"/>
      <c r="AD59" s="54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54"/>
      <c r="BB59">
        <f t="shared" si="34"/>
        <v>60.5</v>
      </c>
      <c r="BC59">
        <f t="shared" si="19"/>
        <v>35.635107493049375</v>
      </c>
      <c r="BD59">
        <f t="shared" si="20"/>
        <v>7.0744069488303785</v>
      </c>
      <c r="BE59" s="88">
        <f t="shared" si="21"/>
        <v>130.33986989395558</v>
      </c>
      <c r="BF59">
        <f t="shared" si="22"/>
        <v>2.4334656172987847E-3</v>
      </c>
      <c r="BG59">
        <f t="shared" si="23"/>
        <v>42.709514441879755</v>
      </c>
      <c r="BH59">
        <f t="shared" si="24"/>
        <v>136.60787070998245</v>
      </c>
      <c r="BI59">
        <f t="shared" si="25"/>
        <v>0.33243055642514002</v>
      </c>
      <c r="BJ59" s="54"/>
      <c r="BK59" s="54"/>
      <c r="BL59">
        <f t="shared" si="35"/>
        <v>181</v>
      </c>
      <c r="BM59">
        <f t="shared" si="26"/>
        <v>45.153571497383695</v>
      </c>
      <c r="BN59">
        <f t="shared" si="27"/>
        <v>21.164754673360306</v>
      </c>
      <c r="BO59" s="88">
        <f t="shared" si="28"/>
        <v>112.75165807837097</v>
      </c>
      <c r="BP59">
        <f t="shared" si="29"/>
        <v>3.212289096999509E-4</v>
      </c>
      <c r="BQ59">
        <f t="shared" si="30"/>
        <v>66.318326170744001</v>
      </c>
      <c r="BR59">
        <f t="shared" si="31"/>
        <v>2069.7424570886383</v>
      </c>
      <c r="BS59">
        <f t="shared" si="32"/>
        <v>0.66486111285028071</v>
      </c>
    </row>
    <row r="60" spans="18:71">
      <c r="W60" s="39"/>
      <c r="X60" s="14"/>
      <c r="Y60" s="14"/>
      <c r="Z60" s="14"/>
      <c r="AA60" s="55"/>
      <c r="AB60" s="54"/>
      <c r="AC60" s="54"/>
      <c r="AD60" s="54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54"/>
      <c r="BB60">
        <f t="shared" si="34"/>
        <v>61.25</v>
      </c>
      <c r="BC60">
        <f t="shared" si="19"/>
        <v>35.742121860731402</v>
      </c>
      <c r="BD60">
        <f t="shared" si="20"/>
        <v>7.1621062085266223</v>
      </c>
      <c r="BE60" s="88">
        <f t="shared" si="21"/>
        <v>130.14515626657732</v>
      </c>
      <c r="BF60">
        <f t="shared" si="22"/>
        <v>2.3795209513823687E-3</v>
      </c>
      <c r="BG60">
        <f t="shared" si="23"/>
        <v>42.904228069258025</v>
      </c>
      <c r="BH60">
        <f t="shared" si="24"/>
        <v>139.70482429751954</v>
      </c>
      <c r="BI60">
        <f t="shared" si="25"/>
        <v>0.33243055642514036</v>
      </c>
      <c r="BJ60" s="54"/>
      <c r="BK60" s="54"/>
      <c r="BL60">
        <f t="shared" si="35"/>
        <v>182.5</v>
      </c>
      <c r="BM60">
        <f t="shared" si="26"/>
        <v>45.225257375849864</v>
      </c>
      <c r="BN60">
        <f t="shared" si="27"/>
        <v>21.340153192752794</v>
      </c>
      <c r="BO60" s="88">
        <f t="shared" si="28"/>
        <v>112.50457368051231</v>
      </c>
      <c r="BP60">
        <f t="shared" si="29"/>
        <v>3.1221977308649014E-4</v>
      </c>
      <c r="BQ60">
        <f t="shared" si="30"/>
        <v>66.565410568602658</v>
      </c>
      <c r="BR60">
        <f t="shared" si="31"/>
        <v>2129.4651081118523</v>
      </c>
      <c r="BS60">
        <f t="shared" si="32"/>
        <v>0.66486111285028071</v>
      </c>
    </row>
    <row r="61" spans="18:71">
      <c r="W61" s="39"/>
      <c r="X61" s="14"/>
      <c r="Y61" s="14"/>
      <c r="Z61" s="14"/>
      <c r="AA61" s="55"/>
      <c r="AB61" s="54"/>
      <c r="AC61" s="54"/>
      <c r="AD61" s="54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54"/>
      <c r="BB61">
        <f t="shared" si="34"/>
        <v>62</v>
      </c>
      <c r="BC61">
        <f t="shared" si="19"/>
        <v>35.84783378996508</v>
      </c>
      <c r="BD61">
        <f t="shared" si="20"/>
        <v>7.249805468222867</v>
      </c>
      <c r="BE61" s="88">
        <f t="shared" si="21"/>
        <v>129.95174507764739</v>
      </c>
      <c r="BF61">
        <f t="shared" si="22"/>
        <v>2.3271210447275564E-3</v>
      </c>
      <c r="BG61">
        <f t="shared" si="23"/>
        <v>43.097639258187947</v>
      </c>
      <c r="BH61">
        <f t="shared" si="24"/>
        <v>142.85056515573677</v>
      </c>
      <c r="BI61">
        <f t="shared" si="25"/>
        <v>0.33243055642514002</v>
      </c>
      <c r="BJ61" s="54"/>
      <c r="BK61" s="54"/>
      <c r="BL61">
        <f t="shared" si="35"/>
        <v>184</v>
      </c>
      <c r="BM61">
        <f t="shared" si="26"/>
        <v>45.296356460190729</v>
      </c>
      <c r="BN61">
        <f t="shared" si="27"/>
        <v>21.515551712145282</v>
      </c>
      <c r="BO61" s="88">
        <f t="shared" si="28"/>
        <v>112.25807607677895</v>
      </c>
      <c r="BP61">
        <f t="shared" si="29"/>
        <v>3.0348380714806915E-4</v>
      </c>
      <c r="BQ61">
        <f t="shared" si="30"/>
        <v>66.811908172336018</v>
      </c>
      <c r="BR61">
        <f t="shared" si="31"/>
        <v>2190.7630561847304</v>
      </c>
      <c r="BS61">
        <f t="shared" si="32"/>
        <v>0.66486111285028127</v>
      </c>
    </row>
    <row r="62" spans="18:71">
      <c r="W62" s="39"/>
      <c r="X62" s="14"/>
      <c r="Y62" s="14"/>
      <c r="Z62" s="14"/>
      <c r="AA62" s="55"/>
      <c r="AB62" s="54"/>
      <c r="AC62" s="54"/>
      <c r="AD62" s="54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54"/>
      <c r="BB62">
        <f>BB61+$O$34</f>
        <v>62.75</v>
      </c>
      <c r="BC62">
        <f t="shared" si="19"/>
        <v>35.952274603061511</v>
      </c>
      <c r="BD62">
        <f t="shared" si="20"/>
        <v>7.3375047279191117</v>
      </c>
      <c r="BE62" s="88">
        <f t="shared" si="21"/>
        <v>129.75960500485471</v>
      </c>
      <c r="BF62">
        <f t="shared" si="22"/>
        <v>2.2762081288592848E-3</v>
      </c>
      <c r="BG62">
        <f t="shared" si="23"/>
        <v>43.289779330980622</v>
      </c>
      <c r="BH62">
        <f t="shared" si="24"/>
        <v>146.04576453724218</v>
      </c>
      <c r="BI62">
        <f t="shared" si="25"/>
        <v>0.33243055642513969</v>
      </c>
      <c r="BJ62" s="54"/>
      <c r="BK62" s="54"/>
      <c r="BL62">
        <f t="shared" si="35"/>
        <v>185.5</v>
      </c>
      <c r="BM62">
        <f t="shared" si="26"/>
        <v>45.366878279021293</v>
      </c>
      <c r="BN62">
        <f t="shared" si="27"/>
        <v>21.690950231537773</v>
      </c>
      <c r="BO62" s="88">
        <f t="shared" si="28"/>
        <v>112.01215573855588</v>
      </c>
      <c r="BP62">
        <f t="shared" si="29"/>
        <v>2.9501188100447187E-4</v>
      </c>
      <c r="BQ62">
        <f t="shared" si="30"/>
        <v>67.057828510559062</v>
      </c>
      <c r="BR62">
        <f t="shared" si="31"/>
        <v>2253.6757183694581</v>
      </c>
      <c r="BS62">
        <f t="shared" si="32"/>
        <v>0.66486111285027827</v>
      </c>
    </row>
    <row r="63" spans="18:71">
      <c r="W63" s="39"/>
      <c r="X63" s="14"/>
      <c r="Y63" s="14"/>
      <c r="Z63" s="14"/>
      <c r="AA63" s="55"/>
      <c r="AB63" s="54"/>
      <c r="AC63" s="54"/>
      <c r="AD63" s="54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54"/>
      <c r="BB63">
        <f t="shared" si="34"/>
        <v>63.5</v>
      </c>
      <c r="BC63">
        <f t="shared" si="19"/>
        <v>36.055474505839513</v>
      </c>
      <c r="BD63">
        <f t="shared" si="20"/>
        <v>7.4252039876153564</v>
      </c>
      <c r="BE63" s="88">
        <f t="shared" si="21"/>
        <v>129.56870584238044</v>
      </c>
      <c r="BF63">
        <f t="shared" si="22"/>
        <v>2.2267271881358281E-3</v>
      </c>
      <c r="BG63">
        <f t="shared" si="23"/>
        <v>43.480678493454867</v>
      </c>
      <c r="BH63">
        <f t="shared" si="24"/>
        <v>149.29110229414445</v>
      </c>
      <c r="BI63">
        <f t="shared" si="25"/>
        <v>0.33243055642513852</v>
      </c>
      <c r="BJ63" s="54"/>
      <c r="BK63" s="54"/>
      <c r="BL63">
        <f t="shared" si="35"/>
        <v>187</v>
      </c>
      <c r="BM63">
        <f t="shared" si="26"/>
        <v>45.436832130729982</v>
      </c>
      <c r="BN63">
        <f t="shared" si="27"/>
        <v>21.866348750930261</v>
      </c>
      <c r="BO63" s="88">
        <f t="shared" si="28"/>
        <v>111.76680336745473</v>
      </c>
      <c r="BP63">
        <f t="shared" si="29"/>
        <v>2.8679520640273221E-4</v>
      </c>
      <c r="BQ63">
        <f t="shared" si="30"/>
        <v>67.303180881660239</v>
      </c>
      <c r="BR63">
        <f t="shared" si="31"/>
        <v>2318.24346435083</v>
      </c>
      <c r="BS63">
        <f t="shared" si="32"/>
        <v>0.66486111285028127</v>
      </c>
    </row>
    <row r="64" spans="18:71">
      <c r="W64" s="39"/>
      <c r="X64" s="14"/>
      <c r="Y64" s="14"/>
      <c r="Z64" s="14"/>
      <c r="AA64" s="55"/>
      <c r="AB64" s="54"/>
      <c r="AC64" s="54"/>
      <c r="AD64" s="54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54"/>
      <c r="BB64">
        <f t="shared" si="34"/>
        <v>64.25</v>
      </c>
      <c r="BC64">
        <f t="shared" si="19"/>
        <v>36.15746264006664</v>
      </c>
      <c r="BD64">
        <f t="shared" si="20"/>
        <v>7.5129032473116002</v>
      </c>
      <c r="BE64" s="88">
        <f t="shared" si="21"/>
        <v>129.37901844845709</v>
      </c>
      <c r="BF64">
        <f t="shared" si="22"/>
        <v>2.1786257988431986E-3</v>
      </c>
      <c r="BG64">
        <f t="shared" si="23"/>
        <v>43.670365887378239</v>
      </c>
      <c r="BH64">
        <f t="shared" si="24"/>
        <v>152.58726698345941</v>
      </c>
      <c r="BI64">
        <f t="shared" si="25"/>
        <v>0.33243055642513969</v>
      </c>
      <c r="BJ64" s="54"/>
      <c r="BK64" s="54"/>
      <c r="BL64">
        <f t="shared" si="35"/>
        <v>188.5</v>
      </c>
      <c r="BM64">
        <f t="shared" si="26"/>
        <v>45.506227090836234</v>
      </c>
      <c r="BN64">
        <f t="shared" si="27"/>
        <v>22.041747270322748</v>
      </c>
      <c r="BO64" s="88">
        <f t="shared" si="28"/>
        <v>111.52200988795597</v>
      </c>
      <c r="BP64">
        <f t="shared" si="29"/>
        <v>2.7882532309993132E-4</v>
      </c>
      <c r="BQ64">
        <f t="shared" si="30"/>
        <v>67.547974361158978</v>
      </c>
      <c r="BR64">
        <f t="shared" si="31"/>
        <v>2384.507638899041</v>
      </c>
      <c r="BS64">
        <f t="shared" si="32"/>
        <v>0.66486111285027949</v>
      </c>
    </row>
    <row r="65" spans="22:71">
      <c r="V65" s="318" t="s">
        <v>157</v>
      </c>
      <c r="W65" s="318"/>
      <c r="X65" s="318"/>
      <c r="Y65" s="318"/>
      <c r="Z65" s="318"/>
      <c r="AA65" s="318"/>
      <c r="AB65" s="318"/>
      <c r="AC65" s="318"/>
      <c r="AD65" s="318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54"/>
      <c r="BB65">
        <f t="shared" si="34"/>
        <v>65</v>
      </c>
      <c r="BC65">
        <f t="shared" si="19"/>
        <v>36.258267132857107</v>
      </c>
      <c r="BD65">
        <f t="shared" si="20"/>
        <v>7.6006025070078449</v>
      </c>
      <c r="BE65" s="88">
        <f t="shared" si="21"/>
        <v>129.19051469597039</v>
      </c>
      <c r="BF65">
        <f t="shared" si="22"/>
        <v>2.1318539794313537E-3</v>
      </c>
      <c r="BG65">
        <f t="shared" si="23"/>
        <v>43.858869639864949</v>
      </c>
      <c r="BH65">
        <f t="shared" si="24"/>
        <v>155.93495597377273</v>
      </c>
      <c r="BI65">
        <f t="shared" si="25"/>
        <v>0.33243055642514036</v>
      </c>
      <c r="BJ65" s="54"/>
      <c r="BK65" s="54"/>
      <c r="BL65">
        <f t="shared" si="35"/>
        <v>190</v>
      </c>
      <c r="BM65">
        <f t="shared" si="26"/>
        <v>45.575072019056577</v>
      </c>
      <c r="BN65">
        <f t="shared" si="27"/>
        <v>22.217145789715239</v>
      </c>
      <c r="BO65" s="88">
        <f t="shared" si="28"/>
        <v>111.27776644034317</v>
      </c>
      <c r="BP65">
        <f t="shared" si="29"/>
        <v>2.7109408495794339E-4</v>
      </c>
      <c r="BQ65">
        <f t="shared" si="30"/>
        <v>67.792217808771824</v>
      </c>
      <c r="BR65">
        <f t="shared" si="31"/>
        <v>2452.5105848525886</v>
      </c>
      <c r="BS65">
        <f t="shared" si="32"/>
        <v>0.66486111285028315</v>
      </c>
    </row>
    <row r="66" spans="22:71">
      <c r="V66">
        <v>20</v>
      </c>
      <c r="W66" s="97">
        <f>$C$19*EXP(-PI() *($O$28*1000)*((2*V66/1500)-($K$14*POWER(10,-6))))</f>
        <v>5.8012299764107986E-252</v>
      </c>
      <c r="X66" s="14"/>
      <c r="Y66" s="14"/>
      <c r="Z66" s="14"/>
      <c r="AA66" s="55"/>
      <c r="AB66" s="54"/>
      <c r="AC66" s="54"/>
      <c r="AD66" s="54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54"/>
      <c r="BB66">
        <f t="shared" si="34"/>
        <v>65.75</v>
      </c>
      <c r="BC66">
        <f t="shared" si="19"/>
        <v>36.357915143235914</v>
      </c>
      <c r="BD66">
        <f t="shared" si="20"/>
        <v>7.6883017667040896</v>
      </c>
      <c r="BE66" s="88">
        <f t="shared" si="21"/>
        <v>129.00316742589533</v>
      </c>
      <c r="BF66">
        <f t="shared" si="22"/>
        <v>2.0863640510027917E-3</v>
      </c>
      <c r="BG66">
        <f t="shared" si="23"/>
        <v>44.04621690994</v>
      </c>
      <c r="BH66">
        <f t="shared" si="24"/>
        <v>159.33487555317109</v>
      </c>
      <c r="BI66">
        <f t="shared" si="25"/>
        <v>0.33243055642513969</v>
      </c>
      <c r="BJ66" s="54"/>
      <c r="BK66" s="54"/>
      <c r="BL66">
        <f t="shared" si="35"/>
        <v>191.5</v>
      </c>
      <c r="BM66">
        <f t="shared" si="26"/>
        <v>45.643375566092828</v>
      </c>
      <c r="BN66">
        <f t="shared" si="27"/>
        <v>22.392544309107727</v>
      </c>
      <c r="BO66" s="88">
        <f t="shared" si="28"/>
        <v>111.0340643739144</v>
      </c>
      <c r="BP66">
        <f t="shared" si="29"/>
        <v>2.6359364671065796E-4</v>
      </c>
      <c r="BQ66">
        <f t="shared" si="30"/>
        <v>68.035919875200563</v>
      </c>
      <c r="BR66">
        <f t="shared" si="31"/>
        <v>2522.2956666329928</v>
      </c>
      <c r="BS66">
        <f t="shared" si="32"/>
        <v>0.6648611128502806</v>
      </c>
    </row>
    <row r="67" spans="22:71">
      <c r="V67">
        <f t="shared" ref="V67" si="42">V6</f>
        <v>0.875</v>
      </c>
      <c r="W67" s="98">
        <f t="shared" ref="W67" si="43">$C$16*EXP(-PI() *($O$28*1000)*((2*V67/1500)-($K$14*POWER(10,-6))))</f>
        <v>2.0169690921868933E-9</v>
      </c>
      <c r="X67" s="14"/>
      <c r="Y67" s="14"/>
      <c r="Z67" s="14"/>
      <c r="AA67" s="55"/>
      <c r="AB67" s="54"/>
      <c r="AC67" s="54"/>
      <c r="AD67" s="54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54"/>
      <c r="BB67">
        <f t="shared" si="34"/>
        <v>66.5</v>
      </c>
      <c r="BC67">
        <f t="shared" si="19"/>
        <v>36.456432906062091</v>
      </c>
      <c r="BD67">
        <f t="shared" si="20"/>
        <v>7.7760010264003334</v>
      </c>
      <c r="BE67" s="88">
        <f t="shared" si="21"/>
        <v>128.81695040337289</v>
      </c>
      <c r="BF67">
        <f t="shared" si="22"/>
        <v>2.0421105072439797E-3</v>
      </c>
      <c r="BG67">
        <f t="shared" si="23"/>
        <v>44.232433932462428</v>
      </c>
      <c r="BH67">
        <f t="shared" si="24"/>
        <v>162.7877410384541</v>
      </c>
      <c r="BI67">
        <f t="shared" si="25"/>
        <v>0.33243055642513913</v>
      </c>
      <c r="BJ67" s="54"/>
      <c r="BK67" s="54"/>
      <c r="BL67">
        <f t="shared" si="35"/>
        <v>193</v>
      </c>
      <c r="BM67">
        <f t="shared" si="26"/>
        <v>45.711146180155481</v>
      </c>
      <c r="BN67">
        <f t="shared" si="27"/>
        <v>22.567942828500215</v>
      </c>
      <c r="BO67" s="88">
        <f t="shared" si="28"/>
        <v>110.79089524045928</v>
      </c>
      <c r="BP67">
        <f t="shared" si="29"/>
        <v>2.5631645136676588E-4</v>
      </c>
      <c r="BQ67">
        <f t="shared" si="30"/>
        <v>68.279089008655689</v>
      </c>
      <c r="BR67">
        <f t="shared" si="31"/>
        <v>2593.9072943036522</v>
      </c>
      <c r="BS67">
        <f t="shared" si="32"/>
        <v>0.66486111285028138</v>
      </c>
    </row>
    <row r="68" spans="22:71">
      <c r="W68" s="99"/>
      <c r="X68" s="14"/>
      <c r="Y68" s="14"/>
      <c r="Z68" s="14"/>
      <c r="AA68" s="55"/>
      <c r="AB68" s="54"/>
      <c r="AC68" s="54"/>
      <c r="AD68" s="54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54"/>
      <c r="BB68">
        <f t="shared" si="34"/>
        <v>67.25</v>
      </c>
      <c r="BC68">
        <f t="shared" si="19"/>
        <v>36.553845773488909</v>
      </c>
      <c r="BD68">
        <f t="shared" si="20"/>
        <v>7.8637002860965781</v>
      </c>
      <c r="BE68" s="88">
        <f t="shared" si="21"/>
        <v>128.63183827624982</v>
      </c>
      <c r="BF68">
        <f t="shared" si="22"/>
        <v>1.9990498930623859E-3</v>
      </c>
      <c r="BG68">
        <f t="shared" si="23"/>
        <v>44.41754605958549</v>
      </c>
      <c r="BH68">
        <f t="shared" si="24"/>
        <v>166.29427688564684</v>
      </c>
      <c r="BI68">
        <f t="shared" si="25"/>
        <v>0.33243055642513908</v>
      </c>
      <c r="BJ68" s="54"/>
      <c r="BK68" s="54"/>
      <c r="BL68">
        <f>BL67+$O$36</f>
        <v>194.5</v>
      </c>
      <c r="BM68">
        <f t="shared" si="26"/>
        <v>45.778392113234531</v>
      </c>
      <c r="BN68">
        <f t="shared" si="27"/>
        <v>22.743341347892706</v>
      </c>
      <c r="BO68" s="88">
        <f t="shared" si="28"/>
        <v>110.54825078798773</v>
      </c>
      <c r="BP68">
        <f t="shared" si="29"/>
        <v>2.4925521821338718E-4</v>
      </c>
      <c r="BQ68">
        <f t="shared" si="30"/>
        <v>68.521733461127241</v>
      </c>
      <c r="BR68">
        <f t="shared" si="31"/>
        <v>2667.3909481850592</v>
      </c>
      <c r="BS68">
        <f t="shared" si="32"/>
        <v>0.66486111285028071</v>
      </c>
    </row>
    <row r="69" spans="22:71">
      <c r="W69" s="99"/>
      <c r="X69" s="14"/>
      <c r="Y69" s="14"/>
      <c r="Z69" s="14"/>
      <c r="AA69" s="55"/>
      <c r="AB69" s="54"/>
      <c r="AC69" s="54"/>
      <c r="AD69" s="54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54"/>
      <c r="BB69">
        <f t="shared" si="34"/>
        <v>68</v>
      </c>
      <c r="BC69">
        <f t="shared" si="19"/>
        <v>36.650178254124725</v>
      </c>
      <c r="BD69">
        <f t="shared" si="20"/>
        <v>7.9513995457928228</v>
      </c>
      <c r="BE69" s="88">
        <f t="shared" si="21"/>
        <v>128.44780653591778</v>
      </c>
      <c r="BF69">
        <f t="shared" si="22"/>
        <v>1.9571406912570555E-3</v>
      </c>
      <c r="BG69">
        <f t="shared" si="23"/>
        <v>44.60157779991755</v>
      </c>
      <c r="BH69">
        <f t="shared" si="24"/>
        <v>169.85521680182444</v>
      </c>
      <c r="BI69">
        <f t="shared" si="25"/>
        <v>0.33243055642513969</v>
      </c>
      <c r="BJ69" s="54"/>
      <c r="BK69" s="54"/>
      <c r="BL69">
        <f t="shared" si="35"/>
        <v>196</v>
      </c>
      <c r="BM69">
        <f t="shared" si="26"/>
        <v>45.84512142712952</v>
      </c>
      <c r="BN69">
        <f t="shared" si="27"/>
        <v>22.918739867285193</v>
      </c>
      <c r="BO69" s="88">
        <f t="shared" si="28"/>
        <v>110.30612295470026</v>
      </c>
      <c r="BP69">
        <f t="shared" si="29"/>
        <v>2.4240293138803396E-4</v>
      </c>
      <c r="BQ69">
        <f t="shared" si="30"/>
        <v>68.76386129441471</v>
      </c>
      <c r="BR69">
        <f t="shared" si="31"/>
        <v>2742.7932040392006</v>
      </c>
      <c r="BS69">
        <f t="shared" si="32"/>
        <v>0.66486111285028016</v>
      </c>
    </row>
    <row r="70" spans="22:71">
      <c r="W70" s="99"/>
      <c r="X70" s="14"/>
      <c r="Y70" s="14"/>
      <c r="Z70" s="14"/>
      <c r="AA70" s="55"/>
      <c r="AB70" s="54"/>
      <c r="AC70" s="54"/>
      <c r="AD70" s="54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54"/>
      <c r="BB70">
        <f t="shared" si="34"/>
        <v>68.75</v>
      </c>
      <c r="BC70">
        <f t="shared" ref="BC70:BC113" si="44">20*LOG10(BB70)</f>
        <v>36.745454050046007</v>
      </c>
      <c r="BD70">
        <f t="shared" ref="BD70:BD113" si="45">2*$G$8*(BB70/1000)</f>
        <v>8.0390988054890666</v>
      </c>
      <c r="BE70" s="88">
        <f t="shared" ref="BE70:BE113" si="46">$S$11-BC70-BD70+$S$18+$S$36</f>
        <v>128.26483148030024</v>
      </c>
      <c r="BF70">
        <f t="shared" ref="BF70:BF113" si="47">POWER(10,0.05*(BE70+$C$27))</f>
        <v>1.9163432166092041E-3</v>
      </c>
      <c r="BG70">
        <f t="shared" ref="BG70:BG113" si="48">BC70+BD70</f>
        <v>44.784552855535075</v>
      </c>
      <c r="BH70">
        <f t="shared" ref="BH70:BH113" si="49">POWER(10,0.05*BG70)</f>
        <v>173.47130385826458</v>
      </c>
      <c r="BI70">
        <f t="shared" ref="BI70:BI113" si="50">BF70*BH70</f>
        <v>0.33243055642513936</v>
      </c>
      <c r="BJ70" s="54"/>
      <c r="BK70" s="54"/>
      <c r="BL70">
        <f t="shared" si="35"/>
        <v>197.5</v>
      </c>
      <c r="BM70">
        <f t="shared" ref="BM70:BM72" si="51">20*LOG10(BL70)</f>
        <v>45.911341999249579</v>
      </c>
      <c r="BN70">
        <f t="shared" ref="BN70:BN72" si="52">2*$G$8*(BL70/1000)</f>
        <v>23.094138386677685</v>
      </c>
      <c r="BO70" s="88">
        <f t="shared" ref="BO70:BO72" si="53">$S$12-BM70-BN70+$S$18+$S$36</f>
        <v>110.06450386318771</v>
      </c>
      <c r="BP70">
        <f t="shared" ref="BP70:BP72" si="54">POWER(10,0.05*(BO70+$C$27))</f>
        <v>2.3575282898831884E-4</v>
      </c>
      <c r="BQ70">
        <f t="shared" ref="BQ70:BQ72" si="55">BM70+BN70</f>
        <v>69.005480385927257</v>
      </c>
      <c r="BR70">
        <f t="shared" ref="BR70:BR72" si="56">POWER(10,0.05*BQ70)</f>
        <v>2820.1617588360878</v>
      </c>
      <c r="BS70">
        <f t="shared" ref="BS70:BS72" si="57">BP70*BR70</f>
        <v>0.66486111285028071</v>
      </c>
    </row>
    <row r="71" spans="22:71">
      <c r="W71" s="99"/>
      <c r="X71" s="14"/>
      <c r="Y71" s="14"/>
      <c r="Z71" s="14"/>
      <c r="AA71" s="55"/>
      <c r="AB71" s="54"/>
      <c r="AC71" s="54"/>
      <c r="AD71" s="54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54"/>
      <c r="BB71">
        <f t="shared" ref="BB71:BB81" si="58">BB70+$O$34</f>
        <v>69.5</v>
      </c>
      <c r="BC71">
        <f t="shared" si="44"/>
        <v>36.839696091802281</v>
      </c>
      <c r="BD71">
        <f t="shared" si="45"/>
        <v>8.1267980651853122</v>
      </c>
      <c r="BE71" s="88">
        <f t="shared" si="46"/>
        <v>128.08289017884772</v>
      </c>
      <c r="BF71">
        <f t="shared" si="47"/>
        <v>1.8766195168323186E-3</v>
      </c>
      <c r="BG71">
        <f t="shared" si="48"/>
        <v>44.966494156987594</v>
      </c>
      <c r="BH71">
        <f t="shared" si="49"/>
        <v>177.14329060494512</v>
      </c>
      <c r="BI71">
        <f t="shared" si="50"/>
        <v>0.33243055642513913</v>
      </c>
      <c r="BJ71" s="54"/>
      <c r="BK71" s="54"/>
      <c r="BL71">
        <f t="shared" ref="BL71:BL72" si="59">BL70+$O$36</f>
        <v>199</v>
      </c>
      <c r="BM71">
        <f t="shared" si="51"/>
        <v>45.977061528194135</v>
      </c>
      <c r="BN71">
        <f t="shared" si="52"/>
        <v>23.269536906070172</v>
      </c>
      <c r="BO71" s="88">
        <f t="shared" si="53"/>
        <v>109.82338581485068</v>
      </c>
      <c r="BP71">
        <f t="shared" si="54"/>
        <v>2.2929839269071611E-4</v>
      </c>
      <c r="BQ71">
        <f t="shared" si="55"/>
        <v>69.246598434264314</v>
      </c>
      <c r="BR71">
        <f t="shared" si="56"/>
        <v>2899.5454571156356</v>
      </c>
      <c r="BS71">
        <f t="shared" si="57"/>
        <v>0.66486111285028293</v>
      </c>
    </row>
    <row r="72" spans="22:71">
      <c r="W72" s="99"/>
      <c r="X72" s="14"/>
      <c r="Y72" s="14"/>
      <c r="Z72" s="14"/>
      <c r="AA72" s="55"/>
      <c r="AB72" s="54"/>
      <c r="AC72" s="54"/>
      <c r="AD72" s="54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54"/>
      <c r="BB72">
        <f t="shared" si="58"/>
        <v>70.25</v>
      </c>
      <c r="BC72">
        <f t="shared" si="44"/>
        <v>36.932926571542353</v>
      </c>
      <c r="BD72">
        <f t="shared" si="45"/>
        <v>8.214497324881556</v>
      </c>
      <c r="BE72" s="88">
        <f t="shared" si="46"/>
        <v>127.90196043941144</v>
      </c>
      <c r="BF72">
        <f t="shared" si="47"/>
        <v>1.8379332798690846E-3</v>
      </c>
      <c r="BG72">
        <f t="shared" si="48"/>
        <v>45.147423896423909</v>
      </c>
      <c r="BH72">
        <f t="shared" si="49"/>
        <v>180.87193918639937</v>
      </c>
      <c r="BI72">
        <f t="shared" si="50"/>
        <v>0.33243055642514063</v>
      </c>
      <c r="BJ72" s="54"/>
      <c r="BK72" s="54"/>
      <c r="BL72">
        <f t="shared" si="59"/>
        <v>200.5</v>
      </c>
      <c r="BM72">
        <f t="shared" si="51"/>
        <v>46.042287539124018</v>
      </c>
      <c r="BN72">
        <f t="shared" si="52"/>
        <v>23.44493542546266</v>
      </c>
      <c r="BO72" s="88">
        <f t="shared" si="53"/>
        <v>109.5827612845283</v>
      </c>
      <c r="BP72">
        <f t="shared" si="54"/>
        <v>2.230333378513808E-4</v>
      </c>
      <c r="BQ72">
        <f t="shared" si="55"/>
        <v>69.487222964586678</v>
      </c>
      <c r="BR72">
        <f t="shared" si="56"/>
        <v>2980.9943179584902</v>
      </c>
      <c r="BS72">
        <f t="shared" si="57"/>
        <v>0.66486111285028238</v>
      </c>
    </row>
    <row r="73" spans="22:71">
      <c r="W73" s="99"/>
      <c r="X73" s="14"/>
      <c r="Y73" s="14"/>
      <c r="Z73" s="14"/>
      <c r="AA73" s="55"/>
      <c r="AB73" s="54"/>
      <c r="AC73" s="54"/>
      <c r="AD73" s="54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54"/>
      <c r="BB73">
        <f t="shared" si="58"/>
        <v>71</v>
      </c>
      <c r="BC73">
        <f t="shared" si="44"/>
        <v>37.025166974381506</v>
      </c>
      <c r="BD73">
        <f t="shared" si="45"/>
        <v>8.3021965845777981</v>
      </c>
      <c r="BE73" s="88">
        <f t="shared" si="46"/>
        <v>127.72202077687605</v>
      </c>
      <c r="BF73">
        <f t="shared" si="47"/>
        <v>1.8002497470657802E-3</v>
      </c>
      <c r="BG73">
        <f t="shared" si="48"/>
        <v>45.327363558959306</v>
      </c>
      <c r="BH73">
        <f t="shared" si="49"/>
        <v>184.65802145894915</v>
      </c>
      <c r="BI73">
        <f t="shared" si="50"/>
        <v>0.33243055642514063</v>
      </c>
      <c r="BJ73" s="54"/>
      <c r="BK73" s="54"/>
      <c r="BM73" s="54"/>
      <c r="BN73" s="53"/>
      <c r="BO73" s="55"/>
      <c r="BP73" s="54"/>
      <c r="BQ73" s="54"/>
      <c r="BR73" s="54"/>
    </row>
    <row r="74" spans="22:71">
      <c r="W74" s="99"/>
      <c r="X74" s="14"/>
      <c r="Y74" s="14"/>
      <c r="Z74" s="14"/>
      <c r="AA74" s="55"/>
      <c r="AB74" s="54"/>
      <c r="AC74" s="54"/>
      <c r="AD74" s="54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54"/>
      <c r="BB74">
        <f t="shared" si="58"/>
        <v>71.75</v>
      </c>
      <c r="BC74">
        <f t="shared" si="44"/>
        <v>37.116438108120597</v>
      </c>
      <c r="BD74">
        <f t="shared" si="45"/>
        <v>8.3898958442740437</v>
      </c>
      <c r="BE74" s="88">
        <f t="shared" si="46"/>
        <v>127.5430503834407</v>
      </c>
      <c r="BF74">
        <f t="shared" si="47"/>
        <v>1.7635356317942073E-3</v>
      </c>
      <c r="BG74">
        <f t="shared" si="48"/>
        <v>45.506333952394641</v>
      </c>
      <c r="BH74">
        <f t="shared" si="49"/>
        <v>188.50231910932703</v>
      </c>
      <c r="BI74">
        <f t="shared" si="50"/>
        <v>0.33243055642514036</v>
      </c>
      <c r="BJ74" s="54"/>
      <c r="BK74" s="54"/>
      <c r="BM74" s="54"/>
      <c r="BN74" s="53"/>
      <c r="BO74" s="55"/>
      <c r="BP74" s="54"/>
      <c r="BQ74" s="54"/>
      <c r="BR74" s="54"/>
    </row>
    <row r="75" spans="22:71">
      <c r="W75" s="99"/>
      <c r="X75" s="14"/>
      <c r="Y75" s="14"/>
      <c r="Z75" s="14"/>
      <c r="AA75" s="55"/>
      <c r="AB75" s="54"/>
      <c r="AC75" s="54"/>
      <c r="AD75" s="54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54"/>
      <c r="BB75">
        <f t="shared" si="58"/>
        <v>72.5</v>
      </c>
      <c r="BC75">
        <f t="shared" si="44"/>
        <v>37.206760131419877</v>
      </c>
      <c r="BD75">
        <f t="shared" si="45"/>
        <v>8.4775951039702875</v>
      </c>
      <c r="BE75" s="88">
        <f t="shared" si="46"/>
        <v>127.36502910044517</v>
      </c>
      <c r="BF75">
        <f t="shared" si="47"/>
        <v>1.7277590431264806E-3</v>
      </c>
      <c r="BG75">
        <f t="shared" si="48"/>
        <v>45.684355235390164</v>
      </c>
      <c r="BH75">
        <f t="shared" si="49"/>
        <v>192.40562377470621</v>
      </c>
      <c r="BI75">
        <f t="shared" si="50"/>
        <v>0.33243055642514002</v>
      </c>
      <c r="BJ75" s="54"/>
      <c r="BK75" s="54"/>
      <c r="BM75" s="54"/>
      <c r="BN75" s="53"/>
      <c r="BO75" s="55"/>
      <c r="BP75" s="54"/>
      <c r="BQ75" s="54"/>
      <c r="BR75" s="54"/>
    </row>
    <row r="76" spans="22:71">
      <c r="W76" s="99"/>
      <c r="X76" s="14"/>
      <c r="Y76" s="14"/>
      <c r="Z76" s="14"/>
      <c r="AA76" s="55"/>
      <c r="AB76" s="54"/>
      <c r="AC76" s="54"/>
      <c r="AD76" s="54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54"/>
      <c r="BB76">
        <f t="shared" si="58"/>
        <v>73.25</v>
      </c>
      <c r="BC76">
        <f t="shared" si="44"/>
        <v>37.296152580522943</v>
      </c>
      <c r="BD76">
        <f t="shared" si="45"/>
        <v>8.5652943636665313</v>
      </c>
      <c r="BE76" s="88">
        <f t="shared" si="46"/>
        <v>127.18793739164586</v>
      </c>
      <c r="BF76">
        <f t="shared" si="47"/>
        <v>1.6928894142006067E-3</v>
      </c>
      <c r="BG76">
        <f t="shared" si="48"/>
        <v>45.861446944189474</v>
      </c>
      <c r="BH76">
        <f t="shared" si="49"/>
        <v>196.36873716415531</v>
      </c>
      <c r="BI76">
        <f t="shared" si="50"/>
        <v>0.3324305564251398</v>
      </c>
      <c r="BJ76" s="54"/>
      <c r="BK76" s="54"/>
      <c r="BM76" s="54"/>
      <c r="BN76" s="53"/>
      <c r="BO76" s="55"/>
      <c r="BP76" s="54"/>
      <c r="BQ76" s="54"/>
      <c r="BR76" s="54"/>
    </row>
    <row r="77" spans="22:71">
      <c r="W77" s="99"/>
      <c r="X77" s="14"/>
      <c r="Y77" s="14"/>
      <c r="Z77" s="14"/>
      <c r="AA77" s="55"/>
      <c r="AB77" s="54"/>
      <c r="AC77" s="54"/>
      <c r="AD77" s="54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54"/>
      <c r="BB77">
        <f t="shared" si="58"/>
        <v>74</v>
      </c>
      <c r="BC77">
        <f t="shared" si="44"/>
        <v>37.384634394619525</v>
      </c>
      <c r="BD77">
        <f t="shared" si="45"/>
        <v>8.6529936233627769</v>
      </c>
      <c r="BE77" s="88">
        <f t="shared" si="46"/>
        <v>127.01175631785303</v>
      </c>
      <c r="BF77">
        <f t="shared" si="47"/>
        <v>1.6588974349440251E-3</v>
      </c>
      <c r="BG77">
        <f t="shared" si="48"/>
        <v>46.0376280179823</v>
      </c>
      <c r="BH77">
        <f t="shared" si="49"/>
        <v>200.3924711815331</v>
      </c>
      <c r="BI77">
        <f t="shared" si="50"/>
        <v>0.33243055642513974</v>
      </c>
      <c r="BJ77" s="54"/>
      <c r="BK77" s="54"/>
      <c r="BM77" s="54"/>
      <c r="BN77" s="53"/>
      <c r="BO77" s="55"/>
      <c r="BP77" s="54"/>
      <c r="BQ77" s="54"/>
      <c r="BR77" s="54"/>
    </row>
    <row r="78" spans="22:71">
      <c r="W78" s="99"/>
      <c r="X78" s="14"/>
      <c r="Y78" s="14"/>
      <c r="Z78" s="14"/>
      <c r="AA78" s="55"/>
      <c r="AB78" s="54"/>
      <c r="AC78" s="54"/>
      <c r="AD78" s="54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54"/>
      <c r="BB78">
        <f t="shared" si="58"/>
        <v>74.75</v>
      </c>
      <c r="BC78">
        <f t="shared" si="44"/>
        <v>37.472223939929343</v>
      </c>
      <c r="BD78">
        <f t="shared" si="45"/>
        <v>8.7406928830590207</v>
      </c>
      <c r="BE78" s="88">
        <f t="shared" si="46"/>
        <v>126.83646751284699</v>
      </c>
      <c r="BF78">
        <f t="shared" si="47"/>
        <v>1.6257549888490232E-3</v>
      </c>
      <c r="BG78">
        <f t="shared" si="48"/>
        <v>46.212916822988362</v>
      </c>
      <c r="BH78">
        <f t="shared" si="49"/>
        <v>204.47764804983905</v>
      </c>
      <c r="BI78">
        <f t="shared" si="50"/>
        <v>0.33243055642514058</v>
      </c>
      <c r="BJ78" s="54"/>
      <c r="BK78" s="54"/>
      <c r="BL78" s="54"/>
      <c r="BM78" s="54"/>
      <c r="BN78" s="53"/>
      <c r="BO78" s="55"/>
      <c r="BP78" s="54"/>
      <c r="BQ78" s="54"/>
      <c r="BR78" s="54"/>
    </row>
    <row r="79" spans="22:71">
      <c r="W79" s="99"/>
      <c r="X79" s="14"/>
      <c r="Y79" s="14"/>
      <c r="Z79" s="14"/>
      <c r="AA79" s="55"/>
      <c r="AB79" s="54"/>
      <c r="AC79" s="54"/>
      <c r="AD79" s="54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54"/>
      <c r="BB79">
        <f t="shared" si="58"/>
        <v>75.5</v>
      </c>
      <c r="BC79">
        <f t="shared" si="44"/>
        <v>37.558939032583766</v>
      </c>
      <c r="BD79">
        <f t="shared" si="45"/>
        <v>8.8283921427552663</v>
      </c>
      <c r="BE79" s="88">
        <f t="shared" si="46"/>
        <v>126.66205316049631</v>
      </c>
      <c r="BF79">
        <f t="shared" si="47"/>
        <v>1.5934350935182084E-3</v>
      </c>
      <c r="BG79">
        <f t="shared" si="48"/>
        <v>46.387331175339028</v>
      </c>
      <c r="BH79">
        <f t="shared" si="49"/>
        <v>208.62510043703975</v>
      </c>
      <c r="BI79">
        <f t="shared" si="50"/>
        <v>0.33243055642514008</v>
      </c>
      <c r="BJ79" s="54"/>
      <c r="BK79" s="54"/>
      <c r="BL79" s="54"/>
      <c r="BM79" s="54"/>
      <c r="BN79" s="53"/>
      <c r="BO79" s="55"/>
      <c r="BP79" s="54"/>
      <c r="BQ79" s="54"/>
      <c r="BR79" s="54"/>
    </row>
    <row r="80" spans="22:71">
      <c r="W80" s="99"/>
      <c r="X80" s="14"/>
      <c r="Y80" s="14"/>
      <c r="Z80" s="14"/>
      <c r="AA80" s="55"/>
      <c r="AB80" s="54"/>
      <c r="AC80" s="54"/>
      <c r="AD80" s="54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54"/>
      <c r="BB80">
        <f t="shared" si="58"/>
        <v>76.25</v>
      </c>
      <c r="BC80">
        <f t="shared" si="44"/>
        <v>37.644796960376468</v>
      </c>
      <c r="BD80">
        <f t="shared" si="45"/>
        <v>8.9160914024515101</v>
      </c>
      <c r="BE80" s="88">
        <f t="shared" si="46"/>
        <v>126.48849597300735</v>
      </c>
      <c r="BF80">
        <f t="shared" si="47"/>
        <v>1.5619118447205418E-3</v>
      </c>
      <c r="BG80">
        <f t="shared" si="48"/>
        <v>46.560888362827981</v>
      </c>
      <c r="BH80">
        <f t="shared" si="49"/>
        <v>212.83567158338465</v>
      </c>
      <c r="BI80">
        <f t="shared" si="50"/>
        <v>0.33243055642513974</v>
      </c>
      <c r="BJ80" s="54"/>
      <c r="BK80" s="54"/>
      <c r="BL80" s="54"/>
      <c r="BM80" s="54"/>
      <c r="BN80" s="53"/>
      <c r="BO80" s="55"/>
      <c r="BP80" s="54"/>
      <c r="BQ80" s="54"/>
      <c r="BR80" s="54"/>
    </row>
    <row r="81" spans="23:70">
      <c r="W81" s="99"/>
      <c r="X81" s="14"/>
      <c r="Y81" s="14"/>
      <c r="Z81" s="14"/>
      <c r="AA81" s="55"/>
      <c r="AB81" s="54"/>
      <c r="AC81" s="54"/>
      <c r="AD81" s="54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54"/>
      <c r="BB81">
        <f t="shared" si="58"/>
        <v>77</v>
      </c>
      <c r="BC81">
        <f t="shared" si="44"/>
        <v>37.729814503449639</v>
      </c>
      <c r="BD81">
        <f t="shared" si="45"/>
        <v>9.0037906621477539</v>
      </c>
      <c r="BE81" s="88">
        <f t="shared" si="46"/>
        <v>126.31577917023795</v>
      </c>
      <c r="BF81">
        <f t="shared" si="47"/>
        <v>1.5311603637184336E-3</v>
      </c>
      <c r="BG81">
        <f t="shared" si="48"/>
        <v>46.733605165597396</v>
      </c>
      <c r="BH81">
        <f t="shared" si="49"/>
        <v>217.11021543023102</v>
      </c>
      <c r="BI81">
        <f t="shared" si="50"/>
        <v>0.33243055642514002</v>
      </c>
      <c r="BJ81" s="54"/>
      <c r="BK81" s="54"/>
      <c r="BL81" s="54"/>
      <c r="BM81" s="54"/>
      <c r="BN81" s="53"/>
      <c r="BO81" s="55"/>
      <c r="BP81" s="54"/>
      <c r="BQ81" s="54"/>
      <c r="BR81" s="54"/>
    </row>
    <row r="82" spans="23:70">
      <c r="W82" s="99"/>
      <c r="X82" s="14"/>
      <c r="Y82" s="14"/>
      <c r="Z82" s="14"/>
      <c r="AA82" s="55"/>
      <c r="AB82" s="54"/>
      <c r="AC82" s="54"/>
      <c r="AD82" s="54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54"/>
      <c r="BB82">
        <f>BB81+$O$34</f>
        <v>77.75</v>
      </c>
      <c r="BC82">
        <f t="shared" si="44"/>
        <v>37.814007953977502</v>
      </c>
      <c r="BD82">
        <f t="shared" si="45"/>
        <v>9.0914899218439995</v>
      </c>
      <c r="BE82" s="88">
        <f t="shared" si="46"/>
        <v>126.14388646001386</v>
      </c>
      <c r="BF82">
        <f t="shared" si="47"/>
        <v>1.5011567476450932E-3</v>
      </c>
      <c r="BG82">
        <f t="shared" si="48"/>
        <v>46.905497875821503</v>
      </c>
      <c r="BH82">
        <f t="shared" si="49"/>
        <v>221.44959675039559</v>
      </c>
      <c r="BI82">
        <f t="shared" si="50"/>
        <v>0.33243055642514124</v>
      </c>
      <c r="BJ82" s="54"/>
      <c r="BK82" s="54"/>
      <c r="BL82" s="54"/>
      <c r="BM82" s="54"/>
      <c r="BN82" s="53"/>
      <c r="BO82" s="55"/>
      <c r="BP82" s="54"/>
      <c r="BQ82" s="54"/>
      <c r="BR82" s="54"/>
    </row>
    <row r="83" spans="23:70">
      <c r="W83" s="99"/>
      <c r="X83" s="14"/>
      <c r="Y83" s="14"/>
      <c r="Z83" s="14"/>
      <c r="AA83" s="55"/>
      <c r="AB83" s="54"/>
      <c r="AC83" s="54"/>
      <c r="AD83" s="54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54"/>
      <c r="BB83">
        <f t="shared" ref="BB83:BB102" si="60">BB82+$O$34</f>
        <v>78.5</v>
      </c>
      <c r="BC83">
        <f t="shared" si="44"/>
        <v>37.897393134905052</v>
      </c>
      <c r="BD83">
        <f t="shared" si="45"/>
        <v>9.1791891815402433</v>
      </c>
      <c r="BE83" s="88">
        <f t="shared" si="46"/>
        <v>125.97280201939004</v>
      </c>
      <c r="BF83">
        <f t="shared" si="47"/>
        <v>1.4718780227280933E-3</v>
      </c>
      <c r="BG83">
        <f t="shared" si="48"/>
        <v>47.076582316445297</v>
      </c>
      <c r="BH83">
        <f t="shared" si="49"/>
        <v>225.85469128004732</v>
      </c>
      <c r="BI83">
        <f t="shared" si="50"/>
        <v>0.33243055642513997</v>
      </c>
      <c r="BJ83" s="54"/>
      <c r="BK83" s="54"/>
      <c r="BL83" s="54"/>
      <c r="BM83" s="54"/>
      <c r="BN83" s="53"/>
      <c r="BO83" s="55"/>
      <c r="BP83" s="54"/>
      <c r="BQ83" s="54"/>
      <c r="BR83" s="54"/>
    </row>
    <row r="84" spans="23:70">
      <c r="W84" s="99"/>
      <c r="X84" s="14"/>
      <c r="Y84" s="14"/>
      <c r="Z84" s="14"/>
      <c r="AA84" s="55"/>
      <c r="AB84" s="54"/>
      <c r="AC84" s="54"/>
      <c r="AD84" s="54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54"/>
      <c r="BB84">
        <f t="shared" si="60"/>
        <v>79.25</v>
      </c>
      <c r="BC84">
        <f t="shared" si="44"/>
        <v>37.979985417795781</v>
      </c>
      <c r="BD84">
        <f t="shared" si="45"/>
        <v>9.2668884412364871</v>
      </c>
      <c r="BE84" s="88">
        <f t="shared" si="46"/>
        <v>125.80251047680308</v>
      </c>
      <c r="BF84">
        <f t="shared" si="47"/>
        <v>1.443302100170629E-3</v>
      </c>
      <c r="BG84">
        <f t="shared" si="48"/>
        <v>47.24687385903227</v>
      </c>
      <c r="BH84">
        <f t="shared" si="49"/>
        <v>230.32638585216495</v>
      </c>
      <c r="BI84">
        <f t="shared" si="50"/>
        <v>0.3324305564251403</v>
      </c>
      <c r="BJ84" s="54"/>
      <c r="BK84" s="54"/>
      <c r="BL84" s="54"/>
      <c r="BM84" s="54"/>
      <c r="BN84" s="53"/>
      <c r="BO84" s="55"/>
      <c r="BP84" s="54"/>
      <c r="BQ84" s="54"/>
      <c r="BR84" s="54"/>
    </row>
    <row r="85" spans="23:70">
      <c r="W85" s="99"/>
      <c r="X85" s="14"/>
      <c r="Y85" s="14"/>
      <c r="Z85" s="14"/>
      <c r="AA85" s="55"/>
      <c r="AB85" s="54"/>
      <c r="AC85" s="54"/>
      <c r="AD85" s="54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54"/>
      <c r="BB85">
        <f t="shared" si="60"/>
        <v>80</v>
      </c>
      <c r="BC85">
        <f t="shared" si="44"/>
        <v>38.061799739838868</v>
      </c>
      <c r="BD85">
        <f t="shared" si="45"/>
        <v>9.3545877009327327</v>
      </c>
      <c r="BE85" s="88">
        <f t="shared" si="46"/>
        <v>125.63299689506373</v>
      </c>
      <c r="BF85">
        <f t="shared" si="47"/>
        <v>1.4154077345159102E-3</v>
      </c>
      <c r="BG85">
        <f t="shared" si="48"/>
        <v>47.416387440771601</v>
      </c>
      <c r="BH85">
        <f t="shared" si="49"/>
        <v>234.86557853157117</v>
      </c>
      <c r="BI85">
        <f t="shared" si="50"/>
        <v>0.33243055642513974</v>
      </c>
      <c r="BJ85" s="54"/>
      <c r="BK85" s="54"/>
      <c r="BL85" s="54"/>
      <c r="BM85" s="54"/>
      <c r="BN85" s="53"/>
      <c r="BO85" s="55"/>
      <c r="BP85" s="54"/>
      <c r="BQ85" s="54"/>
      <c r="BR85" s="54"/>
    </row>
    <row r="86" spans="23:70">
      <c r="W86" s="99"/>
      <c r="X86" s="14"/>
      <c r="Y86" s="14"/>
      <c r="Z86" s="14"/>
      <c r="AA86" s="55"/>
      <c r="AB86" s="54"/>
      <c r="AC86" s="54"/>
      <c r="AD86" s="54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54"/>
      <c r="BB86">
        <f t="shared" si="60"/>
        <v>80.75</v>
      </c>
      <c r="BC86">
        <f t="shared" si="44"/>
        <v>38.142850620062809</v>
      </c>
      <c r="BD86">
        <f t="shared" si="45"/>
        <v>9.4422869606289765</v>
      </c>
      <c r="BE86" s="88">
        <f t="shared" si="46"/>
        <v>125.46424675514358</v>
      </c>
      <c r="BF86">
        <f t="shared" si="47"/>
        <v>1.3881744843334219E-3</v>
      </c>
      <c r="BG86">
        <f t="shared" si="48"/>
        <v>47.585137580691786</v>
      </c>
      <c r="BH86">
        <f t="shared" si="49"/>
        <v>239.47317875156648</v>
      </c>
      <c r="BI86">
        <f t="shared" si="50"/>
        <v>0.33243055642514119</v>
      </c>
      <c r="BJ86" s="54"/>
      <c r="BK86" s="54"/>
      <c r="BL86" s="54"/>
      <c r="BM86" s="54"/>
      <c r="BN86" s="53"/>
      <c r="BO86" s="55"/>
      <c r="BP86" s="54"/>
      <c r="BQ86" s="54"/>
      <c r="BR86" s="54"/>
    </row>
    <row r="87" spans="23:70">
      <c r="W87" s="99"/>
      <c r="X87" s="14"/>
      <c r="Y87" s="14"/>
      <c r="Z87" s="14"/>
      <c r="AA87" s="55"/>
      <c r="AB87" s="54"/>
      <c r="AC87" s="54"/>
      <c r="AD87" s="54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54"/>
      <c r="BB87">
        <f t="shared" si="60"/>
        <v>81.5</v>
      </c>
      <c r="BC87">
        <f t="shared" si="44"/>
        <v>38.22315217479953</v>
      </c>
      <c r="BD87">
        <f t="shared" si="45"/>
        <v>9.5299862203252204</v>
      </c>
      <c r="BE87" s="88">
        <f t="shared" si="46"/>
        <v>125.29624594071059</v>
      </c>
      <c r="BF87">
        <f t="shared" si="47"/>
        <v>1.3615826750772739E-3</v>
      </c>
      <c r="BG87">
        <f t="shared" si="48"/>
        <v>47.753138395124751</v>
      </c>
      <c r="BH87">
        <f t="shared" si="49"/>
        <v>244.15010745217816</v>
      </c>
      <c r="BI87">
        <f t="shared" si="50"/>
        <v>0.33243055642514058</v>
      </c>
      <c r="BJ87" s="54"/>
      <c r="BK87" s="54"/>
      <c r="BL87" s="54"/>
      <c r="BM87" s="54"/>
      <c r="BN87" s="53"/>
      <c r="BO87" s="55"/>
      <c r="BP87" s="54"/>
      <c r="BQ87" s="54"/>
      <c r="BR87" s="54"/>
    </row>
    <row r="88" spans="23:70">
      <c r="W88" s="99"/>
      <c r="X88" s="14"/>
      <c r="Y88" s="14"/>
      <c r="Z88" s="14"/>
      <c r="AA88" s="55"/>
      <c r="AB88" s="54"/>
      <c r="AC88" s="54"/>
      <c r="AD88" s="54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54"/>
      <c r="BB88">
        <f t="shared" si="60"/>
        <v>82.25</v>
      </c>
      <c r="BC88">
        <f t="shared" si="44"/>
        <v>38.302718132440241</v>
      </c>
      <c r="BD88">
        <f t="shared" si="45"/>
        <v>9.6176854800214659</v>
      </c>
      <c r="BE88" s="88">
        <f t="shared" si="46"/>
        <v>125.12898072337363</v>
      </c>
      <c r="BF88">
        <f t="shared" si="47"/>
        <v>1.335613363978168E-3</v>
      </c>
      <c r="BG88">
        <f t="shared" si="48"/>
        <v>47.920403612461705</v>
      </c>
      <c r="BH88">
        <f t="shared" si="49"/>
        <v>248.89729722004637</v>
      </c>
      <c r="BI88">
        <f t="shared" si="50"/>
        <v>0.33243055642514002</v>
      </c>
      <c r="BJ88" s="54"/>
      <c r="BK88" s="54"/>
      <c r="BL88" s="54"/>
      <c r="BM88" s="54"/>
      <c r="BN88" s="53"/>
      <c r="BO88" s="55"/>
      <c r="BP88" s="54"/>
      <c r="BQ88" s="54"/>
      <c r="BR88" s="54"/>
    </row>
    <row r="89" spans="23:70">
      <c r="W89" s="99"/>
      <c r="X89" s="14"/>
      <c r="Y89" s="14"/>
      <c r="Z89" s="14"/>
      <c r="AA89" s="55"/>
      <c r="AB89" s="54"/>
      <c r="AC89" s="54"/>
      <c r="AD89" s="54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54"/>
      <c r="BB89">
        <f t="shared" si="60"/>
        <v>83</v>
      </c>
      <c r="BC89">
        <f t="shared" si="44"/>
        <v>38.381561847521482</v>
      </c>
      <c r="BD89">
        <f t="shared" si="45"/>
        <v>9.7053847397177098</v>
      </c>
      <c r="BE89" s="88">
        <f t="shared" si="46"/>
        <v>124.96243774859614</v>
      </c>
      <c r="BF89">
        <f t="shared" si="47"/>
        <v>1.3102483068401752E-3</v>
      </c>
      <c r="BG89">
        <f t="shared" si="48"/>
        <v>48.08694658723919</v>
      </c>
      <c r="BH89">
        <f t="shared" si="49"/>
        <v>253.71569242996173</v>
      </c>
      <c r="BI89">
        <f t="shared" si="50"/>
        <v>0.33243055642514002</v>
      </c>
      <c r="BJ89" s="54"/>
      <c r="BK89" s="54"/>
      <c r="BL89" s="54"/>
      <c r="BM89" s="54"/>
      <c r="BN89" s="53"/>
      <c r="BO89" s="55"/>
      <c r="BP89" s="54"/>
      <c r="BQ89" s="54"/>
      <c r="BR89" s="54"/>
    </row>
    <row r="90" spans="23:70">
      <c r="W90" s="99"/>
      <c r="X90" s="14"/>
      <c r="Y90" s="14"/>
      <c r="Z90" s="14"/>
      <c r="AA90" s="55"/>
      <c r="AB90" s="54"/>
      <c r="AC90" s="54"/>
      <c r="AD90" s="54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54"/>
      <c r="BB90">
        <f t="shared" si="60"/>
        <v>83.75</v>
      </c>
      <c r="BC90">
        <f t="shared" si="44"/>
        <v>38.459696314177656</v>
      </c>
      <c r="BD90">
        <f t="shared" si="45"/>
        <v>9.7930839994139536</v>
      </c>
      <c r="BE90" s="88">
        <f t="shared" si="46"/>
        <v>124.79660402224373</v>
      </c>
      <c r="BF90">
        <f t="shared" si="47"/>
        <v>1.2854699266229865E-3</v>
      </c>
      <c r="BG90">
        <f t="shared" si="48"/>
        <v>48.252780313591607</v>
      </c>
      <c r="BH90">
        <f t="shared" si="49"/>
        <v>258.6062493880795</v>
      </c>
      <c r="BI90">
        <f t="shared" si="50"/>
        <v>0.3324305564251403</v>
      </c>
      <c r="BJ90" s="54"/>
      <c r="BK90" s="54"/>
      <c r="BL90" s="54"/>
      <c r="BM90" s="54"/>
      <c r="BN90" s="53"/>
      <c r="BO90" s="55"/>
      <c r="BP90" s="54"/>
      <c r="BQ90" s="54"/>
      <c r="BR90" s="54"/>
    </row>
    <row r="91" spans="23:70">
      <c r="W91" s="99"/>
      <c r="X91" s="14"/>
      <c r="Y91" s="14"/>
      <c r="Z91" s="14"/>
      <c r="AA91" s="55"/>
      <c r="AB91" s="54"/>
      <c r="AC91" s="54"/>
      <c r="AD91" s="54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54"/>
      <c r="BB91">
        <f t="shared" si="60"/>
        <v>84.5</v>
      </c>
      <c r="BC91">
        <f t="shared" si="44"/>
        <v>38.537134178993846</v>
      </c>
      <c r="BD91">
        <f t="shared" si="45"/>
        <v>9.8807832591101992</v>
      </c>
      <c r="BE91" s="88">
        <f t="shared" si="46"/>
        <v>124.6314668977313</v>
      </c>
      <c r="BF91">
        <f t="shared" si="47"/>
        <v>1.2612612836986957E-3</v>
      </c>
      <c r="BG91">
        <f t="shared" si="48"/>
        <v>48.417917438104041</v>
      </c>
      <c r="BH91">
        <f t="shared" si="49"/>
        <v>263.56993647682185</v>
      </c>
      <c r="BI91">
        <f t="shared" si="50"/>
        <v>0.33243055642514002</v>
      </c>
      <c r="BJ91" s="54"/>
      <c r="BK91" s="54"/>
      <c r="BL91" s="54"/>
      <c r="BM91" s="54"/>
      <c r="BN91" s="53"/>
      <c r="BO91" s="55"/>
      <c r="BP91" s="54"/>
      <c r="BQ91" s="54"/>
      <c r="BR91" s="54"/>
    </row>
    <row r="92" spans="23:70">
      <c r="W92" s="99"/>
      <c r="X92" s="14"/>
      <c r="Y92" s="14"/>
      <c r="Z92" s="14"/>
      <c r="AA92" s="55"/>
      <c r="AB92" s="54"/>
      <c r="AC92" s="54"/>
      <c r="AD92" s="54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54"/>
      <c r="BB92">
        <f t="shared" si="60"/>
        <v>85.25</v>
      </c>
      <c r="BC92">
        <f t="shared" si="44"/>
        <v>38.613887753290705</v>
      </c>
      <c r="BD92">
        <f t="shared" si="45"/>
        <v>9.968482518806443</v>
      </c>
      <c r="BE92" s="88">
        <f t="shared" si="46"/>
        <v>124.4670140637382</v>
      </c>
      <c r="BF92">
        <f t="shared" si="47"/>
        <v>1.2376060476799405E-3</v>
      </c>
      <c r="BG92">
        <f t="shared" si="48"/>
        <v>48.582370272097151</v>
      </c>
      <c r="BH92">
        <f t="shared" si="49"/>
        <v>268.60773430149828</v>
      </c>
      <c r="BI92">
        <f t="shared" si="50"/>
        <v>0.33243055642514091</v>
      </c>
      <c r="BJ92" s="54"/>
      <c r="BK92" s="54"/>
      <c r="BL92" s="54"/>
      <c r="BM92" s="54"/>
      <c r="BN92" s="53"/>
      <c r="BO92" s="55"/>
      <c r="BP92" s="54"/>
      <c r="BQ92" s="54"/>
      <c r="BR92" s="54"/>
    </row>
    <row r="93" spans="23:70">
      <c r="W93" s="99"/>
      <c r="X93" s="14"/>
      <c r="Y93" s="14"/>
      <c r="Z93" s="14"/>
      <c r="AA93" s="55"/>
      <c r="AB93" s="54"/>
      <c r="AC93" s="54"/>
      <c r="AD93" s="54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54"/>
      <c r="BB93">
        <f t="shared" si="60"/>
        <v>86</v>
      </c>
      <c r="BC93">
        <f t="shared" si="44"/>
        <v>38.689969024871353</v>
      </c>
      <c r="BD93">
        <f t="shared" si="45"/>
        <v>10.056181778502687</v>
      </c>
      <c r="BE93" s="88">
        <f t="shared" si="46"/>
        <v>124.30323353246131</v>
      </c>
      <c r="BF93">
        <f t="shared" si="47"/>
        <v>1.2144884707234727E-3</v>
      </c>
      <c r="BG93">
        <f t="shared" si="48"/>
        <v>48.746150803374036</v>
      </c>
      <c r="BH93">
        <f t="shared" si="49"/>
        <v>273.72063583865167</v>
      </c>
      <c r="BI93">
        <f t="shared" si="50"/>
        <v>0.33243055642514063</v>
      </c>
      <c r="BJ93" s="54"/>
      <c r="BK93" s="54"/>
      <c r="BL93" s="54"/>
      <c r="BM93" s="54"/>
      <c r="BN93" s="53"/>
      <c r="BO93" s="55"/>
      <c r="BP93" s="54"/>
      <c r="BQ93" s="54"/>
      <c r="BR93" s="54"/>
    </row>
    <row r="94" spans="23:70">
      <c r="W94" s="99"/>
      <c r="X94" s="14"/>
      <c r="Y94" s="14"/>
      <c r="Z94" s="14"/>
      <c r="AA94" s="55"/>
      <c r="AB94" s="54"/>
      <c r="AC94" s="54"/>
      <c r="AD94" s="54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54"/>
      <c r="BB94">
        <f t="shared" si="60"/>
        <v>86.75</v>
      </c>
      <c r="BC94">
        <f t="shared" si="44"/>
        <v>38.765389669258226</v>
      </c>
      <c r="BD94">
        <f t="shared" si="45"/>
        <v>10.143881038198931</v>
      </c>
      <c r="BE94" s="88">
        <f t="shared" si="46"/>
        <v>124.14011362837816</v>
      </c>
      <c r="BF94">
        <f t="shared" si="47"/>
        <v>1.1918933622198779E-3</v>
      </c>
      <c r="BG94">
        <f t="shared" si="48"/>
        <v>48.909270707457154</v>
      </c>
      <c r="BH94">
        <f t="shared" si="49"/>
        <v>278.90964658616252</v>
      </c>
      <c r="BI94">
        <f t="shared" si="50"/>
        <v>0.33243055642513913</v>
      </c>
      <c r="BJ94" s="54"/>
      <c r="BK94" s="54"/>
      <c r="BL94" s="54"/>
      <c r="BM94" s="54"/>
      <c r="BN94" s="53"/>
      <c r="BO94" s="55"/>
      <c r="BP94" s="54"/>
      <c r="BQ94" s="54"/>
      <c r="BR94" s="54"/>
    </row>
    <row r="95" spans="23:70">
      <c r="W95" s="99"/>
      <c r="X95" s="14"/>
      <c r="Y95" s="14"/>
      <c r="Z95" s="14"/>
      <c r="AA95" s="55"/>
      <c r="AB95" s="54"/>
      <c r="AC95" s="54"/>
      <c r="AD95" s="54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54"/>
      <c r="BB95">
        <f t="shared" si="60"/>
        <v>87.5</v>
      </c>
      <c r="BC95">
        <f t="shared" si="44"/>
        <v>38.840161060446263</v>
      </c>
      <c r="BD95">
        <f t="shared" si="45"/>
        <v>10.231580297895174</v>
      </c>
      <c r="BE95" s="88">
        <f t="shared" si="46"/>
        <v>123.97764297749391</v>
      </c>
      <c r="BF95">
        <f t="shared" si="47"/>
        <v>1.1698060647862506E-3</v>
      </c>
      <c r="BG95">
        <f t="shared" si="48"/>
        <v>49.071741358341441</v>
      </c>
      <c r="BH95">
        <f t="shared" si="49"/>
        <v>284.17578471512115</v>
      </c>
      <c r="BI95">
        <f t="shared" si="50"/>
        <v>0.33243055642514063</v>
      </c>
      <c r="BJ95" s="54"/>
      <c r="BK95" s="54"/>
      <c r="BL95" s="54"/>
      <c r="BM95" s="54"/>
      <c r="BN95" s="53"/>
      <c r="BO95" s="55"/>
      <c r="BP95" s="54"/>
      <c r="BQ95" s="54"/>
      <c r="BR95" s="54"/>
    </row>
    <row r="96" spans="23:70">
      <c r="W96" s="99"/>
      <c r="X96" s="14"/>
      <c r="Y96" s="14"/>
      <c r="Z96" s="14"/>
      <c r="AA96" s="55"/>
      <c r="AB96" s="54"/>
      <c r="AC96" s="54"/>
      <c r="AD96" s="54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54"/>
      <c r="BB96">
        <f t="shared" si="60"/>
        <v>88.25</v>
      </c>
      <c r="BC96">
        <f t="shared" si="44"/>
        <v>38.914294281197201</v>
      </c>
      <c r="BD96">
        <f t="shared" si="45"/>
        <v>10.31927955759142</v>
      </c>
      <c r="BE96" s="88">
        <f t="shared" si="46"/>
        <v>123.81581049704671</v>
      </c>
      <c r="BF96">
        <f t="shared" si="47"/>
        <v>1.1482124314842264E-3</v>
      </c>
      <c r="BG96">
        <f t="shared" si="48"/>
        <v>49.233573838788622</v>
      </c>
      <c r="BH96">
        <f t="shared" si="49"/>
        <v>289.52008122349508</v>
      </c>
      <c r="BI96">
        <f t="shared" si="50"/>
        <v>0.33243055642514002</v>
      </c>
      <c r="BJ96" s="54"/>
      <c r="BK96" s="54"/>
      <c r="BL96" s="54"/>
      <c r="BM96" s="54"/>
      <c r="BN96" s="53"/>
      <c r="BO96" s="55"/>
      <c r="BP96" s="54"/>
      <c r="BQ96" s="54"/>
      <c r="BR96" s="54"/>
    </row>
    <row r="97" spans="23:70">
      <c r="W97" s="99"/>
      <c r="X97" s="14"/>
      <c r="Y97" s="14"/>
      <c r="Z97" s="14"/>
      <c r="AA97" s="55"/>
      <c r="AB97" s="54"/>
      <c r="AC97" s="54"/>
      <c r="AD97" s="54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54"/>
      <c r="BB97">
        <f t="shared" si="60"/>
        <v>89</v>
      </c>
      <c r="BC97">
        <f t="shared" si="44"/>
        <v>38.987800132898258</v>
      </c>
      <c r="BD97">
        <f t="shared" si="45"/>
        <v>10.406978817287664</v>
      </c>
      <c r="BE97" s="88">
        <f t="shared" si="46"/>
        <v>123.65460538564942</v>
      </c>
      <c r="BF97">
        <f t="shared" si="47"/>
        <v>1.1270988041912513E-3</v>
      </c>
      <c r="BG97">
        <f t="shared" si="48"/>
        <v>49.394778950185923</v>
      </c>
      <c r="BH97">
        <f t="shared" si="49"/>
        <v>294.9435800916101</v>
      </c>
      <c r="BI97">
        <f t="shared" si="50"/>
        <v>0.3324305564251403</v>
      </c>
      <c r="BJ97" s="54"/>
      <c r="BK97" s="54"/>
      <c r="BL97" s="54"/>
      <c r="BM97" s="54"/>
      <c r="BN97" s="53"/>
      <c r="BO97" s="55"/>
      <c r="BP97" s="54"/>
      <c r="BQ97" s="54"/>
      <c r="BR97" s="54"/>
    </row>
    <row r="98" spans="23:70">
      <c r="W98" s="99"/>
      <c r="X98" s="14"/>
      <c r="Y98" s="14"/>
      <c r="Z98" s="14"/>
      <c r="AA98" s="55"/>
      <c r="AB98" s="54"/>
      <c r="AC98" s="54"/>
      <c r="AD98" s="54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54"/>
      <c r="BB98">
        <f t="shared" si="60"/>
        <v>89.75</v>
      </c>
      <c r="BC98">
        <f t="shared" si="44"/>
        <v>39.060689145007139</v>
      </c>
      <c r="BD98">
        <f t="shared" si="45"/>
        <v>10.494678076983908</v>
      </c>
      <c r="BE98" s="88">
        <f t="shared" si="46"/>
        <v>123.49401711384429</v>
      </c>
      <c r="BF98">
        <f t="shared" si="47"/>
        <v>1.106451993057413E-3</v>
      </c>
      <c r="BG98">
        <f t="shared" si="48"/>
        <v>49.555367221991048</v>
      </c>
      <c r="BH98">
        <f t="shared" si="49"/>
        <v>300.44733843946426</v>
      </c>
      <c r="BI98">
        <f t="shared" si="50"/>
        <v>0.33243055642514036</v>
      </c>
      <c r="BJ98" s="54"/>
      <c r="BK98" s="54"/>
      <c r="BL98" s="54"/>
      <c r="BM98" s="54"/>
      <c r="BN98" s="53"/>
      <c r="BO98" s="55"/>
      <c r="BP98" s="54"/>
      <c r="BQ98" s="54"/>
      <c r="BR98" s="54"/>
    </row>
    <row r="99" spans="23:70">
      <c r="W99" s="99"/>
      <c r="X99" s="14"/>
      <c r="Y99" s="14"/>
      <c r="Z99" s="14"/>
      <c r="AA99" s="55"/>
      <c r="AB99" s="54"/>
      <c r="AC99" s="54"/>
      <c r="AD99" s="54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54"/>
      <c r="BB99">
        <f t="shared" si="60"/>
        <v>90.5</v>
      </c>
      <c r="BC99">
        <f t="shared" si="44"/>
        <v>39.13297158410407</v>
      </c>
      <c r="BD99">
        <f t="shared" si="45"/>
        <v>10.582377336680153</v>
      </c>
      <c r="BE99" s="88">
        <f t="shared" si="46"/>
        <v>123.33403541505113</v>
      </c>
      <c r="BF99">
        <f t="shared" si="47"/>
        <v>1.0862592569849949E-3</v>
      </c>
      <c r="BG99">
        <f t="shared" si="48"/>
        <v>49.715348920784223</v>
      </c>
      <c r="BH99">
        <f t="shared" si="49"/>
        <v>306.03242668590048</v>
      </c>
      <c r="BI99">
        <f t="shared" si="50"/>
        <v>0.33243055642514119</v>
      </c>
      <c r="BJ99" s="54"/>
      <c r="BK99" s="54"/>
      <c r="BL99" s="54"/>
      <c r="BM99" s="54"/>
      <c r="BN99" s="53"/>
      <c r="BO99" s="55"/>
      <c r="BP99" s="54"/>
      <c r="BQ99" s="54"/>
      <c r="BR99" s="54"/>
    </row>
    <row r="100" spans="23:70">
      <c r="W100" s="99"/>
      <c r="X100" s="14"/>
      <c r="Y100" s="14"/>
      <c r="Z100" s="14"/>
      <c r="AA100" s="55"/>
      <c r="AB100" s="54"/>
      <c r="AC100" s="54"/>
      <c r="AD100" s="54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54"/>
      <c r="BB100">
        <f t="shared" si="60"/>
        <v>91.25</v>
      </c>
      <c r="BC100">
        <f t="shared" si="44"/>
        <v>39.204657462570246</v>
      </c>
      <c r="BD100">
        <f t="shared" si="45"/>
        <v>10.670076596376397</v>
      </c>
      <c r="BE100" s="88">
        <f t="shared" si="46"/>
        <v>123.1746502768887</v>
      </c>
      <c r="BF100">
        <f t="shared" si="47"/>
        <v>1.0665082850718158E-3</v>
      </c>
      <c r="BG100">
        <f t="shared" si="48"/>
        <v>49.874734058946643</v>
      </c>
      <c r="BH100">
        <f t="shared" si="49"/>
        <v>311.69992870965399</v>
      </c>
      <c r="BI100">
        <f t="shared" si="50"/>
        <v>0.33243055642514036</v>
      </c>
      <c r="BJ100" s="54"/>
      <c r="BK100" s="54"/>
      <c r="BL100" s="54"/>
      <c r="BM100" s="54"/>
      <c r="BN100" s="53"/>
      <c r="BO100" s="55"/>
      <c r="BP100" s="54"/>
      <c r="BQ100" s="54"/>
      <c r="BR100" s="54"/>
    </row>
    <row r="101" spans="23:70">
      <c r="W101" s="99"/>
      <c r="X101" s="14"/>
      <c r="Y101" s="14"/>
      <c r="Z101" s="14"/>
      <c r="AA101" s="55"/>
      <c r="AB101" s="54"/>
      <c r="AC101" s="54"/>
      <c r="AD101" s="54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54"/>
      <c r="BB101">
        <f t="shared" si="60"/>
        <v>92</v>
      </c>
      <c r="BC101">
        <f t="shared" si="44"/>
        <v>39.275756546911104</v>
      </c>
      <c r="BD101">
        <f t="shared" si="45"/>
        <v>10.757775856072641</v>
      </c>
      <c r="BE101" s="88">
        <f t="shared" si="46"/>
        <v>123.01585193285159</v>
      </c>
      <c r="BF101">
        <f t="shared" si="47"/>
        <v>1.047187178963414E-3</v>
      </c>
      <c r="BG101">
        <f t="shared" si="48"/>
        <v>50.033532402983745</v>
      </c>
      <c r="BH101">
        <f t="shared" si="49"/>
        <v>317.4509420123012</v>
      </c>
      <c r="BI101">
        <f t="shared" si="50"/>
        <v>0.33243055642514002</v>
      </c>
      <c r="BJ101" s="54"/>
      <c r="BK101" s="54"/>
      <c r="BL101" s="54"/>
      <c r="BM101" s="54"/>
      <c r="BN101" s="53"/>
      <c r="BO101" s="55"/>
      <c r="BP101" s="54"/>
      <c r="BQ101" s="54"/>
      <c r="BR101" s="54"/>
    </row>
    <row r="102" spans="23:70">
      <c r="W102" s="99"/>
      <c r="X102" s="14"/>
      <c r="Y102" s="14"/>
      <c r="Z102" s="14"/>
      <c r="AA102" s="55"/>
      <c r="AB102" s="54"/>
      <c r="AC102" s="54"/>
      <c r="AD102" s="54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54"/>
      <c r="BB102">
        <f t="shared" si="60"/>
        <v>92.75</v>
      </c>
      <c r="BC102">
        <f t="shared" si="44"/>
        <v>39.346278365741668</v>
      </c>
      <c r="BD102">
        <f t="shared" si="45"/>
        <v>10.845475115768886</v>
      </c>
      <c r="BE102" s="88">
        <f t="shared" si="46"/>
        <v>122.85763085432477</v>
      </c>
      <c r="BF102">
        <f t="shared" si="47"/>
        <v>1.0282844360625372E-3</v>
      </c>
      <c r="BG102">
        <f t="shared" si="48"/>
        <v>50.191753481510553</v>
      </c>
      <c r="BH102">
        <f t="shared" si="49"/>
        <v>323.28657788312768</v>
      </c>
      <c r="BI102">
        <f t="shared" si="50"/>
        <v>0.33243055642513947</v>
      </c>
      <c r="BJ102" s="54"/>
      <c r="BK102" s="54"/>
      <c r="BL102" s="54"/>
      <c r="BM102" s="54"/>
      <c r="BN102" s="53"/>
      <c r="BO102" s="55"/>
      <c r="BP102" s="54"/>
      <c r="BQ102" s="54"/>
      <c r="BR102" s="54"/>
    </row>
    <row r="103" spans="23:70">
      <c r="W103" s="99"/>
      <c r="X103" s="14"/>
      <c r="Y103" s="14"/>
      <c r="Z103" s="14"/>
      <c r="AA103" s="55"/>
      <c r="AB103" s="54"/>
      <c r="AC103" s="54"/>
      <c r="AD103" s="54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54"/>
      <c r="BB103">
        <f>BB102+$O$34</f>
        <v>93.5</v>
      </c>
      <c r="BC103">
        <f t="shared" si="44"/>
        <v>39.416232217450357</v>
      </c>
      <c r="BD103">
        <f t="shared" si="45"/>
        <v>10.93317437546513</v>
      </c>
      <c r="BE103" s="88">
        <f t="shared" si="46"/>
        <v>122.69997774291984</v>
      </c>
      <c r="BF103">
        <f t="shared" si="47"/>
        <v>1.0097889335478731E-3</v>
      </c>
      <c r="BG103">
        <f t="shared" si="48"/>
        <v>50.349406592915486</v>
      </c>
      <c r="BH103">
        <f t="shared" si="49"/>
        <v>329.20796156593997</v>
      </c>
      <c r="BI103">
        <f t="shared" si="50"/>
        <v>0.33243055642513969</v>
      </c>
      <c r="BJ103" s="54"/>
      <c r="BK103" s="54"/>
      <c r="BL103" s="54"/>
      <c r="BM103" s="54"/>
      <c r="BN103" s="53"/>
      <c r="BO103" s="55"/>
      <c r="BP103" s="54"/>
      <c r="BQ103" s="54"/>
      <c r="BR103" s="54"/>
    </row>
    <row r="104" spans="23:70">
      <c r="W104" s="99"/>
      <c r="X104" s="14"/>
      <c r="Y104" s="14"/>
      <c r="Z104" s="14"/>
      <c r="AA104" s="55"/>
      <c r="AB104" s="54"/>
      <c r="AC104" s="54"/>
      <c r="AD104" s="54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54"/>
      <c r="BB104">
        <f t="shared" ref="BB104:BB107" si="61">BB103+$O$34</f>
        <v>94.25</v>
      </c>
      <c r="BC104">
        <f t="shared" si="44"/>
        <v>39.485627177556609</v>
      </c>
      <c r="BD104">
        <f t="shared" si="45"/>
        <v>11.020873635161374</v>
      </c>
      <c r="BE104" s="88">
        <f t="shared" si="46"/>
        <v>122.54288352311737</v>
      </c>
      <c r="BF104">
        <f t="shared" si="47"/>
        <v>9.9168991315687067E-4</v>
      </c>
      <c r="BG104">
        <f t="shared" si="48"/>
        <v>50.506500812717981</v>
      </c>
      <c r="BH104">
        <f t="shared" si="49"/>
        <v>335.21623242784261</v>
      </c>
      <c r="BI104">
        <f t="shared" si="50"/>
        <v>0.33243055642514063</v>
      </c>
      <c r="BJ104" s="54"/>
      <c r="BK104" s="54"/>
      <c r="BL104" s="54"/>
      <c r="BM104" s="54"/>
      <c r="BN104" s="53"/>
      <c r="BO104" s="55"/>
      <c r="BP104" s="54"/>
      <c r="BQ104" s="54"/>
      <c r="BR104" s="54"/>
    </row>
    <row r="105" spans="23:70">
      <c r="W105" s="99"/>
      <c r="X105" s="14"/>
      <c r="Y105" s="14"/>
      <c r="Z105" s="14"/>
      <c r="AA105" s="55"/>
      <c r="AB105" s="54"/>
      <c r="AC105" s="54"/>
      <c r="AD105" s="54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54"/>
      <c r="BB105">
        <f t="shared" si="61"/>
        <v>95</v>
      </c>
      <c r="BC105">
        <f t="shared" si="44"/>
        <v>39.554472105776959</v>
      </c>
      <c r="BD105">
        <f t="shared" si="45"/>
        <v>11.10857289485762</v>
      </c>
      <c r="BE105" s="88">
        <f t="shared" si="46"/>
        <v>122.38633933520076</v>
      </c>
      <c r="BF105">
        <f t="shared" si="47"/>
        <v>9.7397696669043667E-4</v>
      </c>
      <c r="BG105">
        <f t="shared" si="48"/>
        <v>50.663045000634582</v>
      </c>
      <c r="BH105">
        <f t="shared" si="49"/>
        <v>341.31254413000727</v>
      </c>
      <c r="BI105">
        <f t="shared" si="50"/>
        <v>0.3324305564251403</v>
      </c>
      <c r="BJ105" s="54"/>
      <c r="BK105" s="54"/>
      <c r="BL105" s="54"/>
      <c r="BM105" s="54"/>
      <c r="BN105" s="53"/>
      <c r="BO105" s="55"/>
      <c r="BP105" s="54"/>
      <c r="BQ105" s="54"/>
      <c r="BR105" s="54"/>
    </row>
    <row r="106" spans="23:70">
      <c r="W106" s="99"/>
      <c r="X106" s="14"/>
      <c r="Y106" s="14"/>
      <c r="Z106" s="14"/>
      <c r="AA106" s="55"/>
      <c r="AB106" s="54"/>
      <c r="AC106" s="54"/>
      <c r="AD106" s="54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54"/>
      <c r="BB106">
        <f t="shared" si="61"/>
        <v>95.75</v>
      </c>
      <c r="BC106">
        <f t="shared" si="44"/>
        <v>39.622775652813203</v>
      </c>
      <c r="BD106">
        <f t="shared" si="45"/>
        <v>11.196272154553863</v>
      </c>
      <c r="BE106" s="88">
        <f t="shared" si="46"/>
        <v>122.23033652846827</v>
      </c>
      <c r="BF106">
        <f t="shared" si="47"/>
        <v>9.5664002219995675E-4</v>
      </c>
      <c r="BG106">
        <f t="shared" si="48"/>
        <v>50.81904780736707</v>
      </c>
      <c r="BH106">
        <f t="shared" si="49"/>
        <v>347.49806480044526</v>
      </c>
      <c r="BI106">
        <f t="shared" si="50"/>
        <v>0.33243055642513997</v>
      </c>
      <c r="BJ106" s="54"/>
      <c r="BK106" s="54"/>
      <c r="BL106" s="54"/>
      <c r="BM106" s="54"/>
      <c r="BN106" s="53"/>
      <c r="BO106" s="55"/>
      <c r="BP106" s="54"/>
      <c r="BQ106" s="54"/>
      <c r="BR106" s="54"/>
    </row>
    <row r="107" spans="23:70">
      <c r="W107" s="99"/>
      <c r="X107" s="14"/>
      <c r="Y107" s="14"/>
      <c r="Z107" s="14"/>
      <c r="AA107" s="55"/>
      <c r="AB107" s="54"/>
      <c r="AC107" s="54"/>
      <c r="AD107" s="54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54"/>
      <c r="BB107">
        <f t="shared" si="61"/>
        <v>96.5</v>
      </c>
      <c r="BC107">
        <f t="shared" si="44"/>
        <v>39.690546266875856</v>
      </c>
      <c r="BD107">
        <f t="shared" si="45"/>
        <v>11.283971414250107</v>
      </c>
      <c r="BE107" s="88">
        <f t="shared" si="46"/>
        <v>122.07486665470937</v>
      </c>
      <c r="BF107">
        <f t="shared" si="47"/>
        <v>9.3966933081941187E-4</v>
      </c>
      <c r="BG107">
        <f t="shared" si="48"/>
        <v>50.97451768112596</v>
      </c>
      <c r="BH107">
        <f t="shared" si="49"/>
        <v>353.77397720882635</v>
      </c>
      <c r="BI107">
        <f t="shared" si="50"/>
        <v>0.33243055642513974</v>
      </c>
      <c r="BJ107" s="54"/>
      <c r="BK107" s="54"/>
      <c r="BL107" s="54"/>
      <c r="BM107" s="54"/>
      <c r="BN107" s="53"/>
      <c r="BO107" s="55"/>
      <c r="BP107" s="54"/>
      <c r="BQ107" s="54"/>
      <c r="BR107" s="54"/>
    </row>
    <row r="108" spans="23:70">
      <c r="W108" s="99"/>
      <c r="X108" s="14"/>
      <c r="Y108" s="14"/>
      <c r="Z108" s="14"/>
      <c r="AA108" s="55"/>
      <c r="AB108" s="54"/>
      <c r="AC108" s="54"/>
      <c r="AD108" s="54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54"/>
      <c r="BB108">
        <f>BB107+$O$34</f>
        <v>97.25</v>
      </c>
      <c r="BC108">
        <f t="shared" si="44"/>
        <v>39.757792199954906</v>
      </c>
      <c r="BD108">
        <f t="shared" si="45"/>
        <v>11.371670673946353</v>
      </c>
      <c r="BE108" s="88">
        <f t="shared" si="46"/>
        <v>121.91992146193409</v>
      </c>
      <c r="BF108">
        <f t="shared" si="47"/>
        <v>9.2305545420786738E-4</v>
      </c>
      <c r="BG108">
        <f t="shared" si="48"/>
        <v>51.129462873901261</v>
      </c>
      <c r="BH108">
        <f t="shared" si="49"/>
        <v>360.14147894334337</v>
      </c>
      <c r="BI108">
        <f t="shared" si="50"/>
        <v>0.33243055642514091</v>
      </c>
      <c r="BJ108" s="54"/>
      <c r="BK108" s="54"/>
      <c r="BL108" s="54"/>
      <c r="BM108" s="54"/>
      <c r="BN108" s="53"/>
      <c r="BO108" s="55"/>
      <c r="BP108" s="54"/>
      <c r="BQ108" s="54"/>
      <c r="BR108" s="54"/>
    </row>
    <row r="109" spans="23:70">
      <c r="W109" s="99"/>
      <c r="X109" s="14"/>
      <c r="Y109" s="14"/>
      <c r="Z109" s="14"/>
      <c r="AA109" s="55"/>
      <c r="AB109" s="54"/>
      <c r="AC109" s="54"/>
      <c r="AD109" s="54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54"/>
      <c r="BB109">
        <f t="shared" ref="BB109:BB113" si="62">BB108+$O$34</f>
        <v>98</v>
      </c>
      <c r="BC109">
        <f t="shared" si="44"/>
        <v>39.824521513849895</v>
      </c>
      <c r="BD109">
        <f t="shared" si="45"/>
        <v>11.459369933642597</v>
      </c>
      <c r="BE109" s="88">
        <f t="shared" si="46"/>
        <v>121.76549288834285</v>
      </c>
      <c r="BF109">
        <f t="shared" si="47"/>
        <v>9.0678925256952819E-4</v>
      </c>
      <c r="BG109">
        <f t="shared" si="48"/>
        <v>51.283891447492493</v>
      </c>
      <c r="BH109">
        <f t="shared" si="49"/>
        <v>366.60178258966619</v>
      </c>
      <c r="BI109">
        <f t="shared" si="50"/>
        <v>0.33243055642514008</v>
      </c>
      <c r="BJ109" s="54"/>
      <c r="BK109" s="54"/>
      <c r="BL109" s="54"/>
      <c r="BM109" s="54"/>
      <c r="BN109" s="53"/>
      <c r="BO109" s="55"/>
      <c r="BP109" s="54"/>
      <c r="BQ109" s="54"/>
      <c r="BR109" s="54"/>
    </row>
    <row r="110" spans="23:70">
      <c r="W110" s="99"/>
      <c r="X110" s="14"/>
      <c r="Y110" s="14"/>
      <c r="Z110" s="14"/>
      <c r="AA110" s="55"/>
      <c r="AB110" s="54"/>
      <c r="AC110" s="54"/>
      <c r="AD110" s="54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54"/>
      <c r="BB110">
        <f t="shared" si="62"/>
        <v>98.75</v>
      </c>
      <c r="BC110">
        <f t="shared" si="44"/>
        <v>39.890742085969954</v>
      </c>
      <c r="BD110">
        <f t="shared" si="45"/>
        <v>11.547069193338842</v>
      </c>
      <c r="BE110" s="88">
        <f t="shared" si="46"/>
        <v>121.61157305652655</v>
      </c>
      <c r="BF110">
        <f t="shared" si="47"/>
        <v>8.9086187322073471E-4</v>
      </c>
      <c r="BG110">
        <f t="shared" si="48"/>
        <v>51.437811279308796</v>
      </c>
      <c r="BH110">
        <f t="shared" si="49"/>
        <v>373.15611591200263</v>
      </c>
      <c r="BI110">
        <f t="shared" si="50"/>
        <v>0.3324305564251403</v>
      </c>
      <c r="BJ110" s="54"/>
      <c r="BK110" s="54"/>
      <c r="BL110" s="54"/>
      <c r="BM110" s="54"/>
      <c r="BN110" s="53"/>
      <c r="BO110" s="55"/>
      <c r="BP110" s="54"/>
      <c r="BQ110" s="54"/>
      <c r="BR110" s="54"/>
    </row>
    <row r="111" spans="23:70">
      <c r="W111" s="99"/>
      <c r="X111" s="14"/>
      <c r="Y111" s="14"/>
      <c r="Z111" s="14"/>
      <c r="AA111" s="55"/>
      <c r="AB111" s="54"/>
      <c r="AC111" s="54"/>
      <c r="AD111" s="54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54"/>
      <c r="BB111">
        <f t="shared" si="62"/>
        <v>99.5</v>
      </c>
      <c r="BC111">
        <f t="shared" si="44"/>
        <v>39.95646161491451</v>
      </c>
      <c r="BD111">
        <f t="shared" si="45"/>
        <v>11.634768453035086</v>
      </c>
      <c r="BE111" s="88">
        <f t="shared" si="46"/>
        <v>121.45815426788575</v>
      </c>
      <c r="BF111">
        <f t="shared" si="47"/>
        <v>8.7526473967493908E-4</v>
      </c>
      <c r="BG111">
        <f t="shared" si="48"/>
        <v>51.591230067949596</v>
      </c>
      <c r="BH111">
        <f t="shared" si="49"/>
        <v>379.8057220362839</v>
      </c>
      <c r="BI111">
        <f t="shared" si="50"/>
        <v>0.3324305564251403</v>
      </c>
      <c r="BJ111" s="54"/>
      <c r="BK111" s="54"/>
      <c r="BL111" s="54"/>
      <c r="BM111" s="54"/>
      <c r="BN111" s="53"/>
      <c r="BO111" s="55"/>
      <c r="BP111" s="54"/>
      <c r="BQ111" s="54"/>
      <c r="BR111" s="54"/>
    </row>
    <row r="112" spans="23:70">
      <c r="W112" s="99"/>
      <c r="X112" s="14"/>
      <c r="Y112" s="14"/>
      <c r="Z112" s="14"/>
      <c r="AA112" s="55"/>
      <c r="AB112" s="54"/>
      <c r="AC112" s="54"/>
      <c r="AD112" s="54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54"/>
      <c r="BB112">
        <f t="shared" si="62"/>
        <v>100.25</v>
      </c>
      <c r="BC112">
        <f t="shared" si="44"/>
        <v>40.0216876258444</v>
      </c>
      <c r="BD112">
        <f t="shared" si="45"/>
        <v>11.72246771273133</v>
      </c>
      <c r="BE112" s="88">
        <f t="shared" si="46"/>
        <v>121.30522899725959</v>
      </c>
      <c r="BF112">
        <f t="shared" si="47"/>
        <v>8.599895412186062E-4</v>
      </c>
      <c r="BG112">
        <f t="shared" si="48"/>
        <v>51.74415533857573</v>
      </c>
      <c r="BH112">
        <f t="shared" si="49"/>
        <v>386.55185963550775</v>
      </c>
      <c r="BI112">
        <f t="shared" si="50"/>
        <v>0.33243055642513936</v>
      </c>
      <c r="BJ112" s="54"/>
      <c r="BK112" s="54"/>
      <c r="BL112" s="54"/>
      <c r="BM112" s="54"/>
      <c r="BN112" s="53"/>
      <c r="BO112" s="55"/>
      <c r="BP112" s="54"/>
      <c r="BQ112" s="54"/>
      <c r="BR112" s="54"/>
    </row>
    <row r="113" spans="23:70">
      <c r="W113" s="99"/>
      <c r="X113" s="14"/>
      <c r="Y113" s="14"/>
      <c r="Z113" s="14"/>
      <c r="AA113" s="55"/>
      <c r="AB113" s="54"/>
      <c r="AC113" s="54"/>
      <c r="AD113" s="54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54"/>
      <c r="BB113">
        <f t="shared" si="62"/>
        <v>101</v>
      </c>
      <c r="BC113">
        <f t="shared" si="44"/>
        <v>40.086427475652854</v>
      </c>
      <c r="BD113">
        <f t="shared" si="45"/>
        <v>11.810166972427576</v>
      </c>
      <c r="BE113" s="88">
        <f t="shared" si="46"/>
        <v>121.15278988775493</v>
      </c>
      <c r="BF113">
        <f t="shared" si="47"/>
        <v>8.4502822295246601E-4</v>
      </c>
      <c r="BG113">
        <f t="shared" si="48"/>
        <v>51.896594448080428</v>
      </c>
      <c r="BH113">
        <f t="shared" si="49"/>
        <v>393.39580311726604</v>
      </c>
      <c r="BI113">
        <f t="shared" si="50"/>
        <v>0.33243055642514152</v>
      </c>
      <c r="BJ113" s="54"/>
      <c r="BK113" s="54"/>
      <c r="BL113" s="54"/>
      <c r="BM113" s="54"/>
      <c r="BN113" s="53"/>
      <c r="BO113" s="55"/>
      <c r="BP113" s="54"/>
      <c r="BQ113" s="54"/>
      <c r="BR113" s="54"/>
    </row>
    <row r="114" spans="23:70">
      <c r="W114" s="99"/>
      <c r="X114" s="14"/>
      <c r="Y114" s="14"/>
      <c r="Z114" s="14"/>
      <c r="AA114" s="55"/>
      <c r="AB114" s="54"/>
      <c r="AC114" s="54"/>
      <c r="AD114" s="54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54"/>
      <c r="BB114" s="54"/>
      <c r="BC114" s="64"/>
      <c r="BD114" s="53"/>
      <c r="BE114" s="63"/>
      <c r="BH114" s="63"/>
      <c r="BI114" s="63"/>
      <c r="BJ114" s="54"/>
      <c r="BK114" s="54"/>
      <c r="BL114" s="54"/>
      <c r="BM114" s="54"/>
      <c r="BN114" s="53"/>
      <c r="BO114" s="55"/>
      <c r="BP114" s="54"/>
      <c r="BQ114" s="54"/>
      <c r="BR114" s="54"/>
    </row>
    <row r="115" spans="23:70">
      <c r="W115" s="99"/>
      <c r="X115" s="14"/>
      <c r="Y115" s="14"/>
      <c r="Z115" s="14"/>
      <c r="AA115" s="55"/>
      <c r="AB115" s="54"/>
      <c r="AC115" s="54"/>
      <c r="AD115" s="54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54"/>
      <c r="BB115" s="54"/>
      <c r="BC115" s="64"/>
      <c r="BD115" s="53"/>
      <c r="BE115" s="63"/>
      <c r="BF115" s="63"/>
      <c r="BG115" s="54"/>
      <c r="BH115" s="54"/>
      <c r="BI115" s="54"/>
      <c r="BJ115" s="54"/>
      <c r="BK115" s="54"/>
      <c r="BL115" s="54"/>
      <c r="BM115" s="54"/>
      <c r="BN115" s="53"/>
      <c r="BO115" s="55"/>
      <c r="BP115" s="54"/>
      <c r="BQ115" s="54"/>
      <c r="BR115" s="54"/>
    </row>
    <row r="116" spans="23:70">
      <c r="W116" s="99"/>
      <c r="X116" s="14"/>
      <c r="Y116" s="14"/>
      <c r="Z116" s="14"/>
      <c r="AA116" s="55"/>
      <c r="AB116" s="54"/>
      <c r="AC116" s="54"/>
      <c r="AD116" s="54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54"/>
      <c r="BB116" s="54"/>
      <c r="BC116" s="64"/>
      <c r="BD116" s="53"/>
      <c r="BE116" s="63"/>
      <c r="BF116" s="63"/>
      <c r="BG116" s="54"/>
      <c r="BH116" s="54"/>
      <c r="BI116" s="54"/>
      <c r="BJ116" s="54"/>
      <c r="BK116" s="54"/>
      <c r="BL116" s="54"/>
      <c r="BM116" s="54"/>
      <c r="BN116" s="53"/>
      <c r="BO116" s="55"/>
      <c r="BP116" s="54"/>
      <c r="BQ116" s="54"/>
      <c r="BR116" s="54"/>
    </row>
    <row r="117" spans="23:70">
      <c r="W117" s="99"/>
      <c r="X117" s="14"/>
      <c r="Y117" s="14"/>
      <c r="Z117" s="14"/>
      <c r="AA117" s="55"/>
      <c r="AB117" s="54"/>
      <c r="AC117" s="54"/>
      <c r="AD117" s="54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54"/>
      <c r="BB117" s="54"/>
      <c r="BC117" s="64"/>
      <c r="BD117" s="53"/>
      <c r="BE117" s="63"/>
      <c r="BF117" s="63"/>
      <c r="BG117" s="54"/>
      <c r="BH117" s="54"/>
      <c r="BI117" s="54"/>
      <c r="BJ117" s="54"/>
      <c r="BK117" s="54"/>
      <c r="BL117" s="54"/>
      <c r="BM117" s="54"/>
      <c r="BN117" s="53"/>
      <c r="BO117" s="55"/>
      <c r="BP117" s="54"/>
      <c r="BQ117" s="54"/>
      <c r="BR117" s="54"/>
    </row>
    <row r="118" spans="23:70">
      <c r="W118" s="99"/>
      <c r="X118" s="14"/>
      <c r="Y118" s="14"/>
      <c r="Z118" s="14"/>
      <c r="AA118" s="55"/>
      <c r="AB118" s="54"/>
      <c r="AC118" s="54"/>
      <c r="AD118" s="54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54"/>
      <c r="BB118" s="54"/>
      <c r="BC118" s="64"/>
      <c r="BD118" s="53"/>
      <c r="BE118" s="63"/>
      <c r="BF118" s="63"/>
      <c r="BG118" s="54"/>
      <c r="BH118" s="54"/>
      <c r="BI118" s="54"/>
      <c r="BJ118" s="54"/>
      <c r="BK118" s="54"/>
      <c r="BL118" s="54"/>
      <c r="BM118" s="54"/>
      <c r="BN118" s="53"/>
      <c r="BO118" s="55"/>
      <c r="BP118" s="54"/>
      <c r="BQ118" s="54"/>
      <c r="BR118" s="54"/>
    </row>
    <row r="119" spans="23:70">
      <c r="W119" s="99"/>
      <c r="X119" s="14"/>
      <c r="Y119" s="14"/>
      <c r="Z119" s="14"/>
      <c r="AA119" s="55"/>
      <c r="AB119" s="54"/>
      <c r="AC119" s="54"/>
      <c r="AD119" s="54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54"/>
      <c r="BB119" s="54"/>
      <c r="BC119" s="64"/>
      <c r="BD119" s="53"/>
      <c r="BE119" s="63"/>
      <c r="BF119" s="63"/>
      <c r="BG119" s="54"/>
      <c r="BH119" s="54"/>
      <c r="BI119" s="54"/>
      <c r="BJ119" s="54"/>
      <c r="BK119" s="54"/>
      <c r="BL119" s="54"/>
      <c r="BM119" s="54"/>
      <c r="BN119" s="53"/>
      <c r="BO119" s="55"/>
      <c r="BP119" s="54"/>
      <c r="BQ119" s="54"/>
      <c r="BR119" s="54"/>
    </row>
    <row r="120" spans="23:70">
      <c r="W120" s="39"/>
      <c r="X120" s="14"/>
      <c r="Y120" s="14"/>
      <c r="Z120" s="14"/>
      <c r="AA120" s="55"/>
      <c r="AB120" s="54"/>
      <c r="AC120" s="54"/>
      <c r="AD120" s="54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54"/>
      <c r="BB120" s="54"/>
      <c r="BC120" s="64"/>
      <c r="BD120" s="53"/>
      <c r="BE120" s="63"/>
      <c r="BF120" s="63"/>
      <c r="BG120" s="54"/>
      <c r="BH120" s="54"/>
      <c r="BI120" s="54"/>
      <c r="BJ120" s="54"/>
      <c r="BK120" s="54"/>
      <c r="BL120" s="54"/>
      <c r="BM120" s="54"/>
      <c r="BN120" s="53"/>
      <c r="BO120" s="55"/>
      <c r="BP120" s="54"/>
      <c r="BQ120" s="54"/>
      <c r="BR120" s="54"/>
    </row>
    <row r="121" spans="23:70">
      <c r="W121" s="39"/>
      <c r="X121" s="14"/>
      <c r="Y121" s="14"/>
      <c r="Z121" s="14"/>
      <c r="AA121" s="55"/>
      <c r="AB121" s="54"/>
      <c r="AC121" s="54"/>
      <c r="AD121" s="54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54"/>
      <c r="BB121" s="54"/>
      <c r="BC121" s="64"/>
      <c r="BD121" s="53"/>
      <c r="BE121" s="63"/>
      <c r="BF121" s="63"/>
      <c r="BG121" s="54"/>
      <c r="BH121" s="54"/>
      <c r="BI121" s="54"/>
      <c r="BJ121" s="54"/>
      <c r="BK121" s="54"/>
      <c r="BL121" s="54"/>
      <c r="BM121" s="54"/>
      <c r="BN121" s="53"/>
      <c r="BO121" s="55"/>
      <c r="BP121" s="54"/>
      <c r="BQ121" s="54"/>
      <c r="BR121" s="54"/>
    </row>
    <row r="122" spans="23:70">
      <c r="W122" s="39"/>
      <c r="X122" s="14"/>
      <c r="Y122" s="14"/>
      <c r="Z122" s="14"/>
      <c r="AA122" s="55"/>
      <c r="AB122" s="54"/>
      <c r="AC122" s="54"/>
      <c r="AD122" s="54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54"/>
      <c r="BB122" s="54"/>
      <c r="BC122" s="64"/>
      <c r="BD122" s="53"/>
      <c r="BE122" s="63"/>
      <c r="BF122" s="63"/>
      <c r="BG122" s="54"/>
      <c r="BH122" s="54"/>
      <c r="BI122" s="54"/>
      <c r="BJ122" s="54"/>
      <c r="BK122" s="54"/>
      <c r="BL122" s="54"/>
      <c r="BM122" s="54"/>
      <c r="BN122" s="53"/>
      <c r="BO122" s="55"/>
      <c r="BP122" s="54"/>
      <c r="BQ122" s="54"/>
      <c r="BR122" s="54"/>
    </row>
    <row r="123" spans="23:70">
      <c r="W123" s="39"/>
      <c r="X123" s="14"/>
      <c r="Y123" s="14"/>
      <c r="Z123" s="14"/>
      <c r="AA123" s="55"/>
      <c r="AB123" s="54"/>
      <c r="AC123" s="54"/>
      <c r="AD123" s="54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54"/>
      <c r="BB123" s="54"/>
      <c r="BC123" s="64"/>
      <c r="BD123" s="53"/>
      <c r="BE123" s="63"/>
      <c r="BF123" s="63"/>
      <c r="BG123" s="54"/>
      <c r="BH123" s="54"/>
      <c r="BI123" s="54"/>
      <c r="BJ123" s="54"/>
      <c r="BK123" s="54"/>
      <c r="BL123" s="54"/>
      <c r="BM123" s="54"/>
      <c r="BN123" s="53"/>
      <c r="BO123" s="55"/>
      <c r="BP123" s="54"/>
      <c r="BQ123" s="54"/>
      <c r="BR123" s="54"/>
    </row>
    <row r="124" spans="23:70">
      <c r="W124" s="39"/>
      <c r="X124" s="14"/>
      <c r="Y124" s="14"/>
      <c r="Z124" s="14"/>
      <c r="AA124" s="55"/>
      <c r="AB124" s="54"/>
      <c r="AC124" s="54"/>
      <c r="AD124" s="54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54"/>
      <c r="BB124" s="54"/>
      <c r="BC124" s="64"/>
      <c r="BD124" s="53"/>
      <c r="BE124" s="63"/>
      <c r="BF124" s="63"/>
      <c r="BG124" s="54"/>
      <c r="BH124" s="54"/>
      <c r="BI124" s="54"/>
      <c r="BJ124" s="54"/>
      <c r="BK124" s="54"/>
      <c r="BL124" s="54"/>
      <c r="BM124" s="54"/>
      <c r="BN124" s="53"/>
      <c r="BO124" s="55"/>
      <c r="BP124" s="54"/>
      <c r="BQ124" s="54"/>
      <c r="BR124" s="54"/>
    </row>
    <row r="125" spans="23:70">
      <c r="W125" s="39"/>
      <c r="X125" s="14"/>
      <c r="Y125" s="14"/>
      <c r="Z125" s="14"/>
      <c r="AA125" s="55"/>
      <c r="AB125" s="54"/>
      <c r="AC125" s="54"/>
      <c r="AD125" s="54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54"/>
      <c r="BB125" s="54"/>
      <c r="BC125" s="64"/>
      <c r="BD125" s="53"/>
      <c r="BE125" s="63"/>
      <c r="BF125" s="63"/>
      <c r="BG125" s="54"/>
      <c r="BH125" s="54"/>
      <c r="BI125" s="54"/>
      <c r="BJ125" s="54"/>
      <c r="BK125" s="54"/>
      <c r="BL125" s="54"/>
      <c r="BM125" s="54"/>
      <c r="BN125" s="53"/>
      <c r="BO125" s="55"/>
      <c r="BP125" s="54"/>
      <c r="BQ125" s="54"/>
      <c r="BR125" s="54"/>
    </row>
    <row r="126" spans="23:70">
      <c r="W126" s="39"/>
      <c r="X126" s="14"/>
      <c r="Y126" s="14"/>
      <c r="Z126" s="14"/>
      <c r="AA126" s="55"/>
      <c r="AB126" s="54"/>
      <c r="AC126" s="54"/>
      <c r="AD126" s="54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54"/>
      <c r="BB126" s="54"/>
      <c r="BC126" s="64"/>
      <c r="BD126" s="53"/>
      <c r="BE126" s="63"/>
      <c r="BF126" s="63"/>
      <c r="BG126" s="54"/>
      <c r="BH126" s="54"/>
      <c r="BI126" s="54"/>
      <c r="BJ126" s="54"/>
      <c r="BK126" s="54"/>
      <c r="BL126" s="54"/>
      <c r="BM126" s="54"/>
      <c r="BN126" s="53"/>
      <c r="BO126" s="55"/>
      <c r="BP126" s="54"/>
      <c r="BQ126" s="54"/>
      <c r="BR126" s="54"/>
    </row>
    <row r="127" spans="23:70">
      <c r="W127" s="39"/>
      <c r="X127" s="14"/>
      <c r="Y127" s="14"/>
      <c r="Z127" s="14"/>
      <c r="AA127" s="55"/>
      <c r="AB127" s="54"/>
      <c r="AC127" s="54"/>
      <c r="AD127" s="54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54"/>
      <c r="BB127" s="54"/>
      <c r="BC127" s="64"/>
      <c r="BD127" s="53"/>
      <c r="BE127" s="63"/>
      <c r="BF127" s="63"/>
      <c r="BG127" s="54"/>
      <c r="BH127" s="54"/>
      <c r="BI127" s="54"/>
      <c r="BJ127" s="54"/>
      <c r="BK127" s="54"/>
      <c r="BL127" s="54"/>
      <c r="BM127" s="54"/>
      <c r="BN127" s="53"/>
      <c r="BO127" s="55"/>
      <c r="BP127" s="54"/>
      <c r="BQ127" s="54"/>
      <c r="BR127" s="54"/>
    </row>
    <row r="128" spans="23:70">
      <c r="W128" s="54"/>
      <c r="X128" s="14"/>
      <c r="Y128" s="54"/>
      <c r="Z128" s="54"/>
      <c r="AA128" s="54"/>
      <c r="AB128" s="54"/>
      <c r="AC128" s="54"/>
      <c r="AD128" s="54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54"/>
      <c r="BB128" s="54"/>
      <c r="BC128" s="64"/>
      <c r="BD128" s="53"/>
      <c r="BE128" s="63"/>
      <c r="BF128" s="63"/>
      <c r="BG128" s="54"/>
      <c r="BH128" s="54"/>
      <c r="BI128" s="54"/>
      <c r="BJ128" s="54"/>
      <c r="BK128" s="54"/>
      <c r="BL128" s="54"/>
      <c r="BM128" s="54"/>
      <c r="BN128" s="53"/>
      <c r="BO128" s="55"/>
      <c r="BP128" s="54"/>
      <c r="BQ128" s="54"/>
      <c r="BR128" s="54"/>
    </row>
    <row r="129" spans="23:70">
      <c r="W129" s="54"/>
      <c r="X129" s="54"/>
      <c r="Y129" s="54"/>
      <c r="Z129" s="54"/>
      <c r="AA129" s="54"/>
      <c r="AB129" s="54"/>
      <c r="AC129" s="54"/>
      <c r="AD129" s="54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54"/>
      <c r="BB129" s="54"/>
      <c r="BC129" s="64"/>
      <c r="BD129" s="53"/>
      <c r="BE129" s="63"/>
      <c r="BF129" s="63"/>
      <c r="BG129" s="54"/>
      <c r="BH129" s="54"/>
      <c r="BI129" s="54"/>
      <c r="BJ129" s="54"/>
      <c r="BK129" s="54"/>
      <c r="BL129" s="54"/>
      <c r="BM129" s="54"/>
      <c r="BN129" s="53"/>
      <c r="BO129" s="55"/>
      <c r="BP129" s="54"/>
      <c r="BQ129" s="54"/>
      <c r="BR129" s="54"/>
    </row>
    <row r="130" spans="23:70">
      <c r="W130" s="54"/>
      <c r="X130" s="54"/>
      <c r="Y130" s="54"/>
      <c r="Z130" s="54"/>
      <c r="AA130" s="54"/>
      <c r="AB130" s="54"/>
      <c r="AC130" s="54"/>
      <c r="AD130" s="54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54"/>
      <c r="BB130" s="54"/>
      <c r="BC130" s="64"/>
      <c r="BD130" s="53"/>
      <c r="BE130" s="63"/>
      <c r="BF130" s="63"/>
      <c r="BG130" s="54"/>
      <c r="BH130" s="54"/>
      <c r="BI130" s="54"/>
      <c r="BJ130" s="54"/>
      <c r="BK130" s="54"/>
      <c r="BL130" s="54"/>
      <c r="BM130" s="54"/>
      <c r="BN130" s="53"/>
      <c r="BO130" s="55"/>
      <c r="BP130" s="54"/>
      <c r="BQ130" s="54"/>
      <c r="BR130" s="54"/>
    </row>
    <row r="131" spans="23:70">
      <c r="W131" s="54"/>
      <c r="X131" s="54"/>
      <c r="Y131" s="54"/>
      <c r="Z131" s="54"/>
      <c r="AA131" s="54"/>
      <c r="AB131" s="54"/>
      <c r="AC131" s="54"/>
      <c r="AD131" s="54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54"/>
      <c r="BB131" s="54"/>
      <c r="BC131" s="64"/>
      <c r="BD131" s="53"/>
      <c r="BE131" s="63"/>
      <c r="BF131" s="63"/>
      <c r="BG131" s="54"/>
      <c r="BH131" s="54"/>
      <c r="BI131" s="54"/>
      <c r="BJ131" s="54"/>
      <c r="BK131" s="54"/>
      <c r="BL131" s="54"/>
      <c r="BM131" s="54"/>
      <c r="BN131" s="53"/>
      <c r="BO131" s="55"/>
      <c r="BP131" s="54"/>
      <c r="BQ131" s="54"/>
      <c r="BR131" s="54"/>
    </row>
    <row r="132" spans="23:70">
      <c r="W132" s="54"/>
      <c r="X132" s="54"/>
      <c r="Y132" s="54"/>
      <c r="Z132" s="54"/>
      <c r="AA132" s="54"/>
      <c r="AB132" s="54"/>
      <c r="AC132" s="54"/>
      <c r="AD132" s="54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54"/>
      <c r="BB132" s="54"/>
      <c r="BC132" s="64"/>
      <c r="BD132" s="53"/>
      <c r="BE132" s="63"/>
      <c r="BF132" s="63"/>
      <c r="BG132" s="54"/>
      <c r="BH132" s="54"/>
      <c r="BI132" s="54"/>
      <c r="BJ132" s="54"/>
      <c r="BK132" s="54"/>
      <c r="BL132" s="54"/>
      <c r="BM132" s="54"/>
      <c r="BN132" s="53"/>
      <c r="BO132" s="55"/>
      <c r="BP132" s="54"/>
      <c r="BQ132" s="54"/>
      <c r="BR132" s="54"/>
    </row>
    <row r="133" spans="23:70">
      <c r="W133" s="54"/>
      <c r="X133" s="54"/>
      <c r="Y133" s="54"/>
      <c r="Z133" s="54"/>
      <c r="AA133" s="54"/>
      <c r="AB133" s="54"/>
      <c r="AC133" s="54"/>
      <c r="AD133" s="54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54"/>
      <c r="BB133" s="54"/>
      <c r="BC133" s="64"/>
      <c r="BD133" s="53"/>
      <c r="BE133" s="63"/>
      <c r="BF133" s="63"/>
      <c r="BG133" s="54"/>
      <c r="BH133" s="54"/>
      <c r="BI133" s="54"/>
      <c r="BJ133" s="54"/>
      <c r="BK133" s="54"/>
      <c r="BL133" s="54"/>
      <c r="BM133" s="54"/>
      <c r="BN133" s="53"/>
      <c r="BO133" s="55"/>
      <c r="BP133" s="54"/>
      <c r="BQ133" s="54"/>
      <c r="BR133" s="54"/>
    </row>
    <row r="134" spans="23:70">
      <c r="W134" s="54"/>
      <c r="X134" s="54"/>
      <c r="Y134" s="54"/>
      <c r="Z134" s="54"/>
      <c r="AA134" s="54"/>
      <c r="AB134" s="54"/>
      <c r="AC134" s="54"/>
      <c r="AD134" s="54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54"/>
      <c r="BB134" s="54"/>
      <c r="BC134" s="64"/>
      <c r="BD134" s="53"/>
      <c r="BE134" s="63"/>
      <c r="BF134" s="63"/>
      <c r="BG134" s="54"/>
      <c r="BH134" s="54"/>
      <c r="BI134" s="54"/>
      <c r="BJ134" s="54"/>
      <c r="BK134" s="54"/>
      <c r="BL134" s="54"/>
      <c r="BM134" s="54"/>
      <c r="BN134" s="53"/>
      <c r="BO134" s="55"/>
      <c r="BP134" s="54"/>
      <c r="BQ134" s="54"/>
      <c r="BR134" s="54"/>
    </row>
    <row r="135" spans="23:70">
      <c r="W135" s="54"/>
      <c r="X135" s="54"/>
      <c r="Y135" s="54"/>
      <c r="Z135" s="54"/>
      <c r="AA135" s="54"/>
      <c r="AB135" s="54"/>
      <c r="AC135" s="54"/>
      <c r="AD135" s="54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54"/>
      <c r="BB135" s="54"/>
      <c r="BC135" s="64"/>
      <c r="BD135" s="53"/>
      <c r="BE135" s="63"/>
      <c r="BF135" s="63"/>
      <c r="BG135" s="54"/>
      <c r="BH135" s="54"/>
      <c r="BI135" s="54"/>
      <c r="BJ135" s="54"/>
      <c r="BK135" s="54"/>
      <c r="BL135" s="54"/>
      <c r="BM135" s="54"/>
      <c r="BN135" s="53"/>
      <c r="BO135" s="55"/>
      <c r="BP135" s="54"/>
      <c r="BQ135" s="54"/>
      <c r="BR135" s="54"/>
    </row>
    <row r="136" spans="23:70">
      <c r="W136" s="54"/>
      <c r="X136" s="54"/>
      <c r="Y136" s="54"/>
      <c r="Z136" s="54"/>
      <c r="AA136" s="54"/>
      <c r="AB136" s="54"/>
      <c r="AC136" s="54"/>
      <c r="AD136" s="54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54"/>
      <c r="BB136" s="54"/>
      <c r="BC136" s="64"/>
      <c r="BD136" s="53"/>
      <c r="BE136" s="63"/>
      <c r="BF136" s="63"/>
      <c r="BG136" s="54"/>
      <c r="BH136" s="54"/>
      <c r="BI136" s="54"/>
      <c r="BJ136" s="54"/>
      <c r="BK136" s="54"/>
      <c r="BL136" s="54"/>
      <c r="BM136" s="54"/>
      <c r="BN136" s="53"/>
      <c r="BO136" s="55"/>
      <c r="BP136" s="54"/>
      <c r="BQ136" s="54"/>
      <c r="BR136" s="54"/>
    </row>
    <row r="137" spans="23:70">
      <c r="W137" s="54"/>
      <c r="X137" s="54"/>
      <c r="Y137" s="54"/>
      <c r="Z137" s="54"/>
      <c r="AA137" s="54"/>
      <c r="AB137" s="54"/>
      <c r="AC137" s="54"/>
      <c r="AD137" s="54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54"/>
      <c r="BB137" s="54"/>
      <c r="BC137" s="64"/>
      <c r="BD137" s="53"/>
      <c r="BE137" s="63"/>
      <c r="BF137" s="63"/>
      <c r="BG137" s="54"/>
      <c r="BH137" s="54"/>
      <c r="BI137" s="54"/>
      <c r="BJ137" s="54"/>
      <c r="BK137" s="54"/>
      <c r="BL137" s="54"/>
      <c r="BM137" s="54"/>
      <c r="BN137" s="53"/>
      <c r="BO137" s="55"/>
      <c r="BP137" s="54"/>
      <c r="BQ137" s="54"/>
      <c r="BR137" s="54"/>
    </row>
    <row r="138" spans="23:70">
      <c r="W138" s="54"/>
      <c r="X138" s="54"/>
      <c r="Y138" s="54"/>
      <c r="Z138" s="54"/>
      <c r="AA138" s="54"/>
      <c r="AB138" s="54"/>
      <c r="AC138" s="54"/>
      <c r="AD138" s="54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54"/>
      <c r="BB138" s="54"/>
      <c r="BC138" s="64"/>
      <c r="BD138" s="53"/>
      <c r="BE138" s="63"/>
      <c r="BF138" s="63"/>
      <c r="BG138" s="54"/>
      <c r="BH138" s="54"/>
      <c r="BI138" s="54"/>
      <c r="BJ138" s="54"/>
      <c r="BK138" s="54"/>
      <c r="BL138" s="54"/>
      <c r="BM138" s="54"/>
      <c r="BN138" s="53"/>
      <c r="BO138" s="55"/>
      <c r="BP138" s="54"/>
      <c r="BQ138" s="54"/>
      <c r="BR138" s="54"/>
    </row>
    <row r="139" spans="23:70">
      <c r="W139" s="54"/>
      <c r="X139" s="54"/>
      <c r="Y139" s="54"/>
      <c r="Z139" s="54"/>
      <c r="AA139" s="54"/>
      <c r="AB139" s="54"/>
      <c r="AC139" s="54"/>
      <c r="AD139" s="54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54"/>
      <c r="BB139" s="54"/>
      <c r="BC139" s="64"/>
      <c r="BD139" s="53"/>
      <c r="BE139" s="63"/>
      <c r="BF139" s="63"/>
      <c r="BG139" s="54"/>
      <c r="BH139" s="54"/>
      <c r="BI139" s="54"/>
      <c r="BJ139" s="54"/>
      <c r="BK139" s="54"/>
      <c r="BL139" s="54"/>
      <c r="BM139" s="54"/>
      <c r="BN139" s="53"/>
      <c r="BO139" s="55"/>
      <c r="BP139" s="54"/>
      <c r="BQ139" s="54"/>
      <c r="BR139" s="54"/>
    </row>
    <row r="140" spans="23:70">
      <c r="W140" s="54"/>
      <c r="X140" s="54"/>
      <c r="Y140" s="54"/>
      <c r="Z140" s="54"/>
      <c r="AA140" s="54"/>
      <c r="AB140" s="54"/>
      <c r="AC140" s="54"/>
      <c r="AD140" s="54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54"/>
      <c r="BB140" s="54"/>
      <c r="BC140" s="64"/>
      <c r="BD140" s="53"/>
      <c r="BE140" s="63"/>
      <c r="BF140" s="63"/>
      <c r="BG140" s="54"/>
      <c r="BH140" s="54"/>
      <c r="BI140" s="54"/>
      <c r="BJ140" s="54"/>
      <c r="BK140" s="54"/>
      <c r="BL140" s="54"/>
      <c r="BM140" s="54"/>
      <c r="BN140" s="53"/>
      <c r="BO140" s="55"/>
      <c r="BP140" s="54"/>
      <c r="BQ140" s="54"/>
      <c r="BR140" s="54"/>
    </row>
    <row r="141" spans="23:70">
      <c r="W141" s="54"/>
      <c r="X141" s="54"/>
      <c r="Y141" s="54"/>
      <c r="Z141" s="54"/>
      <c r="AA141" s="54"/>
      <c r="AB141" s="54"/>
      <c r="AC141" s="54"/>
      <c r="AD141" s="54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54"/>
      <c r="BB141" s="54"/>
      <c r="BC141" s="64"/>
      <c r="BD141" s="53"/>
      <c r="BE141" s="63"/>
      <c r="BF141" s="63"/>
      <c r="BG141" s="54"/>
      <c r="BH141" s="54"/>
      <c r="BI141" s="54"/>
      <c r="BJ141" s="54"/>
      <c r="BK141" s="54"/>
      <c r="BL141" s="54"/>
      <c r="BM141" s="54"/>
      <c r="BN141" s="53"/>
      <c r="BO141" s="55"/>
      <c r="BP141" s="54"/>
      <c r="BQ141" s="54"/>
      <c r="BR141" s="54"/>
    </row>
    <row r="142" spans="23:70">
      <c r="W142" s="54"/>
      <c r="X142" s="54"/>
      <c r="Y142" s="54"/>
      <c r="Z142" s="54"/>
      <c r="AA142" s="54"/>
      <c r="AB142" s="54"/>
      <c r="AC142" s="54"/>
      <c r="AD142" s="54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54"/>
      <c r="BB142" s="54"/>
      <c r="BC142" s="64"/>
      <c r="BD142" s="53"/>
      <c r="BE142" s="63"/>
      <c r="BF142" s="63"/>
      <c r="BG142" s="54"/>
      <c r="BH142" s="54"/>
      <c r="BI142" s="54"/>
      <c r="BJ142" s="54"/>
      <c r="BK142" s="54"/>
      <c r="BL142" s="54"/>
      <c r="BM142" s="54"/>
      <c r="BN142" s="53"/>
      <c r="BO142" s="55"/>
      <c r="BP142" s="54"/>
      <c r="BQ142" s="54"/>
      <c r="BR142" s="54"/>
    </row>
    <row r="143" spans="23:70">
      <c r="W143" s="54"/>
      <c r="X143" s="54"/>
      <c r="Y143" s="54"/>
      <c r="Z143" s="54"/>
      <c r="AA143" s="54"/>
      <c r="AB143" s="54"/>
      <c r="AC143" s="54"/>
      <c r="AD143" s="54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54"/>
      <c r="BB143" s="54"/>
      <c r="BC143" s="64"/>
      <c r="BD143" s="53"/>
      <c r="BE143" s="63"/>
      <c r="BF143" s="63"/>
      <c r="BG143" s="54"/>
      <c r="BH143" s="54"/>
      <c r="BI143" s="54"/>
      <c r="BJ143" s="54"/>
      <c r="BK143" s="54"/>
      <c r="BL143" s="54"/>
      <c r="BM143" s="54"/>
      <c r="BN143" s="53"/>
      <c r="BO143" s="55"/>
      <c r="BP143" s="54"/>
      <c r="BQ143" s="54"/>
      <c r="BR143" s="54"/>
    </row>
    <row r="144" spans="23:70">
      <c r="W144" s="54"/>
      <c r="X144" s="54"/>
      <c r="Y144" s="54"/>
      <c r="Z144" s="54"/>
      <c r="AA144" s="54"/>
      <c r="AB144" s="54"/>
      <c r="AC144" s="54"/>
      <c r="AD144" s="54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54"/>
      <c r="BB144" s="54"/>
      <c r="BC144" s="64"/>
      <c r="BD144" s="53"/>
      <c r="BE144" s="63"/>
      <c r="BF144" s="63"/>
      <c r="BG144" s="54"/>
      <c r="BH144" s="54"/>
      <c r="BI144" s="54"/>
      <c r="BJ144" s="54"/>
      <c r="BK144" s="54"/>
      <c r="BL144" s="54"/>
      <c r="BM144" s="54"/>
      <c r="BN144" s="53"/>
      <c r="BO144" s="55"/>
      <c r="BP144" s="54"/>
      <c r="BQ144" s="54"/>
      <c r="BR144" s="54"/>
    </row>
    <row r="145" spans="23:70">
      <c r="W145" s="54"/>
      <c r="X145" s="54"/>
      <c r="Y145" s="54"/>
      <c r="Z145" s="54"/>
      <c r="AA145" s="54"/>
      <c r="AB145" s="54"/>
      <c r="AC145" s="54"/>
      <c r="AD145" s="54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54"/>
      <c r="BB145" s="54"/>
      <c r="BC145" s="64"/>
      <c r="BD145" s="53"/>
      <c r="BE145" s="63"/>
      <c r="BF145" s="63"/>
      <c r="BG145" s="54"/>
      <c r="BH145" s="54"/>
      <c r="BI145" s="54"/>
      <c r="BJ145" s="54"/>
      <c r="BK145" s="54"/>
      <c r="BL145" s="54"/>
      <c r="BM145" s="54"/>
      <c r="BN145" s="53"/>
      <c r="BO145" s="55"/>
      <c r="BP145" s="54"/>
      <c r="BQ145" s="54"/>
      <c r="BR145" s="54"/>
    </row>
    <row r="146" spans="23:70">
      <c r="W146" s="54"/>
      <c r="X146" s="54"/>
      <c r="Y146" s="54"/>
      <c r="Z146" s="54"/>
      <c r="AA146" s="54"/>
      <c r="AB146" s="54"/>
      <c r="AC146" s="54"/>
      <c r="AD146" s="54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54"/>
      <c r="BB146" s="54"/>
      <c r="BC146" s="64"/>
      <c r="BD146" s="53"/>
      <c r="BE146" s="63"/>
      <c r="BF146" s="63"/>
      <c r="BG146" s="54"/>
      <c r="BH146" s="54"/>
      <c r="BI146" s="54"/>
      <c r="BJ146" s="54"/>
      <c r="BK146" s="54"/>
      <c r="BL146" s="54"/>
      <c r="BM146" s="54"/>
      <c r="BN146" s="53"/>
      <c r="BO146" s="55"/>
      <c r="BP146" s="54"/>
      <c r="BQ146" s="54"/>
      <c r="BR146" s="54"/>
    </row>
    <row r="147" spans="23:70">
      <c r="W147" s="54"/>
      <c r="X147" s="54"/>
      <c r="Y147" s="54"/>
      <c r="Z147" s="54"/>
      <c r="AA147" s="54"/>
      <c r="AB147" s="54"/>
      <c r="AC147" s="54"/>
      <c r="AD147" s="54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54"/>
      <c r="BB147" s="54"/>
      <c r="BC147" s="64"/>
      <c r="BD147" s="53"/>
      <c r="BE147" s="63"/>
      <c r="BF147" s="63"/>
      <c r="BG147" s="54"/>
      <c r="BH147" s="54"/>
      <c r="BI147" s="54"/>
      <c r="BJ147" s="54"/>
      <c r="BK147" s="54"/>
      <c r="BL147" s="54"/>
      <c r="BM147" s="54"/>
      <c r="BN147" s="53"/>
      <c r="BO147" s="55"/>
      <c r="BP147" s="54"/>
      <c r="BQ147" s="54"/>
      <c r="BR147" s="54"/>
    </row>
    <row r="148" spans="23:70">
      <c r="W148" s="54"/>
      <c r="X148" s="54"/>
      <c r="Y148" s="54"/>
      <c r="Z148" s="54"/>
      <c r="AA148" s="54"/>
      <c r="AB148" s="54"/>
      <c r="AC148" s="54"/>
      <c r="AD148" s="54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54"/>
      <c r="BB148" s="54"/>
      <c r="BC148" s="64"/>
      <c r="BD148" s="53"/>
      <c r="BE148" s="63"/>
      <c r="BF148" s="63"/>
      <c r="BG148" s="54"/>
      <c r="BH148" s="54"/>
      <c r="BI148" s="54"/>
      <c r="BJ148" s="54"/>
      <c r="BK148" s="54"/>
      <c r="BL148" s="54"/>
      <c r="BM148" s="54"/>
      <c r="BN148" s="53"/>
      <c r="BO148" s="55"/>
      <c r="BP148" s="54"/>
      <c r="BQ148" s="54"/>
      <c r="BR148" s="54"/>
    </row>
    <row r="149" spans="23:70">
      <c r="W149" s="54"/>
      <c r="X149" s="54"/>
      <c r="Y149" s="54"/>
      <c r="Z149" s="54"/>
      <c r="AA149" s="54"/>
      <c r="AB149" s="54"/>
      <c r="AC149" s="54"/>
      <c r="AD149" s="54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54"/>
      <c r="BB149" s="54"/>
      <c r="BC149" s="64"/>
      <c r="BD149" s="53"/>
      <c r="BE149" s="63"/>
      <c r="BF149" s="63"/>
      <c r="BG149" s="54"/>
      <c r="BH149" s="54"/>
      <c r="BI149" s="54"/>
      <c r="BJ149" s="54"/>
      <c r="BK149" s="54"/>
      <c r="BL149" s="54"/>
      <c r="BM149" s="54"/>
      <c r="BN149" s="53"/>
      <c r="BO149" s="55"/>
      <c r="BP149" s="54"/>
      <c r="BQ149" s="54"/>
      <c r="BR149" s="54"/>
    </row>
    <row r="150" spans="23:70">
      <c r="W150" s="54"/>
      <c r="X150" s="54"/>
      <c r="Y150" s="54"/>
      <c r="Z150" s="54"/>
      <c r="AA150" s="54"/>
      <c r="AB150" s="54"/>
      <c r="AC150" s="54"/>
      <c r="AD150" s="54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54"/>
      <c r="BB150" s="54"/>
      <c r="BC150" s="64"/>
      <c r="BD150" s="53"/>
      <c r="BE150" s="63"/>
      <c r="BF150" s="63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</row>
    <row r="151" spans="23:70">
      <c r="W151" s="54"/>
      <c r="X151" s="54"/>
      <c r="Y151" s="54"/>
      <c r="Z151" s="54"/>
      <c r="AA151" s="54"/>
      <c r="AB151" s="54"/>
      <c r="AC151" s="54"/>
      <c r="AD151" s="54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54"/>
      <c r="BB151" s="54"/>
      <c r="BC151" s="64"/>
      <c r="BD151" s="53"/>
      <c r="BE151" s="63"/>
      <c r="BF151" s="63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</row>
    <row r="152" spans="23:70">
      <c r="W152" s="54"/>
      <c r="X152" s="54"/>
      <c r="Y152" s="54"/>
      <c r="Z152" s="54"/>
      <c r="AA152" s="54"/>
      <c r="AB152" s="54"/>
      <c r="AC152" s="54"/>
      <c r="AD152" s="54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54"/>
      <c r="BB152" s="54"/>
      <c r="BC152" s="64"/>
      <c r="BD152" s="53"/>
      <c r="BE152" s="63"/>
      <c r="BF152" s="63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</row>
    <row r="153" spans="23:70">
      <c r="W153" s="54"/>
      <c r="X153" s="54"/>
      <c r="Y153" s="54"/>
      <c r="Z153" s="54"/>
      <c r="AA153" s="54"/>
      <c r="AB153" s="54"/>
      <c r="AC153" s="54"/>
      <c r="AD153" s="54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54"/>
      <c r="BB153" s="54"/>
      <c r="BC153" s="64"/>
      <c r="BD153" s="53"/>
      <c r="BE153" s="63"/>
      <c r="BF153" s="63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</row>
    <row r="154" spans="23:70">
      <c r="W154" s="54"/>
      <c r="X154" s="54"/>
      <c r="Y154" s="54"/>
      <c r="Z154" s="54"/>
      <c r="AA154" s="54"/>
      <c r="AB154" s="54"/>
      <c r="AC154" s="54"/>
      <c r="AD154" s="54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54"/>
      <c r="BB154" s="54"/>
      <c r="BC154" s="64"/>
      <c r="BD154" s="53"/>
      <c r="BE154" s="63"/>
      <c r="BF154" s="63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</row>
    <row r="155" spans="23:70">
      <c r="W155" s="54"/>
      <c r="X155" s="54"/>
      <c r="Y155" s="54"/>
      <c r="Z155" s="54"/>
      <c r="AA155" s="54"/>
      <c r="AB155" s="54"/>
      <c r="AC155" s="54"/>
      <c r="AD155" s="54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54"/>
      <c r="BB155" s="54"/>
      <c r="BC155" s="64"/>
      <c r="BD155" s="53"/>
      <c r="BE155" s="63"/>
      <c r="BF155" s="63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</row>
    <row r="156" spans="23:70">
      <c r="W156" s="54"/>
      <c r="X156" s="54"/>
      <c r="Y156" s="54"/>
      <c r="Z156" s="54"/>
      <c r="AA156" s="54"/>
      <c r="AB156" s="54"/>
      <c r="AC156" s="54"/>
      <c r="AD156" s="54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54"/>
      <c r="BB156" s="54"/>
      <c r="BC156" s="64"/>
      <c r="BD156" s="53"/>
      <c r="BE156" s="63"/>
      <c r="BF156" s="63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</row>
    <row r="157" spans="23:70">
      <c r="W157" s="54"/>
      <c r="X157" s="54"/>
      <c r="Y157" s="54"/>
      <c r="Z157" s="54"/>
      <c r="AA157" s="54"/>
      <c r="AB157" s="54"/>
      <c r="AC157" s="54"/>
      <c r="AD157" s="54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54"/>
      <c r="BB157" s="54"/>
      <c r="BC157" s="64"/>
      <c r="BD157" s="53"/>
      <c r="BE157" s="63"/>
      <c r="BF157" s="63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</row>
    <row r="158" spans="23:70">
      <c r="W158" s="54"/>
      <c r="X158" s="54"/>
      <c r="Y158" s="54"/>
      <c r="Z158" s="54"/>
      <c r="AA158" s="54"/>
      <c r="AB158" s="54"/>
      <c r="AC158" s="54"/>
      <c r="AD158" s="54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54"/>
      <c r="BB158" s="54"/>
      <c r="BC158" s="64"/>
      <c r="BD158" s="53"/>
      <c r="BE158" s="63"/>
      <c r="BF158" s="63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</row>
    <row r="159" spans="23:70">
      <c r="W159" s="54"/>
      <c r="X159" s="54"/>
      <c r="Y159" s="54"/>
      <c r="Z159" s="54"/>
      <c r="AA159" s="54"/>
      <c r="AB159" s="54"/>
      <c r="AC159" s="54"/>
      <c r="AD159" s="54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54"/>
      <c r="BB159" s="54"/>
      <c r="BC159" s="64"/>
      <c r="BD159" s="53"/>
      <c r="BE159" s="63"/>
      <c r="BF159" s="63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</row>
    <row r="160" spans="23:70">
      <c r="W160" s="54"/>
      <c r="X160" s="54"/>
      <c r="Y160" s="54"/>
      <c r="Z160" s="54"/>
      <c r="AA160" s="54"/>
      <c r="AB160" s="54"/>
      <c r="AC160" s="54"/>
      <c r="AD160" s="54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54"/>
      <c r="BB160" s="54"/>
      <c r="BC160" s="64"/>
      <c r="BD160" s="53"/>
      <c r="BE160" s="63"/>
      <c r="BF160" s="63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</row>
    <row r="161" spans="23:70">
      <c r="W161" s="54"/>
      <c r="X161" s="54"/>
      <c r="Y161" s="54"/>
      <c r="Z161" s="54"/>
      <c r="AA161" s="54"/>
      <c r="AB161" s="54"/>
      <c r="AC161" s="54"/>
      <c r="AD161" s="54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54"/>
      <c r="BB161" s="54"/>
      <c r="BC161" s="64"/>
      <c r="BD161" s="53"/>
      <c r="BE161" s="63"/>
      <c r="BF161" s="63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</row>
    <row r="162" spans="23:70">
      <c r="W162" s="54"/>
      <c r="X162" s="54"/>
      <c r="Y162" s="54"/>
      <c r="Z162" s="54"/>
      <c r="AA162" s="54"/>
      <c r="AB162" s="54"/>
      <c r="AC162" s="54"/>
      <c r="AD162" s="54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54"/>
      <c r="BB162" s="54"/>
      <c r="BC162" s="64"/>
      <c r="BD162" s="53"/>
      <c r="BE162" s="63"/>
      <c r="BF162" s="63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</row>
    <row r="163" spans="23:70">
      <c r="W163" s="54"/>
      <c r="X163" s="54"/>
      <c r="Y163" s="54"/>
      <c r="Z163" s="54"/>
      <c r="AA163" s="54"/>
      <c r="AB163" s="54"/>
      <c r="AC163" s="54"/>
      <c r="AD163" s="54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54"/>
      <c r="BB163" s="54"/>
      <c r="BC163" s="64"/>
      <c r="BD163" s="53"/>
      <c r="BE163" s="63"/>
      <c r="BF163" s="63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</row>
    <row r="164" spans="23:70">
      <c r="W164" s="54"/>
      <c r="X164" s="54"/>
      <c r="Y164" s="54"/>
      <c r="Z164" s="54"/>
      <c r="AA164" s="54"/>
      <c r="AB164" s="54"/>
      <c r="AC164" s="54"/>
      <c r="AD164" s="54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54"/>
      <c r="BB164" s="54"/>
      <c r="BC164" s="64"/>
      <c r="BD164" s="53"/>
      <c r="BE164" s="63"/>
      <c r="BF164" s="63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</row>
    <row r="165" spans="23:70">
      <c r="W165" s="54"/>
      <c r="X165" s="54"/>
      <c r="Y165" s="54"/>
      <c r="Z165" s="54"/>
      <c r="AA165" s="54"/>
      <c r="AB165" s="54"/>
      <c r="AC165" s="54"/>
      <c r="AD165" s="54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54"/>
      <c r="BB165" s="54"/>
      <c r="BC165" s="64"/>
      <c r="BD165" s="53"/>
      <c r="BE165" s="63"/>
      <c r="BF165" s="63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</row>
    <row r="166" spans="23:70">
      <c r="W166" s="54"/>
      <c r="X166" s="54"/>
      <c r="Y166" s="54"/>
      <c r="Z166" s="54"/>
      <c r="AA166" s="54"/>
      <c r="AB166" s="54"/>
      <c r="AC166" s="54"/>
      <c r="AD166" s="54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54"/>
      <c r="BB166" s="54"/>
      <c r="BC166" s="64"/>
      <c r="BD166" s="53"/>
      <c r="BE166" s="63"/>
      <c r="BF166" s="63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</row>
    <row r="167" spans="23:70">
      <c r="W167" s="54"/>
      <c r="X167" s="54"/>
      <c r="Y167" s="54"/>
      <c r="Z167" s="54"/>
      <c r="AA167" s="54"/>
      <c r="AB167" s="54"/>
      <c r="AC167" s="54"/>
      <c r="AD167" s="54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54"/>
      <c r="BB167" s="54"/>
      <c r="BC167" s="64"/>
      <c r="BD167" s="53"/>
      <c r="BE167" s="63"/>
      <c r="BF167" s="63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</row>
    <row r="168" spans="23:70">
      <c r="W168" s="54"/>
      <c r="X168" s="54"/>
      <c r="Y168" s="54"/>
      <c r="Z168" s="54"/>
      <c r="AA168" s="54"/>
      <c r="AB168" s="54"/>
      <c r="AC168" s="54"/>
      <c r="AD168" s="54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54"/>
      <c r="BB168" s="54"/>
      <c r="BC168" s="64"/>
      <c r="BD168" s="53"/>
      <c r="BE168" s="63"/>
      <c r="BF168" s="63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</row>
    <row r="169" spans="23:70">
      <c r="W169" s="54"/>
      <c r="X169" s="54"/>
      <c r="Y169" s="54"/>
      <c r="Z169" s="54"/>
      <c r="AA169" s="54"/>
      <c r="AB169" s="54"/>
      <c r="AC169" s="54"/>
      <c r="AD169" s="54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54"/>
      <c r="BB169" s="54"/>
      <c r="BC169" s="64"/>
      <c r="BD169" s="53"/>
      <c r="BE169" s="63"/>
      <c r="BF169" s="63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</row>
    <row r="170" spans="23:70">
      <c r="W170" s="54"/>
      <c r="X170" s="54"/>
      <c r="Y170" s="54"/>
      <c r="Z170" s="54"/>
      <c r="AA170" s="54"/>
      <c r="AB170" s="54"/>
      <c r="AC170" s="54"/>
      <c r="AD170" s="54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54"/>
      <c r="BB170" s="54"/>
      <c r="BC170" s="64"/>
      <c r="BD170" s="53"/>
      <c r="BE170" s="63"/>
      <c r="BF170" s="63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</row>
    <row r="171" spans="23:70">
      <c r="W171" s="54"/>
      <c r="X171" s="54"/>
      <c r="Y171" s="54"/>
      <c r="Z171" s="54"/>
      <c r="AA171" s="54"/>
      <c r="AB171" s="54"/>
      <c r="AC171" s="54"/>
      <c r="AD171" s="54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54"/>
      <c r="BB171" s="54"/>
      <c r="BC171" s="64"/>
      <c r="BD171" s="53"/>
      <c r="BE171" s="63"/>
      <c r="BF171" s="63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</row>
    <row r="172" spans="23:70">
      <c r="W172" s="54"/>
      <c r="X172" s="54"/>
      <c r="Y172" s="54"/>
      <c r="Z172" s="54"/>
      <c r="AA172" s="54"/>
      <c r="AB172" s="54"/>
      <c r="AC172" s="54"/>
      <c r="AD172" s="54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54"/>
      <c r="BB172" s="54"/>
      <c r="BC172" s="64"/>
      <c r="BD172" s="53"/>
      <c r="BE172" s="63"/>
      <c r="BF172" s="63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</row>
    <row r="173" spans="23:70">
      <c r="W173" s="54"/>
      <c r="X173" s="54"/>
      <c r="Y173" s="54"/>
      <c r="Z173" s="54"/>
      <c r="AA173" s="54"/>
      <c r="AB173" s="54"/>
      <c r="AC173" s="54"/>
      <c r="AD173" s="54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54"/>
      <c r="BB173" s="54"/>
      <c r="BC173" s="64"/>
      <c r="BD173" s="53"/>
      <c r="BE173" s="63"/>
      <c r="BF173" s="63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</row>
    <row r="174" spans="23:70">
      <c r="W174" s="54"/>
      <c r="X174" s="54"/>
      <c r="Y174" s="54"/>
      <c r="Z174" s="54"/>
      <c r="AA174" s="54"/>
      <c r="AB174" s="54"/>
      <c r="AC174" s="54"/>
      <c r="AD174" s="54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54"/>
      <c r="BB174" s="54"/>
      <c r="BC174" s="64"/>
      <c r="BD174" s="53"/>
      <c r="BE174" s="63"/>
      <c r="BF174" s="63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</row>
    <row r="175" spans="23:70">
      <c r="W175" s="54"/>
      <c r="X175" s="54"/>
      <c r="Y175" s="54"/>
      <c r="Z175" s="54"/>
      <c r="AA175" s="54"/>
      <c r="AB175" s="54"/>
      <c r="AC175" s="54"/>
      <c r="AD175" s="54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54"/>
      <c r="BB175" s="54"/>
      <c r="BC175" s="64"/>
      <c r="BD175" s="53"/>
      <c r="BE175" s="63"/>
      <c r="BF175" s="63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</row>
    <row r="176" spans="23:70">
      <c r="W176" s="54"/>
      <c r="X176" s="54"/>
      <c r="Y176" s="54"/>
      <c r="Z176" s="54"/>
      <c r="AA176" s="54"/>
      <c r="AB176" s="54"/>
      <c r="AC176" s="54"/>
      <c r="AD176" s="54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54"/>
      <c r="BB176" s="54"/>
      <c r="BC176" s="64"/>
      <c r="BD176" s="53"/>
      <c r="BE176" s="63"/>
      <c r="BF176" s="63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</row>
    <row r="177" spans="23:70">
      <c r="W177" s="54"/>
      <c r="X177" s="54"/>
      <c r="Y177" s="54"/>
      <c r="Z177" s="54"/>
      <c r="AA177" s="54"/>
      <c r="AB177" s="54"/>
      <c r="AC177" s="54"/>
      <c r="AD177" s="54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54"/>
      <c r="BB177" s="54"/>
      <c r="BC177" s="64"/>
      <c r="BD177" s="53"/>
      <c r="BE177" s="63"/>
      <c r="BF177" s="63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</row>
    <row r="178" spans="23:70">
      <c r="W178" s="54"/>
      <c r="X178" s="54"/>
      <c r="Y178" s="54"/>
      <c r="Z178" s="54"/>
      <c r="AA178" s="54"/>
      <c r="AB178" s="54"/>
      <c r="AC178" s="54"/>
      <c r="AD178" s="54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54"/>
      <c r="BB178" s="54"/>
      <c r="BC178" s="64"/>
      <c r="BD178" s="53"/>
      <c r="BE178" s="63"/>
      <c r="BF178" s="63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</row>
    <row r="179" spans="23:70">
      <c r="W179" s="54"/>
      <c r="X179" s="54"/>
      <c r="Y179" s="54"/>
      <c r="Z179" s="54"/>
      <c r="AA179" s="54"/>
      <c r="AB179" s="54"/>
      <c r="AC179" s="54"/>
      <c r="AD179" s="54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54"/>
      <c r="BB179" s="54"/>
      <c r="BC179" s="64"/>
      <c r="BD179" s="53"/>
      <c r="BE179" s="63"/>
      <c r="BF179" s="63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</row>
    <row r="180" spans="23:70">
      <c r="W180" s="54"/>
      <c r="X180" s="54"/>
      <c r="Y180" s="54"/>
      <c r="Z180" s="54"/>
      <c r="AA180" s="54"/>
      <c r="AB180" s="54"/>
      <c r="AC180" s="54"/>
      <c r="AD180" s="54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54"/>
      <c r="BB180" s="54"/>
      <c r="BC180" s="64"/>
      <c r="BD180" s="53"/>
      <c r="BE180" s="63"/>
      <c r="BF180" s="63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</row>
    <row r="181" spans="23:70">
      <c r="W181" s="54"/>
      <c r="X181" s="54"/>
      <c r="Y181" s="54"/>
      <c r="Z181" s="54"/>
      <c r="AA181" s="54"/>
      <c r="AB181" s="54"/>
      <c r="AC181" s="54"/>
      <c r="AD181" s="54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54"/>
      <c r="BB181" s="54"/>
      <c r="BC181" s="64"/>
      <c r="BD181" s="53"/>
      <c r="BE181" s="63"/>
      <c r="BF181" s="63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</row>
    <row r="182" spans="23:70">
      <c r="W182" s="54"/>
      <c r="X182" s="54"/>
      <c r="Y182" s="54"/>
      <c r="Z182" s="54"/>
      <c r="AA182" s="54"/>
      <c r="AB182" s="54"/>
      <c r="AC182" s="54"/>
      <c r="AD182" s="54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54"/>
      <c r="BB182" s="54"/>
      <c r="BC182" s="64"/>
      <c r="BD182" s="53"/>
      <c r="BE182" s="63"/>
      <c r="BF182" s="63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</row>
    <row r="183" spans="23:70">
      <c r="W183" s="54"/>
      <c r="X183" s="54"/>
      <c r="Y183" s="54"/>
      <c r="Z183" s="54"/>
      <c r="AA183" s="54"/>
      <c r="AB183" s="54"/>
      <c r="AC183" s="54"/>
      <c r="AD183" s="54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54"/>
      <c r="BB183" s="54"/>
      <c r="BC183" s="64"/>
      <c r="BD183" s="53"/>
      <c r="BE183" s="63"/>
      <c r="BF183" s="63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</row>
    <row r="184" spans="23:70">
      <c r="W184" s="54"/>
      <c r="X184" s="54"/>
      <c r="Y184" s="54"/>
      <c r="Z184" s="54"/>
      <c r="AA184" s="54"/>
      <c r="AB184" s="54"/>
      <c r="AC184" s="54"/>
      <c r="AD184" s="54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54"/>
      <c r="BB184" s="54"/>
      <c r="BC184" s="64"/>
      <c r="BD184" s="53"/>
      <c r="BE184" s="63"/>
      <c r="BF184" s="63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</row>
    <row r="185" spans="23:70">
      <c r="W185" s="54"/>
      <c r="X185" s="54"/>
      <c r="Y185" s="54"/>
      <c r="Z185" s="54"/>
      <c r="AA185" s="54"/>
      <c r="AB185" s="54"/>
      <c r="AC185" s="54"/>
      <c r="AD185" s="54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54"/>
      <c r="BB185" s="54"/>
      <c r="BC185" s="64"/>
      <c r="BD185" s="53"/>
      <c r="BE185" s="63"/>
      <c r="BF185" s="63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</row>
    <row r="186" spans="23:70">
      <c r="W186" s="54"/>
      <c r="X186" s="54"/>
      <c r="Y186" s="54"/>
      <c r="Z186" s="54"/>
      <c r="AA186" s="54"/>
      <c r="AB186" s="54"/>
      <c r="AC186" s="54"/>
      <c r="AD186" s="54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54"/>
      <c r="BB186" s="54"/>
      <c r="BC186" s="64"/>
      <c r="BD186" s="53"/>
      <c r="BE186" s="63"/>
      <c r="BF186" s="63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</row>
    <row r="187" spans="23:70">
      <c r="W187" s="54"/>
      <c r="X187" s="54"/>
      <c r="Y187" s="54"/>
      <c r="Z187" s="54"/>
      <c r="AA187" s="54"/>
      <c r="AB187" s="54"/>
      <c r="AC187" s="54"/>
      <c r="AD187" s="54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54"/>
      <c r="BB187" s="54"/>
      <c r="BC187" s="64"/>
      <c r="BD187" s="53"/>
      <c r="BE187" s="63"/>
      <c r="BF187" s="63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</row>
    <row r="188" spans="23:70">
      <c r="W188" s="54"/>
      <c r="X188" s="54"/>
      <c r="Y188" s="54"/>
      <c r="Z188" s="54"/>
      <c r="AA188" s="54"/>
      <c r="AB188" s="54"/>
      <c r="AC188" s="54"/>
      <c r="AD188" s="54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54"/>
      <c r="BB188" s="54"/>
      <c r="BC188" s="64"/>
      <c r="BD188" s="53"/>
      <c r="BE188" s="63"/>
      <c r="BF188" s="63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</row>
    <row r="189" spans="23:70">
      <c r="W189" s="54"/>
      <c r="X189" s="54"/>
      <c r="Y189" s="54"/>
      <c r="Z189" s="54"/>
      <c r="AA189" s="54"/>
      <c r="AB189" s="54"/>
      <c r="AC189" s="54"/>
      <c r="AD189" s="54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54"/>
      <c r="BB189" s="54"/>
      <c r="BC189" s="64"/>
      <c r="BD189" s="53"/>
      <c r="BE189" s="63"/>
      <c r="BF189" s="63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</row>
    <row r="190" spans="23:70">
      <c r="W190" s="54"/>
      <c r="X190" s="54"/>
      <c r="Y190" s="54"/>
      <c r="Z190" s="54"/>
      <c r="AA190" s="54"/>
      <c r="AB190" s="54"/>
      <c r="AC190" s="54"/>
      <c r="AD190" s="54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54"/>
      <c r="BB190" s="54"/>
      <c r="BC190" s="64"/>
      <c r="BD190" s="53"/>
      <c r="BE190" s="63"/>
      <c r="BF190" s="63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</row>
    <row r="191" spans="23:70">
      <c r="W191" s="54"/>
      <c r="X191" s="54"/>
      <c r="Y191" s="54"/>
      <c r="Z191" s="54"/>
      <c r="AA191" s="54"/>
      <c r="AB191" s="54"/>
      <c r="AC191" s="54"/>
      <c r="AD191" s="54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54"/>
      <c r="BB191" s="54"/>
      <c r="BC191" s="64"/>
      <c r="BD191" s="53"/>
      <c r="BE191" s="63"/>
      <c r="BF191" s="63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</row>
    <row r="192" spans="23:70">
      <c r="W192" s="54"/>
      <c r="X192" s="54"/>
      <c r="Y192" s="54"/>
      <c r="Z192" s="54"/>
      <c r="AA192" s="54"/>
      <c r="AB192" s="54"/>
      <c r="AC192" s="54"/>
      <c r="AD192" s="54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54"/>
      <c r="BB192" s="54"/>
      <c r="BC192" s="64"/>
      <c r="BD192" s="53"/>
      <c r="BE192" s="63"/>
      <c r="BF192" s="63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</row>
  </sheetData>
  <mergeCells count="54">
    <mergeCell ref="J5:L5"/>
    <mergeCell ref="J6:L6"/>
    <mergeCell ref="B25:D25"/>
    <mergeCell ref="R35:T35"/>
    <mergeCell ref="R37:T37"/>
    <mergeCell ref="J30:L30"/>
    <mergeCell ref="J33:L33"/>
    <mergeCell ref="B21:D21"/>
    <mergeCell ref="R8:S8"/>
    <mergeCell ref="N27:P27"/>
    <mergeCell ref="R26:T26"/>
    <mergeCell ref="R28:T28"/>
    <mergeCell ref="R30:T30"/>
    <mergeCell ref="R33:T33"/>
    <mergeCell ref="N30:P30"/>
    <mergeCell ref="N24:P24"/>
    <mergeCell ref="A16:A19"/>
    <mergeCell ref="B5:D5"/>
    <mergeCell ref="B7:D7"/>
    <mergeCell ref="B9:D9"/>
    <mergeCell ref="B11:D11"/>
    <mergeCell ref="B14:D14"/>
    <mergeCell ref="B15:D15"/>
    <mergeCell ref="F17:H17"/>
    <mergeCell ref="F18:H18"/>
    <mergeCell ref="F5:H5"/>
    <mergeCell ref="F7:H7"/>
    <mergeCell ref="F14:H14"/>
    <mergeCell ref="F8:F9"/>
    <mergeCell ref="H8:H9"/>
    <mergeCell ref="F10:H12"/>
    <mergeCell ref="F30:H30"/>
    <mergeCell ref="F31:H31"/>
    <mergeCell ref="F24:H24"/>
    <mergeCell ref="F25:H25"/>
    <mergeCell ref="J23:L23"/>
    <mergeCell ref="J27:L27"/>
    <mergeCell ref="J12:L12"/>
    <mergeCell ref="J13:L13"/>
    <mergeCell ref="N12:P12"/>
    <mergeCell ref="N13:P13"/>
    <mergeCell ref="R14:T14"/>
    <mergeCell ref="R5:T5"/>
    <mergeCell ref="R7:T7"/>
    <mergeCell ref="R17:T17"/>
    <mergeCell ref="N5:P5"/>
    <mergeCell ref="R20:T20"/>
    <mergeCell ref="V65:AD65"/>
    <mergeCell ref="R45:T45"/>
    <mergeCell ref="R40:T40"/>
    <mergeCell ref="N6:P6"/>
    <mergeCell ref="R22:T22"/>
    <mergeCell ref="R24:T24"/>
    <mergeCell ref="N20:P20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AT193"/>
  <sheetViews>
    <sheetView zoomScale="40" zoomScaleNormal="40" workbookViewId="0">
      <selection activeCell="Y4" sqref="Y4"/>
    </sheetView>
  </sheetViews>
  <sheetFormatPr defaultRowHeight="17.399999999999999"/>
  <cols>
    <col min="1" max="1" width="11.21875" customWidth="1"/>
    <col min="4" max="4" width="11.6640625" customWidth="1"/>
    <col min="5" max="5" width="3.109375" customWidth="1"/>
    <col min="9" max="9" width="3.21875" customWidth="1"/>
    <col min="12" max="12" width="10.77734375" customWidth="1"/>
    <col min="13" max="13" width="3.88671875" customWidth="1"/>
    <col min="16" max="16" width="10.44140625" customWidth="1"/>
    <col min="17" max="17" width="4" customWidth="1"/>
    <col min="20" max="21" width="12.21875" customWidth="1"/>
    <col min="22" max="22" width="8.88671875" style="70" customWidth="1"/>
    <col min="23" max="26" width="17.6640625" style="66" customWidth="1"/>
    <col min="27" max="29" width="17.6640625" style="76" customWidth="1"/>
    <col min="30" max="32" width="15.77734375" style="70" customWidth="1"/>
    <col min="33" max="33" width="13.21875" style="70" customWidth="1"/>
    <col min="34" max="34" width="14.21875" style="66" customWidth="1"/>
    <col min="39" max="39" width="13.109375" bestFit="1" customWidth="1"/>
    <col min="44" max="44" width="12.21875" customWidth="1"/>
    <col min="45" max="46" width="10.77734375" customWidth="1"/>
    <col min="48" max="50" width="7.77734375" customWidth="1"/>
  </cols>
  <sheetData>
    <row r="2" spans="2:46" ht="14.4">
      <c r="V2" s="333" t="s">
        <v>104</v>
      </c>
      <c r="W2" s="338" t="s">
        <v>150</v>
      </c>
      <c r="X2" s="339" t="s">
        <v>138</v>
      </c>
      <c r="Y2" s="340" t="s">
        <v>22</v>
      </c>
      <c r="Z2" s="340" t="s">
        <v>151</v>
      </c>
      <c r="AA2" s="332" t="s">
        <v>139</v>
      </c>
      <c r="AB2" s="338" t="s">
        <v>140</v>
      </c>
      <c r="AC2" s="338" t="s">
        <v>141</v>
      </c>
      <c r="AD2" s="345" t="s">
        <v>142</v>
      </c>
      <c r="AE2" s="345" t="s">
        <v>145</v>
      </c>
      <c r="AF2" s="345" t="s">
        <v>146</v>
      </c>
      <c r="AG2" s="340" t="s">
        <v>148</v>
      </c>
      <c r="AH2" s="340" t="s">
        <v>149</v>
      </c>
      <c r="AQ2" s="341" t="str">
        <f>V2</f>
        <v>Шаг ВРУ</v>
      </c>
      <c r="AR2" s="343" t="str">
        <f>W2</f>
        <v>Глубина</v>
      </c>
      <c r="AS2" s="344" t="s">
        <v>136</v>
      </c>
      <c r="AT2" s="344" t="s">
        <v>137</v>
      </c>
    </row>
    <row r="3" spans="2:46" ht="21.6" customHeight="1">
      <c r="B3" s="334" t="s">
        <v>152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V3" s="333"/>
      <c r="W3" s="338"/>
      <c r="X3" s="339"/>
      <c r="Y3" s="340"/>
      <c r="Z3" s="340"/>
      <c r="AA3" s="332"/>
      <c r="AB3" s="338"/>
      <c r="AC3" s="338"/>
      <c r="AD3" s="345"/>
      <c r="AE3" s="345"/>
      <c r="AF3" s="345"/>
      <c r="AG3" s="340"/>
      <c r="AH3" s="340"/>
      <c r="AQ3" s="342"/>
      <c r="AR3" s="344"/>
      <c r="AS3" s="344"/>
      <c r="AT3" s="344"/>
    </row>
    <row r="4" spans="2:46">
      <c r="V4" s="78">
        <v>1</v>
      </c>
      <c r="W4" s="79">
        <v>0.5</v>
      </c>
      <c r="X4" s="80">
        <f>30*LOG10(W4)+(2*$G$10*(W4/1000))</f>
        <v>-9.0197998699194351</v>
      </c>
      <c r="Y4" s="80">
        <f t="shared" ref="Y4:Y24" si="0">$S$10-X4+$S$52</f>
        <v>166.23372369125403</v>
      </c>
      <c r="Z4" s="81">
        <f>Y4+$C$28</f>
        <v>-15.704476568907097</v>
      </c>
      <c r="AA4" s="82">
        <f t="shared" ref="AA4:AA35" si="1">POWER(10,0.05*Z4)*1000</f>
        <v>163.97444572614015</v>
      </c>
      <c r="AB4" s="82">
        <f>AA4*POWER(2,0.5)</f>
        <v>231.89488502851842</v>
      </c>
      <c r="AC4" s="82">
        <f>50/AB4</f>
        <v>0.21561493257538217</v>
      </c>
      <c r="AD4" s="83">
        <v>0.7</v>
      </c>
      <c r="AE4" s="85"/>
      <c r="AF4" s="85"/>
      <c r="AG4" s="82">
        <f>AC4/$AD$10</f>
        <v>0.44003047464363715</v>
      </c>
      <c r="AH4" s="82">
        <f>($AD$4*$AD$6*AE4*AF4*$AD$8)-AC4</f>
        <v>-0.21561493257538217</v>
      </c>
      <c r="AI4" s="57">
        <f>POWER(AG4,0.5)</f>
        <v>0.66334792880029192</v>
      </c>
      <c r="AJ4" s="57">
        <f>AI4</f>
        <v>0.66334792880029192</v>
      </c>
      <c r="AL4" s="40">
        <f>X4+$C$28</f>
        <v>-190.95800013008056</v>
      </c>
      <c r="AM4">
        <f>POWER(10,0.05*AL4)*1000</f>
        <v>2.8320439805511809E-7</v>
      </c>
      <c r="AQ4" s="78">
        <f>V4</f>
        <v>1</v>
      </c>
      <c r="AR4" s="82">
        <f>W4</f>
        <v>0.5</v>
      </c>
      <c r="AS4" s="85">
        <f>AE4</f>
        <v>0</v>
      </c>
      <c r="AT4" s="85">
        <f>AF4</f>
        <v>0</v>
      </c>
    </row>
    <row r="5" spans="2:46">
      <c r="V5" s="78">
        <f>V4+1</f>
        <v>2</v>
      </c>
      <c r="W5" s="79">
        <f>W4+$O$33</f>
        <v>0.875</v>
      </c>
      <c r="X5" s="80">
        <f t="shared" ref="X5:X24" si="2">30*LOG10(W5)+(2*$G$10*(W5/1000))</f>
        <v>-1.7203334093306026</v>
      </c>
      <c r="Y5" s="80">
        <f t="shared" si="0"/>
        <v>158.9342572306652</v>
      </c>
      <c r="Z5" s="81">
        <f t="shared" ref="Z5:Z68" si="3">Y5+$C$28</f>
        <v>-23.003943029495929</v>
      </c>
      <c r="AA5" s="82">
        <f t="shared" si="1"/>
        <v>70.762447963348407</v>
      </c>
      <c r="AB5" s="82">
        <f t="shared" ref="AB5:AB24" si="4">AA5*POWER(2,0.5)</f>
        <v>100.07321361648772</v>
      </c>
      <c r="AC5" s="82">
        <f t="shared" ref="AC5:AC24" si="5">50/AB5</f>
        <v>0.49963419973316586</v>
      </c>
      <c r="AD5" s="65" t="s">
        <v>143</v>
      </c>
      <c r="AE5" s="79">
        <v>1.004</v>
      </c>
      <c r="AF5" s="79">
        <v>1.008</v>
      </c>
      <c r="AG5" s="82">
        <f t="shared" ref="AG5:AG68" si="6">AC5/$AD$10</f>
        <v>1.0196616321085019</v>
      </c>
      <c r="AH5" s="82">
        <f>($AD$4*$AD$6*AE5*AF5*$AD$8)-AC5</f>
        <v>-3.7385197331659126E-3</v>
      </c>
      <c r="AI5" s="57">
        <f t="shared" ref="AI5:AI68" si="7">POWER(AG5,0.5)</f>
        <v>1.009782962872964</v>
      </c>
      <c r="AJ5" s="57">
        <f t="shared" ref="AJ5:AJ68" si="8">AI5</f>
        <v>1.009782962872964</v>
      </c>
      <c r="AL5" s="40">
        <f t="shared" ref="AL5:AL68" si="9">X5+$C$28</f>
        <v>-183.65853366949173</v>
      </c>
      <c r="AM5">
        <f t="shared" ref="AM5:AM68" si="10">POWER(10,0.05*AL5)*1000</f>
        <v>6.5625604448203721E-7</v>
      </c>
      <c r="AQ5" s="78">
        <f t="shared" ref="AQ5:AQ68" si="11">V5</f>
        <v>2</v>
      </c>
      <c r="AR5" s="82">
        <f t="shared" ref="AR5:AR68" si="12">W5</f>
        <v>0.875</v>
      </c>
      <c r="AS5" s="85">
        <f t="shared" ref="AS5:AS68" si="13">AE5</f>
        <v>1.004</v>
      </c>
      <c r="AT5" s="85">
        <f t="shared" ref="AT5:AT68" si="14">AF5</f>
        <v>1.008</v>
      </c>
    </row>
    <row r="6" spans="2:46">
      <c r="B6" s="295" t="s">
        <v>63</v>
      </c>
      <c r="C6" s="295"/>
      <c r="D6" s="295"/>
      <c r="E6" s="23"/>
      <c r="F6" s="322" t="s">
        <v>69</v>
      </c>
      <c r="G6" s="322"/>
      <c r="H6" s="322"/>
      <c r="I6" s="23"/>
      <c r="J6" s="295" t="s">
        <v>76</v>
      </c>
      <c r="K6" s="295"/>
      <c r="L6" s="295"/>
      <c r="N6" s="323" t="s">
        <v>78</v>
      </c>
      <c r="O6" s="323"/>
      <c r="P6" s="323"/>
      <c r="R6" s="322" t="s">
        <v>70</v>
      </c>
      <c r="S6" s="322"/>
      <c r="T6" s="322"/>
      <c r="U6" s="58"/>
      <c r="V6" s="78">
        <f t="shared" ref="V6:V69" si="15">V5+1</f>
        <v>3</v>
      </c>
      <c r="W6" s="79">
        <f t="shared" ref="W6:W21" si="16">W5+$O$33</f>
        <v>1.25</v>
      </c>
      <c r="X6" s="80">
        <f t="shared" si="2"/>
        <v>2.9350503902416927</v>
      </c>
      <c r="Y6" s="80">
        <f t="shared" si="0"/>
        <v>154.2788734310929</v>
      </c>
      <c r="Z6" s="81">
        <f t="shared" si="3"/>
        <v>-27.65932682906822</v>
      </c>
      <c r="AA6" s="82">
        <f t="shared" si="1"/>
        <v>41.403176172830456</v>
      </c>
      <c r="AB6" s="82">
        <f t="shared" si="4"/>
        <v>58.552933268939412</v>
      </c>
      <c r="AC6" s="82">
        <f t="shared" si="5"/>
        <v>0.85392818444030905</v>
      </c>
      <c r="AD6" s="83">
        <v>1</v>
      </c>
      <c r="AE6" s="79">
        <v>1.31</v>
      </c>
      <c r="AF6" s="79">
        <v>1.3180000000000001</v>
      </c>
      <c r="AG6" s="82">
        <f t="shared" si="6"/>
        <v>1.7427105804904268</v>
      </c>
      <c r="AH6" s="82">
        <f t="shared" ref="AH6:AH68" si="17">($AD$4*$AD$6*AE6*AF6*$AD$8)-AC6</f>
        <v>-7.903984440309042E-3</v>
      </c>
      <c r="AI6" s="57">
        <f t="shared" si="7"/>
        <v>1.3201176388831515</v>
      </c>
      <c r="AJ6" s="57">
        <f t="shared" si="8"/>
        <v>1.3201176388831515</v>
      </c>
      <c r="AL6" s="40">
        <f t="shared" si="9"/>
        <v>-179.00314986991944</v>
      </c>
      <c r="AM6">
        <f t="shared" si="10"/>
        <v>1.1216116368571434E-6</v>
      </c>
      <c r="AQ6" s="78">
        <f t="shared" si="11"/>
        <v>3</v>
      </c>
      <c r="AR6" s="82">
        <f t="shared" si="12"/>
        <v>1.25</v>
      </c>
      <c r="AS6" s="85">
        <f t="shared" si="13"/>
        <v>1.31</v>
      </c>
      <c r="AT6" s="85">
        <f t="shared" si="14"/>
        <v>1.3180000000000001</v>
      </c>
    </row>
    <row r="7" spans="2:46">
      <c r="B7" s="67" t="s">
        <v>10</v>
      </c>
      <c r="C7" s="20">
        <v>50</v>
      </c>
      <c r="D7" s="67" t="s">
        <v>11</v>
      </c>
      <c r="E7" s="12"/>
      <c r="F7" s="71" t="s">
        <v>6</v>
      </c>
      <c r="G7" s="43">
        <f>1.5/C7</f>
        <v>0.03</v>
      </c>
      <c r="H7" s="67" t="s">
        <v>58</v>
      </c>
      <c r="I7" s="12"/>
      <c r="J7" s="295" t="s">
        <v>77</v>
      </c>
      <c r="K7" s="295"/>
      <c r="L7" s="295"/>
      <c r="N7" s="317" t="s">
        <v>29</v>
      </c>
      <c r="O7" s="291"/>
      <c r="P7" s="291"/>
      <c r="R7" s="34" t="s">
        <v>12</v>
      </c>
      <c r="S7" s="35">
        <f>10*LOG10(G16)</f>
        <v>23.922397540603054</v>
      </c>
      <c r="T7" s="72" t="s">
        <v>51</v>
      </c>
      <c r="U7" s="12"/>
      <c r="V7" s="78">
        <f t="shared" si="15"/>
        <v>4</v>
      </c>
      <c r="W7" s="79">
        <f t="shared" si="16"/>
        <v>1.625</v>
      </c>
      <c r="X7" s="80">
        <f t="shared" si="2"/>
        <v>6.3616759594467958</v>
      </c>
      <c r="Y7" s="80">
        <f t="shared" si="0"/>
        <v>150.8522478618878</v>
      </c>
      <c r="Z7" s="81">
        <f t="shared" si="3"/>
        <v>-31.085952398273321</v>
      </c>
      <c r="AA7" s="82">
        <f t="shared" si="1"/>
        <v>27.906307799932222</v>
      </c>
      <c r="AB7" s="82">
        <f t="shared" si="4"/>
        <v>39.465478966422239</v>
      </c>
      <c r="AC7" s="82">
        <f t="shared" si="5"/>
        <v>1.2669300185749848</v>
      </c>
      <c r="AD7" s="65" t="s">
        <v>144</v>
      </c>
      <c r="AE7" s="79">
        <v>1.6020000000000001</v>
      </c>
      <c r="AF7" s="79">
        <v>1.6140000000000001</v>
      </c>
      <c r="AG7" s="82">
        <f t="shared" si="6"/>
        <v>2.585571466479561</v>
      </c>
      <c r="AH7" s="82">
        <f t="shared" si="17"/>
        <v>2.7701425015180803E-5</v>
      </c>
      <c r="AI7" s="57">
        <f t="shared" si="7"/>
        <v>1.6079712268817379</v>
      </c>
      <c r="AJ7" s="57">
        <f t="shared" si="8"/>
        <v>1.6079712268817379</v>
      </c>
      <c r="AL7" s="40">
        <f t="shared" si="9"/>
        <v>-175.57652430071434</v>
      </c>
      <c r="AM7">
        <f t="shared" si="10"/>
        <v>1.6640784059009692E-6</v>
      </c>
      <c r="AQ7" s="78">
        <f t="shared" si="11"/>
        <v>4</v>
      </c>
      <c r="AR7" s="82">
        <f t="shared" si="12"/>
        <v>1.625</v>
      </c>
      <c r="AS7" s="85">
        <f t="shared" si="13"/>
        <v>1.6020000000000001</v>
      </c>
      <c r="AT7" s="85">
        <f t="shared" si="14"/>
        <v>1.6140000000000001</v>
      </c>
    </row>
    <row r="8" spans="2:46">
      <c r="B8" s="291" t="s">
        <v>64</v>
      </c>
      <c r="C8" s="291"/>
      <c r="D8" s="291"/>
      <c r="E8" s="12"/>
      <c r="F8" s="327" t="s">
        <v>67</v>
      </c>
      <c r="G8" s="327"/>
      <c r="H8" s="327"/>
      <c r="I8" s="13"/>
      <c r="J8" s="16" t="str">
        <f>B17</f>
        <v>МГ</v>
      </c>
      <c r="K8" s="20">
        <v>20</v>
      </c>
      <c r="L8" s="16" t="s">
        <v>7</v>
      </c>
      <c r="N8" s="67" t="str">
        <f>B17</f>
        <v>МГ</v>
      </c>
      <c r="O8" s="41">
        <f>(2*K8/$K$25)*((1/COS(RADIANS($K$29/2)))-1)*POWER(10,6)</f>
        <v>230.10561547074224</v>
      </c>
      <c r="P8" s="16" t="s">
        <v>30</v>
      </c>
      <c r="R8" s="323" t="s">
        <v>71</v>
      </c>
      <c r="S8" s="323"/>
      <c r="T8" s="323"/>
      <c r="U8" s="59"/>
      <c r="V8" s="78">
        <f t="shared" si="15"/>
        <v>5</v>
      </c>
      <c r="W8" s="79">
        <f t="shared" si="16"/>
        <v>2</v>
      </c>
      <c r="X8" s="80">
        <f t="shared" si="2"/>
        <v>9.0752998699194354</v>
      </c>
      <c r="Y8" s="80">
        <f t="shared" si="0"/>
        <v>148.13862395141516</v>
      </c>
      <c r="Z8" s="81">
        <f t="shared" si="3"/>
        <v>-33.799576308745969</v>
      </c>
      <c r="AA8" s="82">
        <f t="shared" si="1"/>
        <v>20.418375415611795</v>
      </c>
      <c r="AB8" s="82">
        <f t="shared" si="4"/>
        <v>28.875943434383583</v>
      </c>
      <c r="AC8" s="82">
        <f t="shared" si="5"/>
        <v>1.7315451567363604</v>
      </c>
      <c r="AD8" s="83">
        <v>0.7</v>
      </c>
      <c r="AE8" s="79">
        <v>1.87</v>
      </c>
      <c r="AF8" s="79">
        <v>1.87</v>
      </c>
      <c r="AG8" s="82">
        <f t="shared" si="6"/>
        <v>3.5337656259925727</v>
      </c>
      <c r="AH8" s="82">
        <f t="shared" si="17"/>
        <v>-1.8064156736360415E-2</v>
      </c>
      <c r="AI8" s="57">
        <f t="shared" si="7"/>
        <v>1.8798312759374372</v>
      </c>
      <c r="AJ8" s="57">
        <f t="shared" si="8"/>
        <v>1.8798312759374372</v>
      </c>
      <c r="AL8" s="40">
        <f t="shared" si="9"/>
        <v>-172.86290039024169</v>
      </c>
      <c r="AM8">
        <f t="shared" si="10"/>
        <v>2.2743378575940242E-6</v>
      </c>
      <c r="AQ8" s="78">
        <f t="shared" si="11"/>
        <v>5</v>
      </c>
      <c r="AR8" s="82">
        <f t="shared" si="12"/>
        <v>2</v>
      </c>
      <c r="AS8" s="85">
        <f t="shared" si="13"/>
        <v>1.87</v>
      </c>
      <c r="AT8" s="85">
        <f t="shared" si="14"/>
        <v>1.87</v>
      </c>
    </row>
    <row r="9" spans="2:46">
      <c r="B9" s="71" t="s">
        <v>44</v>
      </c>
      <c r="C9" s="20">
        <v>15</v>
      </c>
      <c r="D9" s="67" t="s">
        <v>26</v>
      </c>
      <c r="E9" s="12"/>
      <c r="F9" s="328" t="s">
        <v>16</v>
      </c>
      <c r="G9" s="44">
        <f>((0.11*POWER(C7,2))/(1+POWER(C7,2))+((44*POWER(C7,2))/(4100+POWER(C7,2)))+((3*POWER(10,-4))*POWER(C7,2)))</f>
        <v>17.526622684259632</v>
      </c>
      <c r="H9" s="305" t="s">
        <v>57</v>
      </c>
      <c r="I9" s="12"/>
      <c r="J9" s="16" t="str">
        <f t="shared" ref="J9:J11" si="18">B18</f>
        <v>СГ</v>
      </c>
      <c r="K9" s="20">
        <v>100</v>
      </c>
      <c r="L9" s="67" t="s">
        <v>7</v>
      </c>
      <c r="N9" s="67" t="str">
        <f t="shared" ref="N9:N11" si="19">B18</f>
        <v>СГ</v>
      </c>
      <c r="O9" s="41">
        <f>(2*K9/$K$25)*((1/COS(RADIANS($K$29/2)))-1)*POWER(10,6)</f>
        <v>1150.5280773537111</v>
      </c>
      <c r="P9" s="16" t="s">
        <v>30</v>
      </c>
      <c r="R9" s="291" t="s">
        <v>102</v>
      </c>
      <c r="S9" s="291"/>
      <c r="T9" s="67" t="s">
        <v>103</v>
      </c>
      <c r="U9" s="60"/>
      <c r="V9" s="78">
        <f t="shared" si="15"/>
        <v>6</v>
      </c>
      <c r="W9" s="79">
        <f t="shared" si="16"/>
        <v>2.375</v>
      </c>
      <c r="X9" s="80">
        <f t="shared" si="2"/>
        <v>11.322633418826562</v>
      </c>
      <c r="Y9" s="80">
        <f t="shared" si="0"/>
        <v>145.89129040250802</v>
      </c>
      <c r="Z9" s="81">
        <f t="shared" si="3"/>
        <v>-36.046909857653105</v>
      </c>
      <c r="AA9" s="82">
        <f t="shared" si="1"/>
        <v>15.763567367887282</v>
      </c>
      <c r="AB9" s="82">
        <f t="shared" si="4"/>
        <v>22.293050763048146</v>
      </c>
      <c r="AC9" s="82">
        <f t="shared" si="5"/>
        <v>2.2428513948785116</v>
      </c>
      <c r="AD9" s="78" t="s">
        <v>147</v>
      </c>
      <c r="AE9" s="79">
        <v>2.12</v>
      </c>
      <c r="AF9" s="79">
        <v>2.16</v>
      </c>
      <c r="AG9" s="82">
        <f t="shared" si="6"/>
        <v>4.5772477446500242</v>
      </c>
      <c r="AH9" s="82">
        <f t="shared" si="17"/>
        <v>9.5660512148842969E-4</v>
      </c>
      <c r="AI9" s="57">
        <f t="shared" si="7"/>
        <v>2.1394503370375353</v>
      </c>
      <c r="AJ9" s="57">
        <f t="shared" si="8"/>
        <v>2.1394503370375353</v>
      </c>
      <c r="AL9" s="40">
        <f t="shared" si="9"/>
        <v>-170.61556684133456</v>
      </c>
      <c r="AM9">
        <f t="shared" si="10"/>
        <v>2.9459248096909003E-6</v>
      </c>
      <c r="AQ9" s="78">
        <f t="shared" si="11"/>
        <v>6</v>
      </c>
      <c r="AR9" s="82">
        <f t="shared" si="12"/>
        <v>2.375</v>
      </c>
      <c r="AS9" s="85">
        <f t="shared" si="13"/>
        <v>2.12</v>
      </c>
      <c r="AT9" s="85">
        <f t="shared" si="14"/>
        <v>2.16</v>
      </c>
    </row>
    <row r="10" spans="2:46">
      <c r="B10" s="317" t="s">
        <v>1</v>
      </c>
      <c r="C10" s="317"/>
      <c r="D10" s="317"/>
      <c r="E10" s="13"/>
      <c r="F10" s="329"/>
      <c r="G10" s="33">
        <f>0.214*C7+0.00016*POWER(C7,2)</f>
        <v>11.1</v>
      </c>
      <c r="H10" s="307"/>
      <c r="I10" s="13"/>
      <c r="J10" s="16" t="str">
        <f t="shared" si="18"/>
        <v>БГ</v>
      </c>
      <c r="K10" s="20">
        <v>2000</v>
      </c>
      <c r="L10" s="67" t="s">
        <v>7</v>
      </c>
      <c r="N10" s="67" t="str">
        <f t="shared" si="19"/>
        <v>БГ</v>
      </c>
      <c r="O10" s="41">
        <f>(2*K10/$K$25)*((1/COS(RADIANS($K$29/2)))-1)*POWER(10,6)</f>
        <v>23010.561547074223</v>
      </c>
      <c r="P10" s="16" t="s">
        <v>30</v>
      </c>
      <c r="R10" s="67" t="str">
        <f>B17</f>
        <v>МГ</v>
      </c>
      <c r="S10" s="25">
        <f>10*LOG10(G33)+$S$7+170.8</f>
        <v>194.72239754060305</v>
      </c>
      <c r="T10" s="37">
        <f>$C$24+20*LOG10(G20/1)</f>
        <v>193.89166084364533</v>
      </c>
      <c r="U10" s="61"/>
      <c r="V10" s="78">
        <f t="shared" si="15"/>
        <v>7</v>
      </c>
      <c r="W10" s="79">
        <f t="shared" si="16"/>
        <v>2.75</v>
      </c>
      <c r="X10" s="80">
        <f t="shared" si="2"/>
        <v>13.241030814907878</v>
      </c>
      <c r="Y10" s="80">
        <f t="shared" si="0"/>
        <v>143.97289300642672</v>
      </c>
      <c r="Z10" s="81">
        <f t="shared" si="3"/>
        <v>-37.965307253734409</v>
      </c>
      <c r="AA10" s="82">
        <f t="shared" si="1"/>
        <v>12.639638041011382</v>
      </c>
      <c r="AB10" s="82">
        <f t="shared" si="4"/>
        <v>17.875147541085198</v>
      </c>
      <c r="AC10" s="82">
        <f t="shared" si="5"/>
        <v>2.7971797091507815</v>
      </c>
      <c r="AD10" s="84">
        <f>AD4*AD6*AD8</f>
        <v>0.48999999999999994</v>
      </c>
      <c r="AE10" s="79">
        <v>2.39</v>
      </c>
      <c r="AF10" s="79">
        <v>2.39</v>
      </c>
      <c r="AG10" s="82">
        <f t="shared" si="6"/>
        <v>5.7085300186750647</v>
      </c>
      <c r="AH10" s="82">
        <f t="shared" si="17"/>
        <v>1.7492908492182657E-3</v>
      </c>
      <c r="AI10" s="57">
        <f t="shared" si="7"/>
        <v>2.3892530252518389</v>
      </c>
      <c r="AJ10" s="57">
        <f t="shared" si="8"/>
        <v>2.3892530252518389</v>
      </c>
      <c r="AL10" s="40">
        <f t="shared" si="9"/>
        <v>-168.69716944525325</v>
      </c>
      <c r="AM10">
        <f t="shared" si="10"/>
        <v>3.6740200983300656E-6</v>
      </c>
      <c r="AQ10" s="78">
        <f t="shared" si="11"/>
        <v>7</v>
      </c>
      <c r="AR10" s="82">
        <f t="shared" si="12"/>
        <v>2.75</v>
      </c>
      <c r="AS10" s="85">
        <f t="shared" si="13"/>
        <v>2.39</v>
      </c>
      <c r="AT10" s="85">
        <f t="shared" si="14"/>
        <v>2.39</v>
      </c>
    </row>
    <row r="11" spans="2:46" ht="14.4" customHeight="1">
      <c r="B11" s="67" t="s">
        <v>59</v>
      </c>
      <c r="C11" s="20">
        <v>80</v>
      </c>
      <c r="D11" s="67" t="s">
        <v>2</v>
      </c>
      <c r="E11" s="12"/>
      <c r="F11" s="330" t="s">
        <v>97</v>
      </c>
      <c r="G11" s="330"/>
      <c r="H11" s="330"/>
      <c r="I11" s="12"/>
      <c r="J11" s="16">
        <f t="shared" si="18"/>
        <v>4</v>
      </c>
      <c r="K11" s="20">
        <v>200</v>
      </c>
      <c r="L11" s="67" t="s">
        <v>7</v>
      </c>
      <c r="N11" s="67">
        <f t="shared" si="19"/>
        <v>4</v>
      </c>
      <c r="O11" s="41">
        <f>(2*K11/$K$25)*((1/COS(RADIANS($K$29/2)))-1)*POWER(10,6)</f>
        <v>2301.0561547074221</v>
      </c>
      <c r="P11" s="16" t="s">
        <v>30</v>
      </c>
      <c r="R11" s="67" t="str">
        <f t="shared" ref="R11:R13" si="20">B18</f>
        <v>СГ</v>
      </c>
      <c r="S11" s="25">
        <f>10*LOG10(G34)+$S$7+170.8</f>
        <v>214.72239754060305</v>
      </c>
      <c r="T11" s="37">
        <f>$C$24+20*LOG10(G21/1)</f>
        <v>213.89166084364533</v>
      </c>
      <c r="U11" s="61"/>
      <c r="V11" s="78">
        <f t="shared" si="15"/>
        <v>8</v>
      </c>
      <c r="W11" s="79">
        <f t="shared" si="16"/>
        <v>3.125</v>
      </c>
      <c r="X11" s="80">
        <f t="shared" si="2"/>
        <v>14.914875650402822</v>
      </c>
      <c r="Y11" s="80">
        <f t="shared" si="0"/>
        <v>142.29904817093177</v>
      </c>
      <c r="Z11" s="81">
        <f t="shared" si="3"/>
        <v>-39.639152089229356</v>
      </c>
      <c r="AA11" s="82">
        <f t="shared" si="1"/>
        <v>10.424191846942163</v>
      </c>
      <c r="AB11" s="82">
        <f t="shared" si="4"/>
        <v>14.742033486724651</v>
      </c>
      <c r="AC11" s="82">
        <f t="shared" si="5"/>
        <v>3.3916623541131896</v>
      </c>
      <c r="AD11" s="335"/>
      <c r="AE11" s="79">
        <v>2.63</v>
      </c>
      <c r="AF11" s="79">
        <v>2.63</v>
      </c>
      <c r="AG11" s="82">
        <f t="shared" si="6"/>
        <v>6.921759906353449</v>
      </c>
      <c r="AH11" s="82">
        <f t="shared" si="17"/>
        <v>-2.3813541131905147E-3</v>
      </c>
      <c r="AI11" s="57">
        <f t="shared" si="7"/>
        <v>2.6309237743335419</v>
      </c>
      <c r="AJ11" s="57">
        <f t="shared" si="8"/>
        <v>2.6309237743335419</v>
      </c>
      <c r="AL11" s="40">
        <f t="shared" si="9"/>
        <v>-167.0233246097583</v>
      </c>
      <c r="AM11">
        <f t="shared" si="10"/>
        <v>4.4548570172291306E-6</v>
      </c>
      <c r="AQ11" s="78">
        <f t="shared" si="11"/>
        <v>8</v>
      </c>
      <c r="AR11" s="82">
        <f t="shared" si="12"/>
        <v>3.125</v>
      </c>
      <c r="AS11" s="85">
        <f t="shared" si="13"/>
        <v>2.63</v>
      </c>
      <c r="AT11" s="85">
        <f t="shared" si="14"/>
        <v>2.63</v>
      </c>
    </row>
    <row r="12" spans="2:46">
      <c r="B12" s="291" t="s">
        <v>0</v>
      </c>
      <c r="C12" s="291"/>
      <c r="D12" s="291"/>
      <c r="E12" s="12"/>
      <c r="F12" s="330"/>
      <c r="G12" s="330"/>
      <c r="H12" s="330"/>
      <c r="I12" s="70"/>
      <c r="J12" s="70"/>
      <c r="K12" s="70"/>
      <c r="L12" s="70"/>
      <c r="R12" s="67" t="str">
        <f t="shared" si="20"/>
        <v>БГ</v>
      </c>
      <c r="S12" s="25">
        <f>10*LOG10(G35)+$S$7+170.8</f>
        <v>218.24422272171668</v>
      </c>
      <c r="T12" s="37">
        <f>$C$24+20*LOG10(G22/1)</f>
        <v>217.41348602475895</v>
      </c>
      <c r="U12" s="61"/>
      <c r="V12" s="78">
        <f t="shared" si="15"/>
        <v>9</v>
      </c>
      <c r="W12" s="79">
        <f t="shared" si="16"/>
        <v>3.5</v>
      </c>
      <c r="X12" s="80">
        <f t="shared" si="2"/>
        <v>16.39974133050827</v>
      </c>
      <c r="Y12" s="80">
        <f t="shared" si="0"/>
        <v>140.81418249082631</v>
      </c>
      <c r="Z12" s="81">
        <f t="shared" si="3"/>
        <v>-41.124017769334813</v>
      </c>
      <c r="AA12" s="82">
        <f t="shared" si="1"/>
        <v>8.7861600774925321</v>
      </c>
      <c r="AB12" s="82">
        <f t="shared" si="4"/>
        <v>12.425506742770983</v>
      </c>
      <c r="AC12" s="82">
        <f t="shared" si="5"/>
        <v>4.0239807546754118</v>
      </c>
      <c r="AD12" s="336"/>
      <c r="AE12" s="79">
        <v>2.86</v>
      </c>
      <c r="AF12" s="79">
        <v>2.86</v>
      </c>
      <c r="AG12" s="82">
        <f t="shared" si="6"/>
        <v>8.2122056217865556</v>
      </c>
      <c r="AH12" s="82">
        <f t="shared" si="17"/>
        <v>-1.5976754675413041E-2</v>
      </c>
      <c r="AI12" s="57">
        <f t="shared" si="7"/>
        <v>2.8656946141880777</v>
      </c>
      <c r="AJ12" s="57">
        <f t="shared" si="8"/>
        <v>2.8656946141880777</v>
      </c>
      <c r="AL12" s="40">
        <f t="shared" si="9"/>
        <v>-165.53845892965285</v>
      </c>
      <c r="AM12">
        <f t="shared" si="10"/>
        <v>5.2853901805470018E-6</v>
      </c>
      <c r="AQ12" s="78">
        <f t="shared" si="11"/>
        <v>9</v>
      </c>
      <c r="AR12" s="82">
        <f t="shared" si="12"/>
        <v>3.5</v>
      </c>
      <c r="AS12" s="85">
        <f t="shared" si="13"/>
        <v>2.86</v>
      </c>
      <c r="AT12" s="85">
        <f t="shared" si="14"/>
        <v>2.86</v>
      </c>
    </row>
    <row r="13" spans="2:46">
      <c r="B13" s="71" t="s">
        <v>27</v>
      </c>
      <c r="C13" s="20">
        <v>0.4</v>
      </c>
      <c r="D13" s="67"/>
      <c r="E13" s="12"/>
      <c r="F13" s="330"/>
      <c r="G13" s="330"/>
      <c r="H13" s="330"/>
      <c r="I13" s="70"/>
      <c r="J13" s="291" t="s">
        <v>83</v>
      </c>
      <c r="K13" s="291"/>
      <c r="L13" s="291"/>
      <c r="N13" s="323" t="s">
        <v>84</v>
      </c>
      <c r="O13" s="323"/>
      <c r="P13" s="323"/>
      <c r="R13" s="67">
        <f t="shared" si="20"/>
        <v>4</v>
      </c>
      <c r="S13" s="25">
        <f>10*LOG10(G36)+$S$7+170.8</f>
        <v>216.30602246155556</v>
      </c>
      <c r="T13" s="37">
        <f>$C$24+20*LOG10(G23/1)</f>
        <v>215.47528576459783</v>
      </c>
      <c r="U13" s="61"/>
      <c r="V13" s="78">
        <f t="shared" si="15"/>
        <v>10</v>
      </c>
      <c r="W13" s="79">
        <f t="shared" si="16"/>
        <v>3.875</v>
      </c>
      <c r="X13" s="80">
        <f t="shared" si="2"/>
        <v>17.734176205269872</v>
      </c>
      <c r="Y13" s="80">
        <f t="shared" si="0"/>
        <v>139.47974761606471</v>
      </c>
      <c r="Z13" s="81">
        <f t="shared" si="3"/>
        <v>-42.458452644096411</v>
      </c>
      <c r="AA13" s="82">
        <f t="shared" si="1"/>
        <v>7.5348978291758497</v>
      </c>
      <c r="AB13" s="82">
        <f t="shared" si="4"/>
        <v>10.65595470111608</v>
      </c>
      <c r="AC13" s="82">
        <f t="shared" si="5"/>
        <v>4.6922121388863554</v>
      </c>
      <c r="AD13" s="336"/>
      <c r="AE13" s="79">
        <v>3.03</v>
      </c>
      <c r="AF13" s="79">
        <v>3.16</v>
      </c>
      <c r="AG13" s="82">
        <f t="shared" si="6"/>
        <v>9.5759431405843998</v>
      </c>
      <c r="AH13" s="82">
        <f t="shared" si="17"/>
        <v>-5.6013888635675357E-4</v>
      </c>
      <c r="AI13" s="57">
        <f t="shared" si="7"/>
        <v>3.094502082821144</v>
      </c>
      <c r="AJ13" s="57">
        <f t="shared" si="8"/>
        <v>3.094502082821144</v>
      </c>
      <c r="AL13" s="40">
        <f t="shared" si="9"/>
        <v>-164.20402405489125</v>
      </c>
      <c r="AM13">
        <f t="shared" si="10"/>
        <v>6.1630940791897148E-6</v>
      </c>
      <c r="AQ13" s="78">
        <f t="shared" si="11"/>
        <v>10</v>
      </c>
      <c r="AR13" s="82">
        <f t="shared" si="12"/>
        <v>3.875</v>
      </c>
      <c r="AS13" s="85">
        <f t="shared" si="13"/>
        <v>3.03</v>
      </c>
      <c r="AT13" s="85">
        <f t="shared" si="14"/>
        <v>3.16</v>
      </c>
    </row>
    <row r="14" spans="2:46">
      <c r="B14" s="21"/>
      <c r="C14" s="22"/>
      <c r="D14" s="22"/>
      <c r="E14" s="22"/>
      <c r="F14" s="70"/>
      <c r="G14" s="70"/>
      <c r="H14" s="70"/>
      <c r="I14" s="70"/>
      <c r="J14" s="317" t="s">
        <v>29</v>
      </c>
      <c r="K14" s="291"/>
      <c r="L14" s="291"/>
      <c r="N14" s="291" t="s">
        <v>85</v>
      </c>
      <c r="O14" s="291"/>
      <c r="P14" s="291"/>
      <c r="R14" s="70"/>
      <c r="S14" s="14"/>
      <c r="T14" s="70"/>
      <c r="U14" s="62"/>
      <c r="V14" s="78">
        <f t="shared" si="15"/>
        <v>11</v>
      </c>
      <c r="W14" s="79">
        <f t="shared" si="16"/>
        <v>4.25</v>
      </c>
      <c r="X14" s="80">
        <f t="shared" si="2"/>
        <v>18.946017901509343</v>
      </c>
      <c r="Y14" s="80">
        <f t="shared" si="0"/>
        <v>138.26790591982524</v>
      </c>
      <c r="Z14" s="81">
        <f t="shared" si="3"/>
        <v>-43.670294340335886</v>
      </c>
      <c r="AA14" s="82">
        <f t="shared" si="1"/>
        <v>6.5536807687890857</v>
      </c>
      <c r="AB14" s="82">
        <f t="shared" si="4"/>
        <v>9.2683042266852578</v>
      </c>
      <c r="AC14" s="82">
        <f t="shared" si="5"/>
        <v>5.3947301229107518</v>
      </c>
      <c r="AD14" s="336"/>
      <c r="AE14" s="79">
        <v>3.3</v>
      </c>
      <c r="AF14" s="79">
        <v>3.3</v>
      </c>
      <c r="AG14" s="82">
        <f t="shared" si="6"/>
        <v>11.00965331206276</v>
      </c>
      <c r="AH14" s="82">
        <f t="shared" si="17"/>
        <v>-5.8630122910753535E-2</v>
      </c>
      <c r="AI14" s="57">
        <f t="shared" si="7"/>
        <v>3.3180797627638126</v>
      </c>
      <c r="AJ14" s="57">
        <f t="shared" si="8"/>
        <v>3.3180797627638126</v>
      </c>
      <c r="AL14" s="40">
        <f t="shared" si="9"/>
        <v>-162.99218235865177</v>
      </c>
      <c r="AM14">
        <f t="shared" si="10"/>
        <v>7.0858325018588499E-6</v>
      </c>
      <c r="AQ14" s="78">
        <f t="shared" si="11"/>
        <v>11</v>
      </c>
      <c r="AR14" s="82">
        <f t="shared" si="12"/>
        <v>4.25</v>
      </c>
      <c r="AS14" s="85">
        <f t="shared" si="13"/>
        <v>3.3</v>
      </c>
      <c r="AT14" s="85">
        <f t="shared" si="14"/>
        <v>3.3</v>
      </c>
    </row>
    <row r="15" spans="2:46">
      <c r="B15" s="331" t="s">
        <v>65</v>
      </c>
      <c r="C15" s="331"/>
      <c r="D15" s="331"/>
      <c r="E15" s="21"/>
      <c r="F15" s="327" t="s">
        <v>68</v>
      </c>
      <c r="G15" s="327"/>
      <c r="H15" s="327"/>
      <c r="I15" s="12"/>
      <c r="J15" s="67" t="str">
        <f>B17</f>
        <v>МГ</v>
      </c>
      <c r="K15" s="20">
        <v>240</v>
      </c>
      <c r="L15" s="67" t="s">
        <v>30</v>
      </c>
      <c r="N15" s="67" t="str">
        <f>B17</f>
        <v>МГ</v>
      </c>
      <c r="O15" s="41">
        <f>(4*$K$25*(K15/1000000))/POWER(RADIANS($K$29),2)</f>
        <v>21.009960640075164</v>
      </c>
      <c r="P15" s="67" t="s">
        <v>7</v>
      </c>
      <c r="R15" s="323" t="s">
        <v>73</v>
      </c>
      <c r="S15" s="323"/>
      <c r="T15" s="323"/>
      <c r="U15" s="59"/>
      <c r="V15" s="78">
        <f t="shared" si="15"/>
        <v>12</v>
      </c>
      <c r="W15" s="79">
        <f t="shared" si="16"/>
        <v>4.625</v>
      </c>
      <c r="X15" s="80">
        <f t="shared" si="2"/>
        <v>20.056027112251545</v>
      </c>
      <c r="Y15" s="80">
        <f t="shared" si="0"/>
        <v>137.15789670908305</v>
      </c>
      <c r="Z15" s="81">
        <f t="shared" si="3"/>
        <v>-44.780303551078077</v>
      </c>
      <c r="AA15" s="82">
        <f t="shared" si="1"/>
        <v>5.7674630713540038</v>
      </c>
      <c r="AB15" s="82">
        <f t="shared" si="4"/>
        <v>8.156424495994818</v>
      </c>
      <c r="AC15" s="82">
        <f t="shared" si="5"/>
        <v>6.1301370501930492</v>
      </c>
      <c r="AD15" s="336"/>
      <c r="AE15" s="79">
        <v>3.53</v>
      </c>
      <c r="AF15" s="79">
        <v>3.53</v>
      </c>
      <c r="AG15" s="82">
        <f t="shared" si="6"/>
        <v>12.510483775904184</v>
      </c>
      <c r="AH15" s="82">
        <f t="shared" si="17"/>
        <v>-2.4296050193050256E-2</v>
      </c>
      <c r="AI15" s="57">
        <f t="shared" si="7"/>
        <v>3.5370162249987183</v>
      </c>
      <c r="AJ15" s="57">
        <f t="shared" si="8"/>
        <v>3.5370162249987183</v>
      </c>
      <c r="AL15" s="40">
        <f t="shared" si="9"/>
        <v>-161.88217314790958</v>
      </c>
      <c r="AM15">
        <f t="shared" si="10"/>
        <v>8.0517696643683964E-6</v>
      </c>
      <c r="AQ15" s="78">
        <f t="shared" si="11"/>
        <v>12</v>
      </c>
      <c r="AR15" s="82">
        <f t="shared" si="12"/>
        <v>4.625</v>
      </c>
      <c r="AS15" s="85">
        <f t="shared" si="13"/>
        <v>3.53</v>
      </c>
      <c r="AT15" s="85">
        <f t="shared" si="14"/>
        <v>3.53</v>
      </c>
    </row>
    <row r="16" spans="2:46">
      <c r="B16" s="317" t="s">
        <v>60</v>
      </c>
      <c r="C16" s="317"/>
      <c r="D16" s="317"/>
      <c r="E16" s="13"/>
      <c r="F16" s="71" t="s">
        <v>8</v>
      </c>
      <c r="G16" s="45">
        <f>POWER(PI()*(C9/100)/G7,2)</f>
        <v>246.74011002723395</v>
      </c>
      <c r="H16" s="67"/>
      <c r="I16" s="12"/>
      <c r="J16" s="67" t="str">
        <f>B18</f>
        <v>СГ</v>
      </c>
      <c r="K16" s="20">
        <v>2000</v>
      </c>
      <c r="L16" s="67" t="s">
        <v>30</v>
      </c>
      <c r="N16" s="67" t="str">
        <f>B18</f>
        <v>СГ</v>
      </c>
      <c r="O16" s="41">
        <f>(4*$K$25*(K16/1000000))/POWER(RADIANS($K$29),2)</f>
        <v>175.0830053339597</v>
      </c>
      <c r="P16" s="67" t="s">
        <v>7</v>
      </c>
      <c r="R16" s="67" t="s">
        <v>25</v>
      </c>
      <c r="S16" s="51">
        <v>20</v>
      </c>
      <c r="T16" s="67" t="s">
        <v>51</v>
      </c>
      <c r="U16" s="12"/>
      <c r="V16" s="78">
        <f t="shared" si="15"/>
        <v>13</v>
      </c>
      <c r="W16" s="79">
        <f t="shared" si="16"/>
        <v>5</v>
      </c>
      <c r="X16" s="80">
        <f t="shared" si="2"/>
        <v>21.080100130080567</v>
      </c>
      <c r="Y16" s="80">
        <f t="shared" si="0"/>
        <v>136.13382369125401</v>
      </c>
      <c r="Z16" s="81">
        <f t="shared" si="3"/>
        <v>-45.804376568907117</v>
      </c>
      <c r="AA16" s="82">
        <f t="shared" si="1"/>
        <v>5.1260303304661257</v>
      </c>
      <c r="AB16" s="82">
        <f t="shared" si="4"/>
        <v>7.2493016144810341</v>
      </c>
      <c r="AC16" s="82">
        <f t="shared" si="5"/>
        <v>6.8972161263260423</v>
      </c>
      <c r="AD16" s="336"/>
      <c r="AE16" s="79">
        <v>3.73</v>
      </c>
      <c r="AF16" s="79">
        <v>3.76</v>
      </c>
      <c r="AG16" s="82">
        <f t="shared" si="6"/>
        <v>14.075951278216415</v>
      </c>
      <c r="AH16" s="82">
        <f t="shared" si="17"/>
        <v>-2.5064126326043379E-2</v>
      </c>
      <c r="AI16" s="57">
        <f t="shared" si="7"/>
        <v>3.7517930750797563</v>
      </c>
      <c r="AJ16" s="57">
        <f t="shared" si="8"/>
        <v>3.7517930750797563</v>
      </c>
      <c r="AL16" s="40">
        <f t="shared" si="9"/>
        <v>-160.85810013008057</v>
      </c>
      <c r="AM16">
        <f t="shared" si="10"/>
        <v>9.0593073400855365E-6</v>
      </c>
      <c r="AQ16" s="78">
        <f t="shared" si="11"/>
        <v>13</v>
      </c>
      <c r="AR16" s="82">
        <f t="shared" si="12"/>
        <v>5</v>
      </c>
      <c r="AS16" s="85">
        <f t="shared" si="13"/>
        <v>3.73</v>
      </c>
      <c r="AT16" s="85">
        <f t="shared" si="14"/>
        <v>3.76</v>
      </c>
    </row>
    <row r="17" spans="1:46">
      <c r="A17" s="280" t="s">
        <v>128</v>
      </c>
      <c r="B17" s="67" t="s">
        <v>52</v>
      </c>
      <c r="C17" s="20">
        <v>20</v>
      </c>
      <c r="D17" s="67" t="s">
        <v>3</v>
      </c>
      <c r="E17" s="12"/>
      <c r="I17" s="12"/>
      <c r="J17" s="67" t="str">
        <f>B19</f>
        <v>БГ</v>
      </c>
      <c r="K17" s="20">
        <v>17000</v>
      </c>
      <c r="L17" s="67" t="s">
        <v>30</v>
      </c>
      <c r="N17" s="67" t="str">
        <f>B19</f>
        <v>БГ</v>
      </c>
      <c r="O17" s="41">
        <f>(4*$K$25*(K17/1000000))/POWER(RADIANS($K$29),2)</f>
        <v>1488.2055453386577</v>
      </c>
      <c r="P17" s="67" t="s">
        <v>7</v>
      </c>
      <c r="V17" s="78">
        <f t="shared" si="15"/>
        <v>14</v>
      </c>
      <c r="W17" s="79">
        <f>W16+$O$33</f>
        <v>5.375</v>
      </c>
      <c r="X17" s="80">
        <f t="shared" si="2"/>
        <v>22.030679057629289</v>
      </c>
      <c r="Y17" s="80">
        <f t="shared" si="0"/>
        <v>135.18324476370529</v>
      </c>
      <c r="Z17" s="81">
        <f t="shared" si="3"/>
        <v>-46.754955496455835</v>
      </c>
      <c r="AA17" s="82">
        <f t="shared" si="1"/>
        <v>4.5946477869336713</v>
      </c>
      <c r="AB17" s="82">
        <f t="shared" si="4"/>
        <v>6.497813214609125</v>
      </c>
      <c r="AC17" s="82">
        <f t="shared" si="5"/>
        <v>7.6948964749531878</v>
      </c>
      <c r="AD17" s="336"/>
      <c r="AE17" s="79">
        <v>3.82</v>
      </c>
      <c r="AF17" s="79">
        <v>4.09</v>
      </c>
      <c r="AG17" s="82">
        <f t="shared" si="6"/>
        <v>15.703870357047323</v>
      </c>
      <c r="AH17" s="82">
        <f t="shared" si="17"/>
        <v>-3.9234474953188325E-2</v>
      </c>
      <c r="AI17" s="57">
        <f t="shared" si="7"/>
        <v>3.9628109161360858</v>
      </c>
      <c r="AJ17" s="57">
        <f t="shared" si="8"/>
        <v>3.9628109161360858</v>
      </c>
      <c r="AL17" s="40">
        <f t="shared" si="9"/>
        <v>-159.90752120253183</v>
      </c>
      <c r="AM17">
        <f t="shared" si="10"/>
        <v>1.0107038961801337E-5</v>
      </c>
      <c r="AQ17" s="78">
        <f t="shared" si="11"/>
        <v>14</v>
      </c>
      <c r="AR17" s="82">
        <f t="shared" si="12"/>
        <v>5.375</v>
      </c>
      <c r="AS17" s="85">
        <f t="shared" si="13"/>
        <v>3.82</v>
      </c>
      <c r="AT17" s="85">
        <f t="shared" si="14"/>
        <v>4.09</v>
      </c>
    </row>
    <row r="18" spans="1:46">
      <c r="A18" s="280"/>
      <c r="B18" s="67" t="s">
        <v>53</v>
      </c>
      <c r="C18" s="20">
        <v>200</v>
      </c>
      <c r="D18" s="67" t="s">
        <v>3</v>
      </c>
      <c r="E18" s="12"/>
      <c r="F18" s="323" t="s">
        <v>66</v>
      </c>
      <c r="G18" s="323"/>
      <c r="H18" s="323"/>
      <c r="I18" s="12"/>
      <c r="J18" s="67">
        <f>B20</f>
        <v>4</v>
      </c>
      <c r="K18" s="20">
        <v>960</v>
      </c>
      <c r="L18" s="67" t="s">
        <v>30</v>
      </c>
      <c r="N18" s="67">
        <f>B20</f>
        <v>4</v>
      </c>
      <c r="O18" s="41">
        <f>(4*$K$25*(K18/1000000))/POWER(RADIANS($K$29),2)</f>
        <v>84.039842560300656</v>
      </c>
      <c r="P18" s="67" t="s">
        <v>7</v>
      </c>
      <c r="R18" s="323" t="s">
        <v>72</v>
      </c>
      <c r="S18" s="323"/>
      <c r="T18" s="323"/>
      <c r="U18" s="59"/>
      <c r="V18" s="78">
        <f t="shared" si="15"/>
        <v>15</v>
      </c>
      <c r="W18" s="79">
        <f t="shared" si="16"/>
        <v>5.75</v>
      </c>
      <c r="X18" s="80">
        <f t="shared" si="2"/>
        <v>22.917685340688912</v>
      </c>
      <c r="Y18" s="80">
        <f t="shared" si="0"/>
        <v>134.29623848064568</v>
      </c>
      <c r="Z18" s="81">
        <f t="shared" si="3"/>
        <v>-47.641961779515441</v>
      </c>
      <c r="AA18" s="82">
        <f t="shared" si="1"/>
        <v>4.1486033243865741</v>
      </c>
      <c r="AB18" s="82">
        <f t="shared" si="4"/>
        <v>5.8670110862536022</v>
      </c>
      <c r="AC18" s="82">
        <f t="shared" si="5"/>
        <v>8.5222269508148578</v>
      </c>
      <c r="AD18" s="336"/>
      <c r="AE18" s="79">
        <v>4.17</v>
      </c>
      <c r="AF18" s="79">
        <v>4.17</v>
      </c>
      <c r="AG18" s="82">
        <f t="shared" si="6"/>
        <v>17.392299899622159</v>
      </c>
      <c r="AH18" s="82">
        <f t="shared" si="17"/>
        <v>-1.6659508148606506E-3</v>
      </c>
      <c r="AI18" s="57">
        <f t="shared" si="7"/>
        <v>4.1704076419005087</v>
      </c>
      <c r="AJ18" s="57">
        <f t="shared" si="8"/>
        <v>4.1704076419005087</v>
      </c>
      <c r="AL18" s="40">
        <f t="shared" si="9"/>
        <v>-159.02051491947222</v>
      </c>
      <c r="AM18">
        <f t="shared" si="10"/>
        <v>1.1193715225872926E-5</v>
      </c>
      <c r="AQ18" s="78">
        <f t="shared" si="11"/>
        <v>15</v>
      </c>
      <c r="AR18" s="82">
        <f t="shared" si="12"/>
        <v>5.75</v>
      </c>
      <c r="AS18" s="85">
        <f t="shared" si="13"/>
        <v>4.17</v>
      </c>
      <c r="AT18" s="85">
        <f t="shared" si="14"/>
        <v>4.17</v>
      </c>
    </row>
    <row r="19" spans="1:46">
      <c r="A19" s="280"/>
      <c r="B19" s="67" t="s">
        <v>54</v>
      </c>
      <c r="C19" s="20">
        <v>300</v>
      </c>
      <c r="D19" s="67" t="s">
        <v>3</v>
      </c>
      <c r="E19" s="12"/>
      <c r="F19" s="291" t="s">
        <v>61</v>
      </c>
      <c r="G19" s="291"/>
      <c r="H19" s="291"/>
      <c r="I19" s="12"/>
      <c r="R19" s="67" t="s">
        <v>21</v>
      </c>
      <c r="S19" s="24">
        <v>-25</v>
      </c>
      <c r="T19" s="67" t="s">
        <v>51</v>
      </c>
      <c r="U19" s="12"/>
      <c r="V19" s="78">
        <f t="shared" si="15"/>
        <v>16</v>
      </c>
      <c r="W19" s="79">
        <f t="shared" si="16"/>
        <v>6.125</v>
      </c>
      <c r="X19" s="80">
        <f t="shared" si="2"/>
        <v>23.749157791097101</v>
      </c>
      <c r="Y19" s="80">
        <f t="shared" si="0"/>
        <v>133.46476603023748</v>
      </c>
      <c r="Z19" s="81">
        <f t="shared" si="3"/>
        <v>-48.47343422992364</v>
      </c>
      <c r="AA19" s="82">
        <f t="shared" si="1"/>
        <v>3.7698866163904827</v>
      </c>
      <c r="AB19" s="82">
        <f t="shared" si="4"/>
        <v>5.3314247815082387</v>
      </c>
      <c r="AC19" s="82">
        <f t="shared" si="5"/>
        <v>9.3783560772389247</v>
      </c>
      <c r="AD19" s="336"/>
      <c r="AE19" s="79">
        <v>4.33</v>
      </c>
      <c r="AF19" s="79">
        <v>4.41</v>
      </c>
      <c r="AG19" s="82">
        <f t="shared" si="6"/>
        <v>19.139502198446788</v>
      </c>
      <c r="AH19" s="82">
        <f t="shared" si="17"/>
        <v>-2.1659077238926017E-2</v>
      </c>
      <c r="AI19" s="57">
        <f t="shared" si="7"/>
        <v>4.3748716779405985</v>
      </c>
      <c r="AJ19" s="57">
        <f t="shared" si="8"/>
        <v>4.3748716779405985</v>
      </c>
      <c r="AL19" s="40">
        <f t="shared" si="9"/>
        <v>-158.18904246906402</v>
      </c>
      <c r="AM19">
        <f t="shared" si="10"/>
        <v>1.2318217740658709E-5</v>
      </c>
      <c r="AQ19" s="78">
        <f t="shared" si="11"/>
        <v>16</v>
      </c>
      <c r="AR19" s="82">
        <f t="shared" si="12"/>
        <v>6.125</v>
      </c>
      <c r="AS19" s="85">
        <f t="shared" si="13"/>
        <v>4.33</v>
      </c>
      <c r="AT19" s="85">
        <f t="shared" si="14"/>
        <v>4.41</v>
      </c>
    </row>
    <row r="20" spans="1:46">
      <c r="A20" s="280"/>
      <c r="B20" s="67">
        <v>4</v>
      </c>
      <c r="C20" s="20">
        <v>240</v>
      </c>
      <c r="D20" s="67" t="s">
        <v>3</v>
      </c>
      <c r="E20" s="12"/>
      <c r="F20" s="67" t="str">
        <f>B17</f>
        <v>МГ</v>
      </c>
      <c r="G20" s="46">
        <f>C17/POWER(2,0.5)</f>
        <v>14.142135623730949</v>
      </c>
      <c r="H20" s="67" t="s">
        <v>3</v>
      </c>
      <c r="I20" s="12"/>
      <c r="V20" s="78">
        <f t="shared" si="15"/>
        <v>17</v>
      </c>
      <c r="W20" s="79">
        <f t="shared" si="16"/>
        <v>6.5</v>
      </c>
      <c r="X20" s="80">
        <f t="shared" si="2"/>
        <v>24.531700699285668</v>
      </c>
      <c r="Y20" s="80">
        <f t="shared" si="0"/>
        <v>132.68222312204892</v>
      </c>
      <c r="Z20" s="81">
        <f t="shared" si="3"/>
        <v>-49.2559771381122</v>
      </c>
      <c r="AA20" s="82">
        <f t="shared" si="1"/>
        <v>3.4450945305910561</v>
      </c>
      <c r="AB20" s="82">
        <f t="shared" si="4"/>
        <v>4.8720994088192437</v>
      </c>
      <c r="AC20" s="82">
        <f t="shared" si="5"/>
        <v>10.262516382463865</v>
      </c>
      <c r="AD20" s="336"/>
      <c r="AE20" s="79">
        <v>4.58</v>
      </c>
      <c r="AF20" s="79">
        <v>4.58</v>
      </c>
      <c r="AG20" s="82">
        <f t="shared" si="6"/>
        <v>20.943910984620135</v>
      </c>
      <c r="AH20" s="82">
        <f t="shared" si="17"/>
        <v>1.5919617536134467E-2</v>
      </c>
      <c r="AI20" s="57">
        <f t="shared" si="7"/>
        <v>4.5764517898280248</v>
      </c>
      <c r="AJ20" s="57">
        <f t="shared" si="8"/>
        <v>4.5764517898280248</v>
      </c>
      <c r="AL20" s="40">
        <f t="shared" si="9"/>
        <v>-157.40649956087546</v>
      </c>
      <c r="AM20">
        <f t="shared" si="10"/>
        <v>1.3479538452701286E-5</v>
      </c>
      <c r="AQ20" s="78">
        <f t="shared" si="11"/>
        <v>17</v>
      </c>
      <c r="AR20" s="82">
        <f t="shared" si="12"/>
        <v>6.5</v>
      </c>
      <c r="AS20" s="85">
        <f t="shared" si="13"/>
        <v>4.58</v>
      </c>
      <c r="AT20" s="85">
        <f t="shared" si="14"/>
        <v>4.58</v>
      </c>
    </row>
    <row r="21" spans="1:46">
      <c r="A21" s="70"/>
      <c r="B21" s="12"/>
      <c r="C21" s="22"/>
      <c r="D21" s="12"/>
      <c r="E21" s="12"/>
      <c r="F21" s="67" t="str">
        <f>B18</f>
        <v>СГ</v>
      </c>
      <c r="G21" s="46">
        <f>C18/POWER(2,0.5)</f>
        <v>141.42135623730948</v>
      </c>
      <c r="H21" s="67" t="s">
        <v>3</v>
      </c>
      <c r="I21" s="12"/>
      <c r="N21" s="319" t="s">
        <v>95</v>
      </c>
      <c r="O21" s="320"/>
      <c r="P21" s="321"/>
      <c r="R21" s="323" t="s">
        <v>88</v>
      </c>
      <c r="S21" s="323"/>
      <c r="T21" s="323"/>
      <c r="U21" s="59"/>
      <c r="V21" s="78">
        <f t="shared" si="15"/>
        <v>18</v>
      </c>
      <c r="W21" s="79">
        <f t="shared" si="16"/>
        <v>6.875</v>
      </c>
      <c r="X21" s="80">
        <f t="shared" si="2"/>
        <v>25.270806075069007</v>
      </c>
      <c r="Y21" s="80">
        <f t="shared" si="0"/>
        <v>131.94311774626559</v>
      </c>
      <c r="Z21" s="81">
        <f t="shared" si="3"/>
        <v>-49.995082513895539</v>
      </c>
      <c r="AA21" s="82">
        <f t="shared" si="1"/>
        <v>3.164068479514424</v>
      </c>
      <c r="AB21" s="82">
        <f t="shared" si="4"/>
        <v>4.4746685560065167</v>
      </c>
      <c r="AC21" s="82">
        <f t="shared" si="5"/>
        <v>11.174011968525157</v>
      </c>
      <c r="AD21" s="336"/>
      <c r="AE21" s="79">
        <v>4.74</v>
      </c>
      <c r="AF21" s="79">
        <v>4.8499999999999996</v>
      </c>
      <c r="AG21" s="82">
        <f t="shared" si="6"/>
        <v>22.804106058214611</v>
      </c>
      <c r="AH21" s="82">
        <f t="shared" si="17"/>
        <v>9.0598031474840468E-2</v>
      </c>
      <c r="AI21" s="57">
        <f t="shared" si="7"/>
        <v>4.7753644948019005</v>
      </c>
      <c r="AJ21" s="57">
        <f t="shared" si="8"/>
        <v>4.7753644948019005</v>
      </c>
      <c r="AL21" s="40">
        <f t="shared" si="9"/>
        <v>-156.66739418509212</v>
      </c>
      <c r="AM21">
        <f t="shared" si="10"/>
        <v>1.467676331879507E-5</v>
      </c>
      <c r="AQ21" s="78">
        <f t="shared" si="11"/>
        <v>18</v>
      </c>
      <c r="AR21" s="82">
        <f t="shared" si="12"/>
        <v>6.875</v>
      </c>
      <c r="AS21" s="85">
        <f t="shared" si="13"/>
        <v>4.74</v>
      </c>
      <c r="AT21" s="85">
        <f t="shared" si="14"/>
        <v>4.8499999999999996</v>
      </c>
    </row>
    <row r="22" spans="1:46">
      <c r="A22" s="70"/>
      <c r="B22" s="291" t="s">
        <v>98</v>
      </c>
      <c r="C22" s="291"/>
      <c r="D22" s="291"/>
      <c r="E22" s="12"/>
      <c r="F22" s="67" t="str">
        <f>B19</f>
        <v>БГ</v>
      </c>
      <c r="G22" s="46">
        <f>C19/POWER(2,0.5)</f>
        <v>212.13203435596424</v>
      </c>
      <c r="H22" s="67" t="s">
        <v>3</v>
      </c>
      <c r="I22" s="12"/>
      <c r="N22" s="67" t="s">
        <v>24</v>
      </c>
      <c r="O22" s="20">
        <v>0.5</v>
      </c>
      <c r="P22" s="67" t="s">
        <v>23</v>
      </c>
      <c r="R22" s="67" t="s">
        <v>42</v>
      </c>
      <c r="S22" s="41">
        <f>20*LOG10(O22*1000000)</f>
        <v>113.97940008672037</v>
      </c>
      <c r="T22" s="16" t="s">
        <v>51</v>
      </c>
      <c r="U22" s="22"/>
      <c r="V22" s="78">
        <f t="shared" si="15"/>
        <v>19</v>
      </c>
      <c r="W22" s="79">
        <f>W21+$O$33</f>
        <v>7.25</v>
      </c>
      <c r="X22" s="80">
        <f t="shared" si="2"/>
        <v>25.971090197129811</v>
      </c>
      <c r="Y22" s="80">
        <f t="shared" si="0"/>
        <v>131.24283362420476</v>
      </c>
      <c r="Z22" s="81">
        <f t="shared" si="3"/>
        <v>-50.695366635956361</v>
      </c>
      <c r="AA22" s="82">
        <f t="shared" si="1"/>
        <v>2.9189836890212755</v>
      </c>
      <c r="AB22" s="82">
        <f t="shared" si="4"/>
        <v>4.1280663213597366</v>
      </c>
      <c r="AC22" s="82">
        <f t="shared" si="5"/>
        <v>12.112208503358199</v>
      </c>
      <c r="AD22" s="336"/>
      <c r="AE22" s="79">
        <v>4.96</v>
      </c>
      <c r="AF22" s="79">
        <v>4.96</v>
      </c>
      <c r="AG22" s="82">
        <f t="shared" si="6"/>
        <v>24.718792863996327</v>
      </c>
      <c r="AH22" s="82">
        <f t="shared" si="17"/>
        <v>-5.7424503358200596E-2</v>
      </c>
      <c r="AI22" s="57">
        <f t="shared" si="7"/>
        <v>4.97179976105196</v>
      </c>
      <c r="AJ22" s="57">
        <f t="shared" si="8"/>
        <v>4.97179976105196</v>
      </c>
      <c r="AL22" s="40">
        <f t="shared" si="9"/>
        <v>-155.96711006303133</v>
      </c>
      <c r="AM22">
        <f t="shared" si="10"/>
        <v>1.5909059160883308E-5</v>
      </c>
      <c r="AQ22" s="78">
        <f t="shared" si="11"/>
        <v>19</v>
      </c>
      <c r="AR22" s="82">
        <f t="shared" si="12"/>
        <v>7.25</v>
      </c>
      <c r="AS22" s="85">
        <f t="shared" si="13"/>
        <v>4.96</v>
      </c>
      <c r="AT22" s="85">
        <f t="shared" si="14"/>
        <v>4.96</v>
      </c>
    </row>
    <row r="23" spans="1:46">
      <c r="B23" s="67" t="s">
        <v>99</v>
      </c>
      <c r="C23" s="20">
        <v>350</v>
      </c>
      <c r="D23" s="67" t="s">
        <v>43</v>
      </c>
      <c r="E23" s="70"/>
      <c r="F23" s="67">
        <f>B20</f>
        <v>4</v>
      </c>
      <c r="G23" s="46">
        <f>C20/POWER(2,0.5)</f>
        <v>169.70562748477138</v>
      </c>
      <c r="H23" s="67" t="s">
        <v>3</v>
      </c>
      <c r="I23" s="70"/>
      <c r="N23" s="67" t="s">
        <v>86</v>
      </c>
      <c r="O23" s="67"/>
      <c r="P23" s="67"/>
      <c r="R23" s="295" t="s">
        <v>89</v>
      </c>
      <c r="S23" s="295"/>
      <c r="T23" s="295"/>
      <c r="U23" s="23"/>
      <c r="V23" s="78">
        <f t="shared" si="15"/>
        <v>20</v>
      </c>
      <c r="W23" s="79">
        <f>W22+$O$33</f>
        <v>7.625</v>
      </c>
      <c r="X23" s="80">
        <f t="shared" si="2"/>
        <v>26.636470440564704</v>
      </c>
      <c r="Y23" s="80">
        <f t="shared" si="0"/>
        <v>130.5774533807699</v>
      </c>
      <c r="Z23" s="81">
        <f t="shared" si="3"/>
        <v>-51.360746879391229</v>
      </c>
      <c r="AA23" s="82">
        <f t="shared" si="1"/>
        <v>2.70372586703184</v>
      </c>
      <c r="AB23" s="82">
        <f t="shared" si="4"/>
        <v>3.8236457900953837</v>
      </c>
      <c r="AC23" s="82">
        <f t="shared" si="5"/>
        <v>13.076525061374138</v>
      </c>
      <c r="AD23" s="336"/>
      <c r="AE23" s="79">
        <v>5.0599999999999996</v>
      </c>
      <c r="AF23" s="79">
        <v>5.3</v>
      </c>
      <c r="AG23" s="82">
        <f t="shared" si="6"/>
        <v>26.686785839539059</v>
      </c>
      <c r="AH23" s="82">
        <f t="shared" si="17"/>
        <v>6.4294938625859999E-2</v>
      </c>
      <c r="AI23" s="57">
        <f t="shared" si="7"/>
        <v>5.1659254581864671</v>
      </c>
      <c r="AJ23" s="57">
        <f t="shared" si="8"/>
        <v>5.1659254581864671</v>
      </c>
      <c r="AL23" s="40">
        <f t="shared" si="9"/>
        <v>-155.30172981959643</v>
      </c>
      <c r="AM23">
        <f t="shared" si="10"/>
        <v>1.7175662948874749E-5</v>
      </c>
      <c r="AQ23" s="78">
        <f t="shared" si="11"/>
        <v>20</v>
      </c>
      <c r="AR23" s="82">
        <f t="shared" si="12"/>
        <v>7.625</v>
      </c>
      <c r="AS23" s="85">
        <f t="shared" si="13"/>
        <v>5.0599999999999996</v>
      </c>
      <c r="AT23" s="85">
        <f t="shared" si="14"/>
        <v>5.3</v>
      </c>
    </row>
    <row r="24" spans="1:46">
      <c r="B24" s="67" t="s">
        <v>101</v>
      </c>
      <c r="C24" s="41">
        <f>20*LOG10(C23*POWER(10,6))</f>
        <v>170.88136088700551</v>
      </c>
      <c r="D24" s="16" t="s">
        <v>100</v>
      </c>
      <c r="E24" s="70"/>
      <c r="I24" s="70"/>
      <c r="J24" s="291" t="s">
        <v>80</v>
      </c>
      <c r="K24" s="291"/>
      <c r="L24" s="291"/>
      <c r="N24" s="71" t="s">
        <v>40</v>
      </c>
      <c r="O24" s="20">
        <v>1</v>
      </c>
      <c r="P24" s="67" t="s">
        <v>31</v>
      </c>
      <c r="R24" s="31" t="s">
        <v>32</v>
      </c>
      <c r="S24" s="47">
        <f>S22+20*LOG10(O26/C7)</f>
        <v>80</v>
      </c>
      <c r="T24" s="31" t="s">
        <v>51</v>
      </c>
      <c r="U24" s="23"/>
      <c r="V24" s="78">
        <f t="shared" si="15"/>
        <v>21</v>
      </c>
      <c r="W24" s="79">
        <f>W23+$O$33</f>
        <v>8</v>
      </c>
      <c r="X24" s="80">
        <f t="shared" si="2"/>
        <v>27.270299609758307</v>
      </c>
      <c r="Y24" s="80">
        <f t="shared" si="0"/>
        <v>129.94362421157629</v>
      </c>
      <c r="Z24" s="81">
        <f t="shared" si="3"/>
        <v>-51.994576048584833</v>
      </c>
      <c r="AA24" s="82">
        <f t="shared" si="1"/>
        <v>2.5134554826164219</v>
      </c>
      <c r="AB24" s="82">
        <f t="shared" si="4"/>
        <v>3.5545628319371572</v>
      </c>
      <c r="AC24" s="82">
        <f t="shared" si="5"/>
        <v>14.066427396010079</v>
      </c>
      <c r="AD24" s="336"/>
      <c r="AE24" s="79">
        <v>5.3</v>
      </c>
      <c r="AF24" s="79">
        <v>5.41</v>
      </c>
      <c r="AG24" s="82">
        <f t="shared" si="6"/>
        <v>28.706994685734859</v>
      </c>
      <c r="AH24" s="82">
        <f t="shared" si="17"/>
        <v>-1.6657396010081982E-2</v>
      </c>
      <c r="AI24" s="57">
        <f t="shared" si="7"/>
        <v>5.3578908803497347</v>
      </c>
      <c r="AJ24" s="57">
        <f t="shared" si="8"/>
        <v>5.3578908803497347</v>
      </c>
      <c r="AL24" s="40">
        <f t="shared" si="9"/>
        <v>-154.66790065040283</v>
      </c>
      <c r="AM24">
        <f t="shared" si="10"/>
        <v>1.8475872964319316E-5</v>
      </c>
      <c r="AQ24" s="78">
        <f t="shared" si="11"/>
        <v>21</v>
      </c>
      <c r="AR24" s="82">
        <f t="shared" si="12"/>
        <v>8</v>
      </c>
      <c r="AS24" s="85">
        <f t="shared" si="13"/>
        <v>5.3</v>
      </c>
      <c r="AT24" s="85">
        <f t="shared" si="14"/>
        <v>5.41</v>
      </c>
    </row>
    <row r="25" spans="1:46">
      <c r="E25" s="70"/>
      <c r="F25" s="324" t="s">
        <v>74</v>
      </c>
      <c r="G25" s="325"/>
      <c r="H25" s="326"/>
      <c r="I25" s="70"/>
      <c r="J25" s="67" t="s">
        <v>81</v>
      </c>
      <c r="K25" s="20">
        <v>1500</v>
      </c>
      <c r="L25" s="67" t="s">
        <v>82</v>
      </c>
      <c r="N25" s="291" t="s">
        <v>87</v>
      </c>
      <c r="O25" s="291"/>
      <c r="P25" s="291"/>
      <c r="R25" s="295" t="s">
        <v>90</v>
      </c>
      <c r="S25" s="295"/>
      <c r="T25" s="295"/>
      <c r="U25" s="23"/>
      <c r="V25" s="78">
        <f t="shared" si="15"/>
        <v>22</v>
      </c>
      <c r="W25" s="79">
        <f t="shared" ref="W25:W88" si="21">W24+$O$33</f>
        <v>8.375</v>
      </c>
      <c r="X25" s="80">
        <f t="shared" ref="X25:X88" si="22">30*LOG10(W25)+(2*$G$10*(W25/1000))</f>
        <v>27.875469471266484</v>
      </c>
      <c r="Y25" s="80">
        <f t="shared" ref="Y25:Y88" si="23">$S$10-X25+$S$52</f>
        <v>129.3384543500681</v>
      </c>
      <c r="Z25" s="81">
        <f t="shared" si="3"/>
        <v>-52.59974591009302</v>
      </c>
      <c r="AA25" s="82">
        <f t="shared" si="1"/>
        <v>2.3442973924742221</v>
      </c>
      <c r="AB25" s="82">
        <f t="shared" ref="AB25:AB88" si="24">AA25*POWER(2,0.5)</f>
        <v>3.3153371666729274</v>
      </c>
      <c r="AC25" s="82">
        <f t="shared" ref="AC25:AC88" si="25">50/AB25</f>
        <v>15.081422336955546</v>
      </c>
      <c r="AD25" s="336"/>
      <c r="AE25" s="79">
        <v>5.41</v>
      </c>
      <c r="AF25" s="79">
        <v>5.68</v>
      </c>
      <c r="AG25" s="82">
        <f t="shared" si="6"/>
        <v>30.778412932562343</v>
      </c>
      <c r="AH25" s="82">
        <f t="shared" si="17"/>
        <v>-2.431033695554774E-2</v>
      </c>
      <c r="AI25" s="57">
        <f t="shared" si="7"/>
        <v>5.5478295695309843</v>
      </c>
      <c r="AJ25" s="57">
        <f t="shared" si="8"/>
        <v>5.5478295695309843</v>
      </c>
      <c r="AL25" s="40">
        <f t="shared" si="9"/>
        <v>-154.06273078889464</v>
      </c>
      <c r="AM25">
        <f t="shared" si="10"/>
        <v>1.9809041441316927E-5</v>
      </c>
      <c r="AQ25" s="78">
        <f t="shared" si="11"/>
        <v>22</v>
      </c>
      <c r="AR25" s="82">
        <f t="shared" si="12"/>
        <v>8.375</v>
      </c>
      <c r="AS25" s="85">
        <f t="shared" si="13"/>
        <v>5.41</v>
      </c>
      <c r="AT25" s="85">
        <f t="shared" si="14"/>
        <v>5.68</v>
      </c>
    </row>
    <row r="26" spans="1:46">
      <c r="B26" s="291" t="s">
        <v>105</v>
      </c>
      <c r="C26" s="291"/>
      <c r="D26" s="291"/>
      <c r="E26" s="70"/>
      <c r="F26" s="319" t="s">
        <v>62</v>
      </c>
      <c r="G26" s="320"/>
      <c r="H26" s="321"/>
      <c r="I26" s="70"/>
      <c r="N26" s="68" t="s">
        <v>10</v>
      </c>
      <c r="O26" s="29">
        <v>1</v>
      </c>
      <c r="P26" s="68" t="s">
        <v>11</v>
      </c>
      <c r="R26" s="67" t="s">
        <v>92</v>
      </c>
      <c r="S26" s="41">
        <f>S24+10*LOG10(O29*1000)</f>
        <v>121.13943352306836</v>
      </c>
      <c r="T26" s="67" t="s">
        <v>51</v>
      </c>
      <c r="U26" s="12"/>
      <c r="V26" s="78">
        <f t="shared" si="15"/>
        <v>23</v>
      </c>
      <c r="W26" s="79">
        <f t="shared" si="21"/>
        <v>8.75</v>
      </c>
      <c r="X26" s="80">
        <f t="shared" si="22"/>
        <v>28.454491590669399</v>
      </c>
      <c r="Y26" s="80">
        <f t="shared" si="23"/>
        <v>128.7594322306652</v>
      </c>
      <c r="Z26" s="81">
        <f t="shared" si="3"/>
        <v>-53.178768029495927</v>
      </c>
      <c r="AA26" s="82">
        <f t="shared" si="1"/>
        <v>2.1931159757511298</v>
      </c>
      <c r="AB26" s="82">
        <f t="shared" si="24"/>
        <v>3.1015343567643519</v>
      </c>
      <c r="AC26" s="82">
        <f t="shared" si="25"/>
        <v>16.121053081663121</v>
      </c>
      <c r="AD26" s="336"/>
      <c r="AE26" s="79">
        <v>5.68</v>
      </c>
      <c r="AF26" s="79">
        <v>5.86</v>
      </c>
      <c r="AG26" s="82">
        <f t="shared" si="6"/>
        <v>32.900108329924741</v>
      </c>
      <c r="AH26" s="82">
        <f t="shared" si="17"/>
        <v>0.18849891833687948</v>
      </c>
      <c r="AI26" s="57">
        <f t="shared" si="7"/>
        <v>5.735861603100683</v>
      </c>
      <c r="AJ26" s="57">
        <f t="shared" si="8"/>
        <v>5.735861603100683</v>
      </c>
      <c r="AL26" s="40">
        <f t="shared" si="9"/>
        <v>-153.48370866949173</v>
      </c>
      <c r="AM26">
        <f t="shared" si="10"/>
        <v>2.1174568382042916E-5</v>
      </c>
      <c r="AQ26" s="78">
        <f t="shared" si="11"/>
        <v>23</v>
      </c>
      <c r="AR26" s="82">
        <f t="shared" si="12"/>
        <v>8.75</v>
      </c>
      <c r="AS26" s="85">
        <f t="shared" si="13"/>
        <v>5.68</v>
      </c>
      <c r="AT26" s="85">
        <f t="shared" si="14"/>
        <v>5.86</v>
      </c>
    </row>
    <row r="27" spans="1:46">
      <c r="B27" s="68" t="s">
        <v>106</v>
      </c>
      <c r="C27" s="29">
        <v>800</v>
      </c>
      <c r="D27" s="68" t="s">
        <v>50</v>
      </c>
      <c r="E27" s="70"/>
      <c r="F27" s="67" t="str">
        <f>B17</f>
        <v>МГ</v>
      </c>
      <c r="G27" s="46">
        <f>POWER(G20,2)/$C$11</f>
        <v>2.4999999999999996</v>
      </c>
      <c r="H27" s="67" t="s">
        <v>5</v>
      </c>
      <c r="I27" s="70"/>
      <c r="R27" s="295" t="s">
        <v>93</v>
      </c>
      <c r="S27" s="295"/>
      <c r="T27" s="295"/>
      <c r="U27" s="23"/>
      <c r="V27" s="78">
        <f t="shared" si="15"/>
        <v>24</v>
      </c>
      <c r="W27" s="79">
        <f t="shared" si="21"/>
        <v>9.125</v>
      </c>
      <c r="X27" s="80">
        <f t="shared" si="22"/>
        <v>29.009561193855369</v>
      </c>
      <c r="Y27" s="80">
        <f t="shared" si="23"/>
        <v>128.20436262747921</v>
      </c>
      <c r="Z27" s="81">
        <f t="shared" si="3"/>
        <v>-53.733837632681912</v>
      </c>
      <c r="AA27" s="82">
        <f t="shared" si="1"/>
        <v>2.057349703662628</v>
      </c>
      <c r="AB27" s="82">
        <f t="shared" si="24"/>
        <v>2.9095318534639567</v>
      </c>
      <c r="AC27" s="82">
        <f t="shared" si="25"/>
        <v>17.184895205897906</v>
      </c>
      <c r="AD27" s="336"/>
      <c r="AE27" s="79">
        <v>5.86</v>
      </c>
      <c r="AF27" s="79">
        <v>6</v>
      </c>
      <c r="AG27" s="82">
        <f t="shared" si="6"/>
        <v>35.071214705914102</v>
      </c>
      <c r="AH27" s="82">
        <f t="shared" si="17"/>
        <v>4.3504794102094735E-2</v>
      </c>
      <c r="AI27" s="57">
        <f t="shared" si="7"/>
        <v>5.9220954657886171</v>
      </c>
      <c r="AJ27" s="57">
        <f t="shared" si="8"/>
        <v>5.9220954657886171</v>
      </c>
      <c r="AL27" s="40">
        <f t="shared" si="9"/>
        <v>-152.92863906630575</v>
      </c>
      <c r="AM27">
        <f t="shared" si="10"/>
        <v>2.2571896316712967E-5</v>
      </c>
      <c r="AQ27" s="78">
        <f t="shared" si="11"/>
        <v>24</v>
      </c>
      <c r="AR27" s="82">
        <f t="shared" si="12"/>
        <v>9.125</v>
      </c>
      <c r="AS27" s="85">
        <f t="shared" si="13"/>
        <v>5.86</v>
      </c>
      <c r="AT27" s="85">
        <f t="shared" si="14"/>
        <v>6</v>
      </c>
    </row>
    <row r="28" spans="1:46">
      <c r="B28" s="68" t="s">
        <v>107</v>
      </c>
      <c r="C28" s="42">
        <f>20*LOG10(C27*POWER(10,-12))</f>
        <v>-181.93820026016112</v>
      </c>
      <c r="D28" s="68" t="s">
        <v>108</v>
      </c>
      <c r="E28" s="70"/>
      <c r="F28" s="67" t="str">
        <f>B18</f>
        <v>СГ</v>
      </c>
      <c r="G28" s="46">
        <f>POWER(G21,2)/$C$11</f>
        <v>249.99999999999991</v>
      </c>
      <c r="H28" s="67" t="s">
        <v>5</v>
      </c>
      <c r="I28" s="70"/>
      <c r="J28" s="291" t="s">
        <v>79</v>
      </c>
      <c r="K28" s="291"/>
      <c r="L28" s="291"/>
      <c r="N28" s="291" t="s">
        <v>91</v>
      </c>
      <c r="O28" s="291"/>
      <c r="P28" s="291"/>
      <c r="R28" s="67" t="s">
        <v>48</v>
      </c>
      <c r="S28" s="32">
        <f>S26-S7</f>
        <v>97.217035982465305</v>
      </c>
      <c r="T28" s="67" t="s">
        <v>51</v>
      </c>
      <c r="U28" s="12"/>
      <c r="V28" s="78">
        <f t="shared" si="15"/>
        <v>25</v>
      </c>
      <c r="W28" s="79">
        <f t="shared" si="21"/>
        <v>9.5</v>
      </c>
      <c r="X28" s="80">
        <f t="shared" si="22"/>
        <v>29.542608158665431</v>
      </c>
      <c r="Y28" s="80">
        <f t="shared" si="23"/>
        <v>127.67131566266914</v>
      </c>
      <c r="Z28" s="81">
        <f t="shared" si="3"/>
        <v>-54.26688459749198</v>
      </c>
      <c r="AA28" s="82">
        <f t="shared" si="1"/>
        <v>1.9348877280357588</v>
      </c>
      <c r="AB28" s="82">
        <f t="shared" si="24"/>
        <v>2.7363444666574348</v>
      </c>
      <c r="AC28" s="82">
        <f t="shared" si="25"/>
        <v>18.272553258280819</v>
      </c>
      <c r="AD28" s="336"/>
      <c r="AE28" s="79">
        <v>5.86</v>
      </c>
      <c r="AF28" s="79">
        <v>6.34</v>
      </c>
      <c r="AG28" s="82">
        <f t="shared" si="6"/>
        <v>37.290925016899635</v>
      </c>
      <c r="AH28" s="82">
        <f t="shared" si="17"/>
        <v>-6.787725828082003E-2</v>
      </c>
      <c r="AI28" s="57">
        <f t="shared" si="7"/>
        <v>6.1066295955215457</v>
      </c>
      <c r="AJ28" s="57">
        <f t="shared" si="8"/>
        <v>6.1066295955215457</v>
      </c>
      <c r="AL28" s="40">
        <f t="shared" si="9"/>
        <v>-152.39559210149571</v>
      </c>
      <c r="AM28">
        <f t="shared" si="10"/>
        <v>2.4000505830607364E-5</v>
      </c>
      <c r="AQ28" s="78">
        <f t="shared" si="11"/>
        <v>25</v>
      </c>
      <c r="AR28" s="82">
        <f t="shared" si="12"/>
        <v>9.5</v>
      </c>
      <c r="AS28" s="85">
        <f t="shared" si="13"/>
        <v>5.86</v>
      </c>
      <c r="AT28" s="85">
        <f t="shared" si="14"/>
        <v>6.34</v>
      </c>
    </row>
    <row r="29" spans="1:46">
      <c r="E29" s="70"/>
      <c r="F29" s="67" t="str">
        <f>B19</f>
        <v>БГ</v>
      </c>
      <c r="G29" s="46">
        <f>POWER(G22,2)/$C$11</f>
        <v>562.49999999999989</v>
      </c>
      <c r="H29" s="67" t="s">
        <v>5</v>
      </c>
      <c r="I29" s="70"/>
      <c r="J29" s="71" t="s">
        <v>14</v>
      </c>
      <c r="K29" s="20">
        <v>15</v>
      </c>
      <c r="L29" s="67" t="s">
        <v>17</v>
      </c>
      <c r="N29" s="30" t="s">
        <v>40</v>
      </c>
      <c r="O29" s="29">
        <v>13</v>
      </c>
      <c r="P29" s="68" t="s">
        <v>11</v>
      </c>
      <c r="R29" s="295" t="s">
        <v>94</v>
      </c>
      <c r="S29" s="295"/>
      <c r="T29" s="295"/>
      <c r="U29" s="23"/>
      <c r="V29" s="78">
        <f t="shared" si="15"/>
        <v>26</v>
      </c>
      <c r="W29" s="79">
        <f t="shared" si="21"/>
        <v>9.875</v>
      </c>
      <c r="X29" s="80">
        <f t="shared" si="22"/>
        <v>30.055338128954936</v>
      </c>
      <c r="Y29" s="80">
        <f t="shared" si="23"/>
        <v>127.15858569237966</v>
      </c>
      <c r="Z29" s="81">
        <f t="shared" si="3"/>
        <v>-54.779614567781465</v>
      </c>
      <c r="AA29" s="82">
        <f t="shared" si="1"/>
        <v>1.8239766386190646</v>
      </c>
      <c r="AB29" s="82">
        <f t="shared" si="24"/>
        <v>2.5794924997867708</v>
      </c>
      <c r="AC29" s="82">
        <f t="shared" si="25"/>
        <v>19.383657833520804</v>
      </c>
      <c r="AD29" s="336"/>
      <c r="AE29" s="79">
        <v>6</v>
      </c>
      <c r="AF29" s="79">
        <v>6.54</v>
      </c>
      <c r="AG29" s="82">
        <f t="shared" si="6"/>
        <v>39.55848537453226</v>
      </c>
      <c r="AH29" s="82">
        <f t="shared" si="17"/>
        <v>-0.15605783352080849</v>
      </c>
      <c r="AI29" s="57">
        <f t="shared" si="7"/>
        <v>6.289553670534362</v>
      </c>
      <c r="AJ29" s="57">
        <f t="shared" si="8"/>
        <v>6.289553670534362</v>
      </c>
      <c r="AL29" s="40">
        <f t="shared" si="9"/>
        <v>-151.8828621312062</v>
      </c>
      <c r="AM29">
        <f t="shared" si="10"/>
        <v>2.5459911719840654E-5</v>
      </c>
      <c r="AQ29" s="78">
        <f t="shared" si="11"/>
        <v>26</v>
      </c>
      <c r="AR29" s="82">
        <f t="shared" si="12"/>
        <v>9.875</v>
      </c>
      <c r="AS29" s="85">
        <f t="shared" si="13"/>
        <v>6</v>
      </c>
      <c r="AT29" s="85">
        <f t="shared" si="14"/>
        <v>6.54</v>
      </c>
    </row>
    <row r="30" spans="1:46">
      <c r="E30" s="70"/>
      <c r="F30" s="67">
        <f>B20</f>
        <v>4</v>
      </c>
      <c r="G30" s="46">
        <f>POWER(G23,2)/$C$11</f>
        <v>359.99999999999989</v>
      </c>
      <c r="H30" s="67" t="s">
        <v>5</v>
      </c>
      <c r="I30" s="70"/>
      <c r="V30" s="78">
        <f t="shared" si="15"/>
        <v>27</v>
      </c>
      <c r="W30" s="79">
        <f t="shared" si="21"/>
        <v>10.25</v>
      </c>
      <c r="X30" s="80">
        <f t="shared" si="22"/>
        <v>30.549265961753196</v>
      </c>
      <c r="Y30" s="80">
        <f t="shared" si="23"/>
        <v>126.66465785958138</v>
      </c>
      <c r="Z30" s="81">
        <f t="shared" si="3"/>
        <v>-55.273542400579743</v>
      </c>
      <c r="AA30" s="82">
        <f t="shared" si="1"/>
        <v>1.7231491889828263</v>
      </c>
      <c r="AB30" s="82">
        <f t="shared" si="24"/>
        <v>2.4369009530517127</v>
      </c>
      <c r="AC30" s="82">
        <f t="shared" si="25"/>
        <v>20.517863041329349</v>
      </c>
      <c r="AD30" s="336"/>
      <c r="AE30" s="79">
        <v>6.18</v>
      </c>
      <c r="AF30" s="79">
        <v>6.72</v>
      </c>
      <c r="AG30" s="82">
        <f t="shared" si="6"/>
        <v>41.873189880263986</v>
      </c>
      <c r="AH30" s="82">
        <f t="shared" si="17"/>
        <v>-0.16835904132935298</v>
      </c>
      <c r="AI30" s="57">
        <f t="shared" si="7"/>
        <v>6.4709496892082221</v>
      </c>
      <c r="AJ30" s="57">
        <f t="shared" si="8"/>
        <v>6.4709496892082221</v>
      </c>
      <c r="AL30" s="40">
        <f t="shared" si="9"/>
        <v>-151.38893429840792</v>
      </c>
      <c r="AM30">
        <f t="shared" si="10"/>
        <v>2.694965966684839E-5</v>
      </c>
      <c r="AQ30" s="78">
        <f t="shared" si="11"/>
        <v>27</v>
      </c>
      <c r="AR30" s="82">
        <f t="shared" si="12"/>
        <v>10.25</v>
      </c>
      <c r="AS30" s="85">
        <f t="shared" si="13"/>
        <v>6.18</v>
      </c>
      <c r="AT30" s="85">
        <f t="shared" si="14"/>
        <v>6.72</v>
      </c>
    </row>
    <row r="31" spans="1:46">
      <c r="E31" s="70"/>
      <c r="F31" s="323" t="s">
        <v>75</v>
      </c>
      <c r="G31" s="323"/>
      <c r="H31" s="323"/>
      <c r="I31" s="70"/>
      <c r="J31" s="291" t="s">
        <v>116</v>
      </c>
      <c r="K31" s="291"/>
      <c r="L31" s="291"/>
      <c r="N31" s="291" t="s">
        <v>104</v>
      </c>
      <c r="O31" s="291"/>
      <c r="P31" s="291"/>
      <c r="R31" s="291" t="s">
        <v>95</v>
      </c>
      <c r="S31" s="291"/>
      <c r="T31" s="291"/>
      <c r="U31" s="12"/>
      <c r="V31" s="78">
        <f t="shared" si="15"/>
        <v>28</v>
      </c>
      <c r="W31" s="79">
        <f t="shared" si="21"/>
        <v>10.625</v>
      </c>
      <c r="X31" s="80">
        <f t="shared" si="22"/>
        <v>31.025743161670473</v>
      </c>
      <c r="Y31" s="80">
        <f t="shared" si="23"/>
        <v>126.18818065966411</v>
      </c>
      <c r="Z31" s="81">
        <f t="shared" si="3"/>
        <v>-55.750019600497012</v>
      </c>
      <c r="AA31" s="82">
        <f t="shared" si="1"/>
        <v>1.6311692283425177</v>
      </c>
      <c r="AB31" s="82">
        <f t="shared" si="24"/>
        <v>2.3068216452476444</v>
      </c>
      <c r="AC31" s="82">
        <f t="shared" si="25"/>
        <v>21.674844304936432</v>
      </c>
      <c r="AD31" s="336"/>
      <c r="AE31" s="79"/>
      <c r="AF31" s="79"/>
      <c r="AG31" s="82">
        <f t="shared" si="6"/>
        <v>44.234376132523337</v>
      </c>
      <c r="AH31" s="82">
        <f t="shared" si="17"/>
        <v>-21.674844304936432</v>
      </c>
      <c r="AI31" s="57">
        <f t="shared" si="7"/>
        <v>6.6508928823522133</v>
      </c>
      <c r="AJ31" s="57">
        <f t="shared" si="8"/>
        <v>6.6508928823522133</v>
      </c>
      <c r="AL31" s="40">
        <f t="shared" si="9"/>
        <v>-150.91245709849065</v>
      </c>
      <c r="AM31">
        <f t="shared" si="10"/>
        <v>2.8469323348798381E-5</v>
      </c>
      <c r="AQ31" s="78">
        <f t="shared" si="11"/>
        <v>28</v>
      </c>
      <c r="AR31" s="82">
        <f t="shared" si="12"/>
        <v>10.625</v>
      </c>
      <c r="AS31" s="85">
        <f t="shared" si="13"/>
        <v>0</v>
      </c>
      <c r="AT31" s="85">
        <f t="shared" si="14"/>
        <v>0</v>
      </c>
    </row>
    <row r="32" spans="1:46">
      <c r="E32" s="70"/>
      <c r="F32" s="291" t="s">
        <v>55</v>
      </c>
      <c r="G32" s="291"/>
      <c r="H32" s="291"/>
      <c r="I32" s="70"/>
      <c r="J32" s="71" t="s">
        <v>117</v>
      </c>
      <c r="K32" s="20">
        <v>1000</v>
      </c>
      <c r="L32" s="67" t="s">
        <v>118</v>
      </c>
      <c r="N32" s="67" t="s">
        <v>130</v>
      </c>
      <c r="O32" s="20">
        <v>500</v>
      </c>
      <c r="P32" s="67" t="s">
        <v>30</v>
      </c>
      <c r="R32" s="67" t="s">
        <v>33</v>
      </c>
      <c r="S32" s="48">
        <f>O22/C7*(POWER((O29*1000)/G16,0.5))</f>
        <v>7.2585821958572355E-2</v>
      </c>
      <c r="T32" s="67" t="s">
        <v>23</v>
      </c>
      <c r="U32" s="12"/>
      <c r="V32" s="78">
        <f t="shared" si="15"/>
        <v>29</v>
      </c>
      <c r="W32" s="79">
        <f t="shared" si="21"/>
        <v>11</v>
      </c>
      <c r="X32" s="80">
        <f t="shared" si="22"/>
        <v>31.485980554746753</v>
      </c>
      <c r="Y32" s="80">
        <f t="shared" si="23"/>
        <v>125.72794326658783</v>
      </c>
      <c r="Z32" s="81">
        <f t="shared" si="3"/>
        <v>-56.210256993573296</v>
      </c>
      <c r="AA32" s="82">
        <f t="shared" si="1"/>
        <v>1.5469887317748732</v>
      </c>
      <c r="AB32" s="82">
        <f t="shared" si="24"/>
        <v>2.1877724453143799</v>
      </c>
      <c r="AC32" s="82">
        <f t="shared" si="25"/>
        <v>22.854296436124585</v>
      </c>
      <c r="AD32" s="336"/>
      <c r="AE32" s="79"/>
      <c r="AF32" s="79"/>
      <c r="AG32" s="82">
        <f t="shared" si="6"/>
        <v>46.641421298213444</v>
      </c>
      <c r="AH32" s="82">
        <f t="shared" si="17"/>
        <v>-22.854296436124585</v>
      </c>
      <c r="AI32" s="57">
        <f t="shared" si="7"/>
        <v>6.8294524889052006</v>
      </c>
      <c r="AJ32" s="57">
        <f t="shared" si="8"/>
        <v>6.8294524889052006</v>
      </c>
      <c r="AL32" s="40">
        <f t="shared" si="9"/>
        <v>-150.45221970541436</v>
      </c>
      <c r="AM32">
        <f t="shared" si="10"/>
        <v>3.0018501909198755E-5</v>
      </c>
      <c r="AQ32" s="78">
        <f t="shared" si="11"/>
        <v>29</v>
      </c>
      <c r="AR32" s="82">
        <f t="shared" si="12"/>
        <v>11</v>
      </c>
      <c r="AS32" s="85">
        <f t="shared" si="13"/>
        <v>0</v>
      </c>
      <c r="AT32" s="85">
        <f t="shared" si="14"/>
        <v>0</v>
      </c>
    </row>
    <row r="33" spans="5:46">
      <c r="E33" s="70"/>
      <c r="F33" s="67" t="str">
        <f>B17</f>
        <v>МГ</v>
      </c>
      <c r="G33" s="46">
        <f>G27*$C$13</f>
        <v>0.99999999999999989</v>
      </c>
      <c r="H33" s="67" t="s">
        <v>5</v>
      </c>
      <c r="I33" s="70"/>
      <c r="N33" s="71" t="s">
        <v>132</v>
      </c>
      <c r="O33" s="38">
        <f>K25*(O32/1000000)/2</f>
        <v>0.375</v>
      </c>
      <c r="P33" s="67" t="s">
        <v>7</v>
      </c>
      <c r="R33" s="68" t="s">
        <v>48</v>
      </c>
      <c r="S33" s="49">
        <f>20*LOG10(S32*1000000)</f>
        <v>97.217035982465319</v>
      </c>
      <c r="T33" s="68" t="s">
        <v>51</v>
      </c>
      <c r="U33" s="23"/>
      <c r="V33" s="78">
        <f t="shared" si="15"/>
        <v>30</v>
      </c>
      <c r="W33" s="79">
        <f t="shared" si="21"/>
        <v>11.375</v>
      </c>
      <c r="X33" s="80">
        <f t="shared" si="22"/>
        <v>31.931067159874502</v>
      </c>
      <c r="Y33" s="80">
        <f t="shared" si="23"/>
        <v>125.28285666146007</v>
      </c>
      <c r="Z33" s="81">
        <f t="shared" si="3"/>
        <v>-56.655343598701052</v>
      </c>
      <c r="AA33" s="82">
        <f t="shared" si="1"/>
        <v>1.4697139625255491</v>
      </c>
      <c r="AB33" s="82">
        <f t="shared" si="24"/>
        <v>2.0784894186127345</v>
      </c>
      <c r="AC33" s="82">
        <f t="shared" si="25"/>
        <v>24.05593194377288</v>
      </c>
      <c r="AD33" s="336"/>
      <c r="AE33" s="79"/>
      <c r="AF33" s="79"/>
      <c r="AG33" s="82">
        <f t="shared" si="6"/>
        <v>49.093738660760984</v>
      </c>
      <c r="AH33" s="82">
        <f t="shared" si="17"/>
        <v>-24.05593194377288</v>
      </c>
      <c r="AI33" s="57">
        <f t="shared" si="7"/>
        <v>7.006692419448779</v>
      </c>
      <c r="AJ33" s="57">
        <f t="shared" si="8"/>
        <v>7.006692419448779</v>
      </c>
      <c r="AL33" s="40">
        <f t="shared" si="9"/>
        <v>-150.00713310028664</v>
      </c>
      <c r="AM33">
        <f t="shared" si="10"/>
        <v>3.1596817736216855E-5</v>
      </c>
      <c r="AQ33" s="78">
        <f t="shared" si="11"/>
        <v>30</v>
      </c>
      <c r="AR33" s="82">
        <f t="shared" si="12"/>
        <v>11.375</v>
      </c>
      <c r="AS33" s="85">
        <f t="shared" si="13"/>
        <v>0</v>
      </c>
      <c r="AT33" s="85">
        <f t="shared" si="14"/>
        <v>0</v>
      </c>
    </row>
    <row r="34" spans="5:46">
      <c r="F34" s="67" t="str">
        <f>B18</f>
        <v>СГ</v>
      </c>
      <c r="G34" s="46">
        <f t="shared" ref="G34:G36" si="26">G28*$C$13</f>
        <v>99.999999999999972</v>
      </c>
      <c r="H34" s="67" t="s">
        <v>5</v>
      </c>
      <c r="J34" s="291" t="s">
        <v>119</v>
      </c>
      <c r="K34" s="291"/>
      <c r="L34" s="291"/>
      <c r="N34" s="67" t="s">
        <v>131</v>
      </c>
      <c r="O34" s="20">
        <v>1</v>
      </c>
      <c r="P34" s="67" t="s">
        <v>129</v>
      </c>
      <c r="R34" s="291" t="s">
        <v>96</v>
      </c>
      <c r="S34" s="291"/>
      <c r="T34" s="291"/>
      <c r="U34" s="12"/>
      <c r="V34" s="78">
        <f t="shared" si="15"/>
        <v>31</v>
      </c>
      <c r="W34" s="79">
        <f t="shared" si="21"/>
        <v>11.75</v>
      </c>
      <c r="X34" s="80">
        <f t="shared" si="22"/>
        <v>32.361985998232647</v>
      </c>
      <c r="Y34" s="80">
        <f t="shared" si="23"/>
        <v>124.85193782310193</v>
      </c>
      <c r="Z34" s="81">
        <f t="shared" si="3"/>
        <v>-57.08626243705919</v>
      </c>
      <c r="AA34" s="82">
        <f t="shared" si="1"/>
        <v>1.3985785981971599</v>
      </c>
      <c r="AB34" s="82">
        <f t="shared" si="24"/>
        <v>1.9778888216151751</v>
      </c>
      <c r="AC34" s="82">
        <f t="shared" si="25"/>
        <v>25.279479540801091</v>
      </c>
      <c r="AD34" s="336"/>
      <c r="AE34" s="79"/>
      <c r="AF34" s="79"/>
      <c r="AG34" s="82">
        <f t="shared" si="6"/>
        <v>51.590774573063456</v>
      </c>
      <c r="AH34" s="82">
        <f t="shared" si="17"/>
        <v>-25.279479540801091</v>
      </c>
      <c r="AI34" s="57">
        <f t="shared" si="7"/>
        <v>7.1826718269083862</v>
      </c>
      <c r="AJ34" s="57">
        <f t="shared" si="8"/>
        <v>7.1826718269083862</v>
      </c>
      <c r="AL34" s="40">
        <f t="shared" si="9"/>
        <v>-149.57621426192847</v>
      </c>
      <c r="AM34">
        <f t="shared" si="10"/>
        <v>3.3203914501590699E-5</v>
      </c>
      <c r="AQ34" s="78">
        <f t="shared" si="11"/>
        <v>31</v>
      </c>
      <c r="AR34" s="82">
        <f t="shared" si="12"/>
        <v>11.75</v>
      </c>
      <c r="AS34" s="85">
        <f t="shared" si="13"/>
        <v>0</v>
      </c>
      <c r="AT34" s="85">
        <f t="shared" si="14"/>
        <v>0</v>
      </c>
    </row>
    <row r="35" spans="5:46">
      <c r="F35" s="67" t="str">
        <f>B19</f>
        <v>БГ</v>
      </c>
      <c r="G35" s="46">
        <f t="shared" si="26"/>
        <v>224.99999999999997</v>
      </c>
      <c r="H35" s="67" t="s">
        <v>5</v>
      </c>
      <c r="J35" s="71" t="s">
        <v>120</v>
      </c>
      <c r="K35" s="38">
        <f>K32*K25</f>
        <v>1500000</v>
      </c>
      <c r="L35" s="67" t="s">
        <v>121</v>
      </c>
      <c r="N35" s="16" t="s">
        <v>133</v>
      </c>
      <c r="O35" s="38">
        <f>K25*(O34/1000)/2</f>
        <v>0.75</v>
      </c>
      <c r="P35" s="67" t="s">
        <v>7</v>
      </c>
      <c r="V35" s="78">
        <f t="shared" si="15"/>
        <v>32</v>
      </c>
      <c r="W35" s="79">
        <f t="shared" si="21"/>
        <v>12.125</v>
      </c>
      <c r="X35" s="80">
        <f t="shared" si="22"/>
        <v>32.779627418229033</v>
      </c>
      <c r="Y35" s="80">
        <f t="shared" si="23"/>
        <v>124.43429640310555</v>
      </c>
      <c r="Z35" s="81">
        <f t="shared" si="3"/>
        <v>-57.503903857055576</v>
      </c>
      <c r="AA35" s="82">
        <f t="shared" si="1"/>
        <v>1.3329222180864784</v>
      </c>
      <c r="AB35" s="82">
        <f t="shared" si="24"/>
        <v>1.8850366784063262</v>
      </c>
      <c r="AC35" s="82">
        <f t="shared" si="25"/>
        <v>26.524682820639697</v>
      </c>
      <c r="AD35" s="336"/>
      <c r="AE35" s="79"/>
      <c r="AF35" s="79"/>
      <c r="AG35" s="82">
        <f t="shared" si="6"/>
        <v>54.132005756407551</v>
      </c>
      <c r="AH35" s="82">
        <f t="shared" si="17"/>
        <v>-26.524682820639697</v>
      </c>
      <c r="AI35" s="57">
        <f t="shared" si="7"/>
        <v>7.3574455999625004</v>
      </c>
      <c r="AJ35" s="57">
        <f t="shared" si="8"/>
        <v>7.3574455999625004</v>
      </c>
      <c r="AL35" s="40">
        <f t="shared" si="9"/>
        <v>-149.15857284193208</v>
      </c>
      <c r="AM35">
        <f t="shared" si="10"/>
        <v>3.4839455422206982E-5</v>
      </c>
      <c r="AQ35" s="78">
        <f t="shared" si="11"/>
        <v>32</v>
      </c>
      <c r="AR35" s="82">
        <f t="shared" si="12"/>
        <v>12.125</v>
      </c>
      <c r="AS35" s="85">
        <f t="shared" si="13"/>
        <v>0</v>
      </c>
      <c r="AT35" s="85">
        <f t="shared" si="14"/>
        <v>0</v>
      </c>
    </row>
    <row r="36" spans="5:46">
      <c r="F36" s="67">
        <f>B20</f>
        <v>4</v>
      </c>
      <c r="G36" s="46">
        <f t="shared" si="26"/>
        <v>143.99999999999997</v>
      </c>
      <c r="H36" s="67" t="s">
        <v>5</v>
      </c>
      <c r="N36" s="67" t="s">
        <v>134</v>
      </c>
      <c r="O36" s="20">
        <v>2</v>
      </c>
      <c r="P36" s="67" t="s">
        <v>129</v>
      </c>
      <c r="R36" s="291" t="s">
        <v>109</v>
      </c>
      <c r="S36" s="291"/>
      <c r="T36" s="291"/>
      <c r="U36" s="12"/>
      <c r="V36" s="78">
        <f t="shared" si="15"/>
        <v>33</v>
      </c>
      <c r="W36" s="79">
        <f t="shared" si="21"/>
        <v>12.5</v>
      </c>
      <c r="X36" s="80">
        <f t="shared" si="22"/>
        <v>33.184800390241698</v>
      </c>
      <c r="Y36" s="80">
        <f t="shared" si="23"/>
        <v>124.0291234310929</v>
      </c>
      <c r="Z36" s="81">
        <f t="shared" si="3"/>
        <v>-57.909076829068226</v>
      </c>
      <c r="AA36" s="82">
        <f t="shared" ref="AA36:AA67" si="27">POWER(10,0.05*Z36)*1000</f>
        <v>1.2721729545070228</v>
      </c>
      <c r="AB36" s="82">
        <f t="shared" si="24"/>
        <v>1.7991242459480823</v>
      </c>
      <c r="AC36" s="82">
        <f t="shared" si="25"/>
        <v>27.791299079320428</v>
      </c>
      <c r="AD36" s="336"/>
      <c r="AE36" s="79"/>
      <c r="AF36" s="79"/>
      <c r="AG36" s="82">
        <f t="shared" si="6"/>
        <v>56.716936896572307</v>
      </c>
      <c r="AH36" s="82">
        <f t="shared" si="17"/>
        <v>-27.791299079320428</v>
      </c>
      <c r="AI36" s="57">
        <f t="shared" si="7"/>
        <v>7.5310647916859876</v>
      </c>
      <c r="AJ36" s="57">
        <f t="shared" si="8"/>
        <v>7.5310647916859876</v>
      </c>
      <c r="AL36" s="40">
        <f t="shared" si="9"/>
        <v>-148.75339986991943</v>
      </c>
      <c r="AM36">
        <f t="shared" si="10"/>
        <v>3.6503121712949885E-5</v>
      </c>
      <c r="AQ36" s="78">
        <f t="shared" si="11"/>
        <v>33</v>
      </c>
      <c r="AR36" s="82">
        <f t="shared" si="12"/>
        <v>12.5</v>
      </c>
      <c r="AS36" s="85">
        <f t="shared" si="13"/>
        <v>0</v>
      </c>
      <c r="AT36" s="85">
        <f t="shared" si="14"/>
        <v>0</v>
      </c>
    </row>
    <row r="37" spans="5:46">
      <c r="N37" s="16" t="s">
        <v>135</v>
      </c>
      <c r="O37" s="38">
        <f>K25*(O36/1000)/2</f>
        <v>1.5</v>
      </c>
      <c r="P37" s="67" t="s">
        <v>7</v>
      </c>
      <c r="R37" s="71" t="s">
        <v>110</v>
      </c>
      <c r="S37" s="50">
        <f>10*LOG10(G7/(2*PI()*(C9/200)))+6.9</f>
        <v>-5.0611987703015267</v>
      </c>
      <c r="T37" s="67" t="s">
        <v>113</v>
      </c>
      <c r="U37" s="12"/>
      <c r="V37" s="78">
        <f t="shared" si="15"/>
        <v>34</v>
      </c>
      <c r="W37" s="79">
        <f t="shared" si="21"/>
        <v>12.875</v>
      </c>
      <c r="X37" s="80">
        <f t="shared" si="22"/>
        <v>33.578242131396863</v>
      </c>
      <c r="Y37" s="80">
        <f t="shared" si="23"/>
        <v>123.63568168993771</v>
      </c>
      <c r="Z37" s="81">
        <f t="shared" si="3"/>
        <v>-58.302518570223413</v>
      </c>
      <c r="AA37" s="82">
        <f t="shared" si="27"/>
        <v>1.2158334051224509</v>
      </c>
      <c r="AB37" s="82">
        <f t="shared" si="24"/>
        <v>1.7194480911104317</v>
      </c>
      <c r="AC37" s="82">
        <f t="shared" si="25"/>
        <v>29.079098263274496</v>
      </c>
      <c r="AD37" s="336"/>
      <c r="AE37" s="79"/>
      <c r="AF37" s="79"/>
      <c r="AG37" s="82">
        <f t="shared" si="6"/>
        <v>59.34509849647857</v>
      </c>
      <c r="AH37" s="82">
        <f t="shared" si="17"/>
        <v>-29.079098263274496</v>
      </c>
      <c r="AI37" s="57">
        <f t="shared" si="7"/>
        <v>7.7035769936100831</v>
      </c>
      <c r="AJ37" s="57">
        <f t="shared" si="8"/>
        <v>7.7035769936100831</v>
      </c>
      <c r="AL37" s="40">
        <f t="shared" si="9"/>
        <v>-148.35995812876428</v>
      </c>
      <c r="AM37">
        <f t="shared" si="10"/>
        <v>3.8194611204662485E-5</v>
      </c>
      <c r="AQ37" s="78">
        <f t="shared" si="11"/>
        <v>34</v>
      </c>
      <c r="AR37" s="82">
        <f t="shared" si="12"/>
        <v>12.875</v>
      </c>
      <c r="AS37" s="85">
        <f t="shared" si="13"/>
        <v>0</v>
      </c>
      <c r="AT37" s="85">
        <f t="shared" si="14"/>
        <v>0</v>
      </c>
    </row>
    <row r="38" spans="5:46">
      <c r="J38" s="70"/>
      <c r="K38" s="70"/>
      <c r="L38" s="70"/>
      <c r="R38" s="295" t="s">
        <v>111</v>
      </c>
      <c r="S38" s="295"/>
      <c r="T38" s="295"/>
      <c r="U38" s="23"/>
      <c r="V38" s="78">
        <f t="shared" si="15"/>
        <v>35</v>
      </c>
      <c r="W38" s="79">
        <f t="shared" si="21"/>
        <v>13.25</v>
      </c>
      <c r="X38" s="80">
        <f t="shared" si="22"/>
        <v>33.960626348184803</v>
      </c>
      <c r="Y38" s="80">
        <f t="shared" si="23"/>
        <v>123.25329747314979</v>
      </c>
      <c r="Z38" s="81">
        <f t="shared" si="3"/>
        <v>-58.684902787011339</v>
      </c>
      <c r="AA38" s="82">
        <f t="shared" si="27"/>
        <v>1.1634691189825581</v>
      </c>
      <c r="AB38" s="82">
        <f t="shared" si="24"/>
        <v>1.6453938074674099</v>
      </c>
      <c r="AC38" s="82">
        <f t="shared" si="25"/>
        <v>30.387862026149229</v>
      </c>
      <c r="AD38" s="336"/>
      <c r="AE38" s="79"/>
      <c r="AF38" s="79"/>
      <c r="AG38" s="82">
        <f t="shared" si="6"/>
        <v>62.016044951324965</v>
      </c>
      <c r="AH38" s="82">
        <f t="shared" si="17"/>
        <v>-30.387862026149229</v>
      </c>
      <c r="AI38" s="57">
        <f t="shared" si="7"/>
        <v>7.8750266635310489</v>
      </c>
      <c r="AJ38" s="57">
        <f t="shared" si="8"/>
        <v>7.8750266635310489</v>
      </c>
      <c r="AL38" s="40">
        <f t="shared" si="9"/>
        <v>-147.97757391197632</v>
      </c>
      <c r="AM38">
        <f t="shared" si="10"/>
        <v>3.9913637105300051E-5</v>
      </c>
      <c r="AQ38" s="78">
        <f t="shared" si="11"/>
        <v>35</v>
      </c>
      <c r="AR38" s="82">
        <f t="shared" si="12"/>
        <v>13.25</v>
      </c>
      <c r="AS38" s="85">
        <f t="shared" si="13"/>
        <v>0</v>
      </c>
      <c r="AT38" s="85">
        <f t="shared" si="14"/>
        <v>0</v>
      </c>
    </row>
    <row r="39" spans="5:46">
      <c r="R39" s="67" t="s">
        <v>115</v>
      </c>
      <c r="S39" s="38">
        <f>1*POWER(10,0.1*S37)</f>
        <v>0.31180288049680283</v>
      </c>
      <c r="T39" s="67" t="s">
        <v>19</v>
      </c>
      <c r="U39" s="12"/>
      <c r="V39" s="78">
        <f t="shared" si="15"/>
        <v>36</v>
      </c>
      <c r="W39" s="79">
        <f t="shared" si="21"/>
        <v>13.625</v>
      </c>
      <c r="X39" s="80">
        <f t="shared" si="22"/>
        <v>34.332570328460406</v>
      </c>
      <c r="Y39" s="80">
        <f t="shared" si="23"/>
        <v>122.88135349287418</v>
      </c>
      <c r="Z39" s="81">
        <f t="shared" si="3"/>
        <v>-59.056846767286942</v>
      </c>
      <c r="AA39" s="82">
        <f t="shared" si="27"/>
        <v>1.1146991286273897</v>
      </c>
      <c r="AB39" s="82">
        <f t="shared" si="24"/>
        <v>1.5764226256703258</v>
      </c>
      <c r="AC39" s="82">
        <f t="shared" si="25"/>
        <v>31.717382880583195</v>
      </c>
      <c r="AD39" s="336"/>
      <c r="AE39" s="79"/>
      <c r="AF39" s="79"/>
      <c r="AG39" s="82">
        <f t="shared" si="6"/>
        <v>64.729352817516727</v>
      </c>
      <c r="AH39" s="82">
        <f t="shared" si="17"/>
        <v>-31.717382880583195</v>
      </c>
      <c r="AI39" s="57">
        <f t="shared" si="7"/>
        <v>8.0454554139288295</v>
      </c>
      <c r="AJ39" s="57">
        <f t="shared" si="8"/>
        <v>8.0454554139288295</v>
      </c>
      <c r="AL39" s="40">
        <f t="shared" si="9"/>
        <v>-147.60562993170072</v>
      </c>
      <c r="AM39">
        <f t="shared" si="10"/>
        <v>4.1659926885809833E-5</v>
      </c>
      <c r="AQ39" s="78">
        <f t="shared" si="11"/>
        <v>36</v>
      </c>
      <c r="AR39" s="82">
        <f t="shared" si="12"/>
        <v>13.625</v>
      </c>
      <c r="AS39" s="85">
        <f t="shared" si="13"/>
        <v>0</v>
      </c>
      <c r="AT39" s="85">
        <f t="shared" si="14"/>
        <v>0</v>
      </c>
    </row>
    <row r="40" spans="5:46">
      <c r="V40" s="78">
        <f t="shared" si="15"/>
        <v>37</v>
      </c>
      <c r="W40" s="79">
        <f t="shared" si="21"/>
        <v>14</v>
      </c>
      <c r="X40" s="80">
        <f t="shared" si="22"/>
        <v>34.694641070347139</v>
      </c>
      <c r="Y40" s="80">
        <f t="shared" si="23"/>
        <v>122.51928275098746</v>
      </c>
      <c r="Z40" s="81">
        <f t="shared" si="3"/>
        <v>-59.418917509173667</v>
      </c>
      <c r="AA40" s="82">
        <f t="shared" si="27"/>
        <v>1.0691881199455138</v>
      </c>
      <c r="AB40" s="82">
        <f t="shared" si="24"/>
        <v>1.5120603399551371</v>
      </c>
      <c r="AC40" s="82">
        <f t="shared" si="25"/>
        <v>33.067463433029069</v>
      </c>
      <c r="AD40" s="336"/>
      <c r="AE40" s="79"/>
      <c r="AF40" s="79"/>
      <c r="AG40" s="82">
        <f t="shared" si="6"/>
        <v>67.484619251079735</v>
      </c>
      <c r="AH40" s="82">
        <f t="shared" si="17"/>
        <v>-33.067463433029069</v>
      </c>
      <c r="AI40" s="57">
        <f t="shared" si="7"/>
        <v>8.2149022666785108</v>
      </c>
      <c r="AJ40" s="57">
        <f t="shared" si="8"/>
        <v>8.2149022666785108</v>
      </c>
      <c r="AL40" s="40">
        <f t="shared" si="9"/>
        <v>-147.24355918981399</v>
      </c>
      <c r="AM40">
        <f t="shared" si="10"/>
        <v>4.3433221275091812E-5</v>
      </c>
      <c r="AQ40" s="78">
        <f t="shared" si="11"/>
        <v>37</v>
      </c>
      <c r="AR40" s="82">
        <f t="shared" si="12"/>
        <v>14</v>
      </c>
      <c r="AS40" s="85">
        <f t="shared" si="13"/>
        <v>0</v>
      </c>
      <c r="AT40" s="85">
        <f t="shared" si="14"/>
        <v>0</v>
      </c>
    </row>
    <row r="41" spans="5:46">
      <c r="R41" s="286" t="s">
        <v>126</v>
      </c>
      <c r="S41" s="289"/>
      <c r="T41" s="287"/>
      <c r="U41" s="23"/>
      <c r="V41" s="78">
        <f t="shared" si="15"/>
        <v>38</v>
      </c>
      <c r="W41" s="79">
        <f t="shared" si="21"/>
        <v>14.375</v>
      </c>
      <c r="X41" s="80">
        <f t="shared" si="22"/>
        <v>35.047360600850041</v>
      </c>
      <c r="Y41" s="80">
        <f t="shared" si="23"/>
        <v>122.16656322048453</v>
      </c>
      <c r="Z41" s="81">
        <f t="shared" si="3"/>
        <v>-59.771637039676591</v>
      </c>
      <c r="AA41" s="82">
        <f t="shared" si="27"/>
        <v>1.0266399214184772</v>
      </c>
      <c r="AB41" s="82">
        <f t="shared" si="24"/>
        <v>1.451888100543659</v>
      </c>
      <c r="AC41" s="82">
        <f t="shared" si="25"/>
        <v>34.437915691489941</v>
      </c>
      <c r="AD41" s="336"/>
      <c r="AE41" s="79"/>
      <c r="AF41" s="79"/>
      <c r="AG41" s="82">
        <f t="shared" si="6"/>
        <v>70.281460594877444</v>
      </c>
      <c r="AH41" s="82">
        <f t="shared" si="17"/>
        <v>-34.437915691489941</v>
      </c>
      <c r="AI41" s="57">
        <f t="shared" si="7"/>
        <v>8.3834038787879859</v>
      </c>
      <c r="AJ41" s="57">
        <f t="shared" si="8"/>
        <v>8.3834038787879859</v>
      </c>
      <c r="AL41" s="40">
        <f t="shared" si="9"/>
        <v>-146.8908396593111</v>
      </c>
      <c r="AM41">
        <f t="shared" si="10"/>
        <v>4.5233273350728953E-5</v>
      </c>
      <c r="AQ41" s="78">
        <f t="shared" si="11"/>
        <v>38</v>
      </c>
      <c r="AR41" s="82">
        <f t="shared" si="12"/>
        <v>14.375</v>
      </c>
      <c r="AS41" s="85">
        <f t="shared" si="13"/>
        <v>0</v>
      </c>
      <c r="AT41" s="85">
        <f t="shared" si="14"/>
        <v>0</v>
      </c>
    </row>
    <row r="42" spans="5:46">
      <c r="R42" s="67">
        <v>1</v>
      </c>
      <c r="S42" s="50">
        <f>10*LOG10(K15/1000000)</f>
        <v>-36.197887582883943</v>
      </c>
      <c r="T42" s="67" t="s">
        <v>114</v>
      </c>
      <c r="U42" s="12"/>
      <c r="V42" s="78">
        <f t="shared" si="15"/>
        <v>39</v>
      </c>
      <c r="W42" s="79">
        <f t="shared" si="21"/>
        <v>14.75</v>
      </c>
      <c r="X42" s="80">
        <f t="shared" si="22"/>
        <v>35.39121060942545</v>
      </c>
      <c r="Y42" s="80">
        <f t="shared" si="23"/>
        <v>121.82271321190913</v>
      </c>
      <c r="Z42" s="81">
        <f t="shared" si="3"/>
        <v>-60.115487048251993</v>
      </c>
      <c r="AA42" s="82">
        <f t="shared" si="27"/>
        <v>0.9867920627455824</v>
      </c>
      <c r="AB42" s="82">
        <f t="shared" si="24"/>
        <v>1.3955347183769249</v>
      </c>
      <c r="AC42" s="82">
        <f t="shared" si="25"/>
        <v>35.828560437502013</v>
      </c>
      <c r="AD42" s="336"/>
      <c r="AE42" s="79"/>
      <c r="AF42" s="79"/>
      <c r="AG42" s="82">
        <f t="shared" si="6"/>
        <v>73.119511096942887</v>
      </c>
      <c r="AH42" s="82">
        <f t="shared" si="17"/>
        <v>-35.828560437502013</v>
      </c>
      <c r="AI42" s="57">
        <f t="shared" si="7"/>
        <v>8.5509947431245035</v>
      </c>
      <c r="AJ42" s="57">
        <f t="shared" si="8"/>
        <v>8.5509947431245035</v>
      </c>
      <c r="AL42" s="40">
        <f t="shared" si="9"/>
        <v>-146.54698965073567</v>
      </c>
      <c r="AM42">
        <f t="shared" si="10"/>
        <v>4.7059847714103278E-5</v>
      </c>
      <c r="AQ42" s="78">
        <f t="shared" si="11"/>
        <v>39</v>
      </c>
      <c r="AR42" s="82">
        <f t="shared" si="12"/>
        <v>14.75</v>
      </c>
      <c r="AS42" s="85">
        <f t="shared" si="13"/>
        <v>0</v>
      </c>
      <c r="AT42" s="85">
        <f t="shared" si="14"/>
        <v>0</v>
      </c>
    </row>
    <row r="43" spans="5:46">
      <c r="R43" s="67">
        <v>2</v>
      </c>
      <c r="S43" s="50">
        <f>10*LOG10(K16/1000000)</f>
        <v>-26.989700043360187</v>
      </c>
      <c r="T43" s="67" t="s">
        <v>114</v>
      </c>
      <c r="U43" s="12"/>
      <c r="V43" s="78">
        <f t="shared" si="15"/>
        <v>40</v>
      </c>
      <c r="W43" s="79">
        <f t="shared" si="21"/>
        <v>15.125</v>
      </c>
      <c r="X43" s="80">
        <f t="shared" si="22"/>
        <v>35.726636499735193</v>
      </c>
      <c r="Y43" s="80">
        <f t="shared" si="23"/>
        <v>121.48728732159941</v>
      </c>
      <c r="Z43" s="81">
        <f t="shared" si="3"/>
        <v>-60.450912938561714</v>
      </c>
      <c r="AA43" s="82">
        <f t="shared" si="27"/>
        <v>0.94941120520430278</v>
      </c>
      <c r="AB43" s="82">
        <f t="shared" si="24"/>
        <v>1.3426702026689106</v>
      </c>
      <c r="AC43" s="82">
        <f t="shared" si="25"/>
        <v>37.239226654923776</v>
      </c>
      <c r="AD43" s="336"/>
      <c r="AE43" s="79"/>
      <c r="AF43" s="79"/>
      <c r="AG43" s="82">
        <f t="shared" si="6"/>
        <v>75.998421744742416</v>
      </c>
      <c r="AH43" s="82">
        <f t="shared" si="17"/>
        <v>-37.239226654923776</v>
      </c>
      <c r="AI43" s="57">
        <f t="shared" si="7"/>
        <v>8.7177073674643619</v>
      </c>
      <c r="AJ43" s="57">
        <f t="shared" si="8"/>
        <v>8.7177073674643619</v>
      </c>
      <c r="AL43" s="40">
        <f t="shared" si="9"/>
        <v>-146.21156376042592</v>
      </c>
      <c r="AM43">
        <f t="shared" si="10"/>
        <v>4.8912719740125865E-5</v>
      </c>
      <c r="AQ43" s="78">
        <f t="shared" si="11"/>
        <v>40</v>
      </c>
      <c r="AR43" s="82">
        <f t="shared" si="12"/>
        <v>15.125</v>
      </c>
      <c r="AS43" s="85">
        <f t="shared" si="13"/>
        <v>0</v>
      </c>
      <c r="AT43" s="85">
        <f t="shared" si="14"/>
        <v>0</v>
      </c>
    </row>
    <row r="44" spans="5:46">
      <c r="R44" s="67">
        <v>3</v>
      </c>
      <c r="S44" s="50">
        <f>10*LOG10(K17/1000000)</f>
        <v>-17.695510786217262</v>
      </c>
      <c r="T44" s="67" t="s">
        <v>114</v>
      </c>
      <c r="U44" s="12"/>
      <c r="V44" s="78">
        <f t="shared" si="15"/>
        <v>41</v>
      </c>
      <c r="W44" s="79">
        <f t="shared" si="21"/>
        <v>15.5</v>
      </c>
      <c r="X44" s="80">
        <f t="shared" si="22"/>
        <v>36.054050945108742</v>
      </c>
      <c r="Y44" s="80">
        <f t="shared" si="23"/>
        <v>121.15987287622585</v>
      </c>
      <c r="Z44" s="81">
        <f t="shared" si="3"/>
        <v>-60.778327383935277</v>
      </c>
      <c r="AA44" s="82">
        <f t="shared" si="27"/>
        <v>0.91428928650184882</v>
      </c>
      <c r="AB44" s="82">
        <f t="shared" si="24"/>
        <v>1.2930003089033351</v>
      </c>
      <c r="AC44" s="82">
        <f t="shared" si="25"/>
        <v>38.669751009114421</v>
      </c>
      <c r="AD44" s="336"/>
      <c r="AE44" s="79"/>
      <c r="AF44" s="79"/>
      <c r="AG44" s="82">
        <f t="shared" si="6"/>
        <v>78.917859202274343</v>
      </c>
      <c r="AH44" s="82">
        <f t="shared" si="17"/>
        <v>-38.669751009114421</v>
      </c>
      <c r="AI44" s="57">
        <f t="shared" si="7"/>
        <v>8.8835724346838276</v>
      </c>
      <c r="AJ44" s="57">
        <f t="shared" si="8"/>
        <v>8.8835724346838276</v>
      </c>
      <c r="AL44" s="40">
        <f t="shared" si="9"/>
        <v>-145.88414931505238</v>
      </c>
      <c r="AM44">
        <f t="shared" si="10"/>
        <v>5.0791674893151058E-5</v>
      </c>
      <c r="AQ44" s="78">
        <f t="shared" si="11"/>
        <v>41</v>
      </c>
      <c r="AR44" s="82">
        <f t="shared" si="12"/>
        <v>15.5</v>
      </c>
      <c r="AS44" s="85">
        <f t="shared" si="13"/>
        <v>0</v>
      </c>
      <c r="AT44" s="85">
        <f t="shared" si="14"/>
        <v>0</v>
      </c>
    </row>
    <row r="45" spans="5:46">
      <c r="R45" s="67">
        <v>4</v>
      </c>
      <c r="S45" s="50">
        <f>10*LOG10(K18/1000000)</f>
        <v>-30.177287669604315</v>
      </c>
      <c r="T45" s="67" t="s">
        <v>114</v>
      </c>
      <c r="U45" s="12"/>
      <c r="V45" s="78">
        <f t="shared" si="15"/>
        <v>42</v>
      </c>
      <c r="W45" s="79">
        <f t="shared" si="21"/>
        <v>15.875</v>
      </c>
      <c r="X45" s="80">
        <f t="shared" si="22"/>
        <v>36.373837018920398</v>
      </c>
      <c r="Y45" s="80">
        <f t="shared" si="23"/>
        <v>120.84008680241419</v>
      </c>
      <c r="Z45" s="81">
        <f t="shared" si="3"/>
        <v>-61.098113457746933</v>
      </c>
      <c r="AA45" s="82">
        <f t="shared" si="27"/>
        <v>0.88124025426118247</v>
      </c>
      <c r="AB45" s="82">
        <f t="shared" si="24"/>
        <v>1.2462619192852791</v>
      </c>
      <c r="AC45" s="82">
        <f t="shared" si="25"/>
        <v>40.119977370948305</v>
      </c>
      <c r="AD45" s="336"/>
      <c r="AE45" s="79"/>
      <c r="AF45" s="79"/>
      <c r="AG45" s="82">
        <f t="shared" si="6"/>
        <v>81.877504838670021</v>
      </c>
      <c r="AH45" s="82">
        <f t="shared" si="17"/>
        <v>-40.119977370948305</v>
      </c>
      <c r="AI45" s="57">
        <f t="shared" si="7"/>
        <v>9.0486189464840443</v>
      </c>
      <c r="AJ45" s="57">
        <f t="shared" si="8"/>
        <v>9.0486189464840443</v>
      </c>
      <c r="AL45" s="40">
        <f t="shared" si="9"/>
        <v>-145.56436324124073</v>
      </c>
      <c r="AM45">
        <f t="shared" si="10"/>
        <v>5.2696508101784501E-5</v>
      </c>
      <c r="AQ45" s="78">
        <f t="shared" si="11"/>
        <v>42</v>
      </c>
      <c r="AR45" s="82">
        <f t="shared" si="12"/>
        <v>15.875</v>
      </c>
      <c r="AS45" s="85">
        <f t="shared" si="13"/>
        <v>0</v>
      </c>
      <c r="AT45" s="85">
        <f t="shared" si="14"/>
        <v>0</v>
      </c>
    </row>
    <row r="46" spans="5:46">
      <c r="R46" s="286" t="s">
        <v>112</v>
      </c>
      <c r="S46" s="289"/>
      <c r="T46" s="287"/>
      <c r="U46" s="23"/>
      <c r="V46" s="78">
        <f t="shared" si="15"/>
        <v>43</v>
      </c>
      <c r="W46" s="79">
        <f t="shared" si="21"/>
        <v>16.25</v>
      </c>
      <c r="X46" s="80">
        <f t="shared" si="22"/>
        <v>36.686350959446798</v>
      </c>
      <c r="Y46" s="80">
        <f t="shared" si="23"/>
        <v>120.52757286188779</v>
      </c>
      <c r="Z46" s="81">
        <f t="shared" si="3"/>
        <v>-61.410627398273334</v>
      </c>
      <c r="AA46" s="82">
        <f t="shared" si="27"/>
        <v>0.85009728683126118</v>
      </c>
      <c r="AB46" s="82">
        <f t="shared" si="24"/>
        <v>1.2022191123733408</v>
      </c>
      <c r="AC46" s="82">
        <f t="shared" si="25"/>
        <v>41.589756380842537</v>
      </c>
      <c r="AD46" s="336"/>
      <c r="AE46" s="79"/>
      <c r="AF46" s="79"/>
      <c r="AG46" s="82">
        <f t="shared" si="6"/>
        <v>84.877053838454174</v>
      </c>
      <c r="AH46" s="82">
        <f t="shared" si="17"/>
        <v>-41.589756380842537</v>
      </c>
      <c r="AI46" s="57">
        <f t="shared" si="7"/>
        <v>9.2128743526900543</v>
      </c>
      <c r="AJ46" s="57">
        <f t="shared" si="8"/>
        <v>9.2128743526900543</v>
      </c>
      <c r="AL46" s="40">
        <f t="shared" si="9"/>
        <v>-145.25184930071433</v>
      </c>
      <c r="AM46">
        <f t="shared" si="10"/>
        <v>5.4627023186242467E-5</v>
      </c>
      <c r="AQ46" s="78">
        <f t="shared" si="11"/>
        <v>43</v>
      </c>
      <c r="AR46" s="82">
        <f t="shared" si="12"/>
        <v>16.25</v>
      </c>
      <c r="AS46" s="85">
        <f t="shared" si="13"/>
        <v>0</v>
      </c>
      <c r="AT46" s="85">
        <f t="shared" si="14"/>
        <v>0</v>
      </c>
    </row>
    <row r="47" spans="5:46">
      <c r="R47" s="67" t="s">
        <v>112</v>
      </c>
      <c r="S47" s="50">
        <f>10*LOG10(K25)</f>
        <v>31.760912590556813</v>
      </c>
      <c r="T47" s="16" t="s">
        <v>51</v>
      </c>
      <c r="U47" s="22"/>
      <c r="V47" s="78">
        <f t="shared" si="15"/>
        <v>44</v>
      </c>
      <c r="W47" s="79">
        <f t="shared" si="21"/>
        <v>16.625</v>
      </c>
      <c r="X47" s="80">
        <f t="shared" si="22"/>
        <v>36.99192461925427</v>
      </c>
      <c r="Y47" s="80">
        <f t="shared" si="23"/>
        <v>120.22199920208033</v>
      </c>
      <c r="Z47" s="81">
        <f t="shared" si="3"/>
        <v>-61.716201058080799</v>
      </c>
      <c r="AA47" s="82">
        <f t="shared" si="27"/>
        <v>0.82071041942762046</v>
      </c>
      <c r="AB47" s="82">
        <f t="shared" si="24"/>
        <v>1.1606598059354523</v>
      </c>
      <c r="AC47" s="82">
        <f t="shared" si="25"/>
        <v>43.078945048589588</v>
      </c>
      <c r="AD47" s="336"/>
      <c r="AE47" s="79"/>
      <c r="AF47" s="79"/>
      <c r="AG47" s="82">
        <f t="shared" si="6"/>
        <v>87.916214384876724</v>
      </c>
      <c r="AH47" s="82">
        <f t="shared" si="17"/>
        <v>-43.078945048589588</v>
      </c>
      <c r="AI47" s="57">
        <f t="shared" si="7"/>
        <v>9.3763646678697778</v>
      </c>
      <c r="AJ47" s="57">
        <f t="shared" si="8"/>
        <v>9.3763646678697778</v>
      </c>
      <c r="AL47" s="40">
        <f t="shared" si="9"/>
        <v>-144.94627564090686</v>
      </c>
      <c r="AM47">
        <f t="shared" si="10"/>
        <v>5.6583032332744111E-5</v>
      </c>
      <c r="AQ47" s="78">
        <f t="shared" si="11"/>
        <v>44</v>
      </c>
      <c r="AR47" s="82">
        <f t="shared" si="12"/>
        <v>16.625</v>
      </c>
      <c r="AS47" s="85">
        <f t="shared" si="13"/>
        <v>0</v>
      </c>
      <c r="AT47" s="85">
        <f t="shared" si="14"/>
        <v>0</v>
      </c>
    </row>
    <row r="48" spans="5:46">
      <c r="V48" s="78">
        <f t="shared" si="15"/>
        <v>45</v>
      </c>
      <c r="W48" s="79">
        <f t="shared" si="21"/>
        <v>17</v>
      </c>
      <c r="X48" s="80">
        <f t="shared" si="22"/>
        <v>37.290867641348221</v>
      </c>
      <c r="Y48" s="80">
        <f t="shared" si="23"/>
        <v>119.92305617998636</v>
      </c>
      <c r="Z48" s="81">
        <f t="shared" si="3"/>
        <v>-62.015144080174764</v>
      </c>
      <c r="AA48" s="82">
        <f t="shared" si="27"/>
        <v>0.79294450889992829</v>
      </c>
      <c r="AB48" s="82">
        <f t="shared" si="24"/>
        <v>1.121392878695552</v>
      </c>
      <c r="AC48" s="82">
        <f t="shared" si="25"/>
        <v>44.587406385317827</v>
      </c>
      <c r="AD48" s="336"/>
      <c r="AE48" s="79"/>
      <c r="AF48" s="79"/>
      <c r="AG48" s="82">
        <f t="shared" si="6"/>
        <v>90.994706908811906</v>
      </c>
      <c r="AH48" s="82">
        <f t="shared" si="17"/>
        <v>-44.587406385317827</v>
      </c>
      <c r="AI48" s="57">
        <f t="shared" si="7"/>
        <v>9.5391145767734606</v>
      </c>
      <c r="AJ48" s="57">
        <f t="shared" si="8"/>
        <v>9.5391145767734606</v>
      </c>
      <c r="AL48" s="40">
        <f t="shared" si="9"/>
        <v>-144.6473326188129</v>
      </c>
      <c r="AM48">
        <f t="shared" si="10"/>
        <v>5.8564355610101821E-5</v>
      </c>
      <c r="AQ48" s="78">
        <f t="shared" si="11"/>
        <v>45</v>
      </c>
      <c r="AR48" s="82">
        <f t="shared" si="12"/>
        <v>17</v>
      </c>
      <c r="AS48" s="85">
        <f t="shared" si="13"/>
        <v>0</v>
      </c>
      <c r="AT48" s="85">
        <f t="shared" si="14"/>
        <v>0</v>
      </c>
    </row>
    <row r="49" spans="18:46">
      <c r="R49" s="67" t="s">
        <v>127</v>
      </c>
      <c r="S49" s="52">
        <f>10*LOG10(2)</f>
        <v>3.0102999566398121</v>
      </c>
      <c r="T49" s="67" t="s">
        <v>51</v>
      </c>
      <c r="U49" s="12"/>
      <c r="V49" s="78">
        <f t="shared" si="15"/>
        <v>46</v>
      </c>
      <c r="W49" s="79">
        <f t="shared" si="21"/>
        <v>17.375</v>
      </c>
      <c r="X49" s="80">
        <f t="shared" si="22"/>
        <v>37.58346939786454</v>
      </c>
      <c r="Y49" s="80">
        <f t="shared" si="23"/>
        <v>119.63045442347004</v>
      </c>
      <c r="Z49" s="81">
        <f t="shared" si="3"/>
        <v>-62.307745836691083</v>
      </c>
      <c r="AA49" s="82">
        <f t="shared" si="27"/>
        <v>0.76667748259554513</v>
      </c>
      <c r="AB49" s="82">
        <f t="shared" si="24"/>
        <v>1.0842456938526825</v>
      </c>
      <c r="AC49" s="82">
        <f t="shared" si="25"/>
        <v>46.115009064351007</v>
      </c>
      <c r="AD49" s="336"/>
      <c r="AE49" s="79"/>
      <c r="AF49" s="79"/>
      <c r="AG49" s="82">
        <f t="shared" si="6"/>
        <v>94.112263396634717</v>
      </c>
      <c r="AH49" s="82">
        <f t="shared" si="17"/>
        <v>-46.115009064351007</v>
      </c>
      <c r="AI49" s="57">
        <f t="shared" si="7"/>
        <v>9.7011475298871073</v>
      </c>
      <c r="AJ49" s="57">
        <f t="shared" si="8"/>
        <v>9.7011475298871073</v>
      </c>
      <c r="AL49" s="40">
        <f t="shared" si="9"/>
        <v>-144.35473086229658</v>
      </c>
      <c r="AM49">
        <f t="shared" si="10"/>
        <v>6.057082052426897E-5</v>
      </c>
      <c r="AQ49" s="78">
        <f t="shared" si="11"/>
        <v>46</v>
      </c>
      <c r="AR49" s="82">
        <f t="shared" si="12"/>
        <v>17.375</v>
      </c>
      <c r="AS49" s="85">
        <f t="shared" si="13"/>
        <v>0</v>
      </c>
      <c r="AT49" s="85">
        <f t="shared" si="14"/>
        <v>0</v>
      </c>
    </row>
    <row r="50" spans="18:46">
      <c r="V50" s="78">
        <f t="shared" si="15"/>
        <v>47</v>
      </c>
      <c r="W50" s="79">
        <f t="shared" si="21"/>
        <v>17.75</v>
      </c>
      <c r="X50" s="80">
        <f t="shared" si="22"/>
        <v>37.87000072173339</v>
      </c>
      <c r="Y50" s="80">
        <f t="shared" si="23"/>
        <v>119.3439230996012</v>
      </c>
      <c r="Z50" s="81">
        <f t="shared" si="3"/>
        <v>-62.594277160559926</v>
      </c>
      <c r="AA50" s="82">
        <f t="shared" si="27"/>
        <v>0.74179882653017637</v>
      </c>
      <c r="AB50" s="82">
        <f t="shared" si="24"/>
        <v>1.0490619610314225</v>
      </c>
      <c r="AC50" s="82">
        <f t="shared" si="25"/>
        <v>47.661627108126893</v>
      </c>
      <c r="AD50" s="336"/>
      <c r="AE50" s="79"/>
      <c r="AF50" s="79"/>
      <c r="AG50" s="82">
        <f t="shared" si="6"/>
        <v>97.268626751279385</v>
      </c>
      <c r="AH50" s="82">
        <f t="shared" si="17"/>
        <v>-47.661627108126893</v>
      </c>
      <c r="AI50" s="57">
        <f t="shared" si="7"/>
        <v>9.8624858302194482</v>
      </c>
      <c r="AJ50" s="57">
        <f t="shared" si="8"/>
        <v>9.8624858302194482</v>
      </c>
      <c r="AL50" s="40">
        <f t="shared" si="9"/>
        <v>-144.06819953842773</v>
      </c>
      <c r="AM50">
        <f t="shared" si="10"/>
        <v>6.2602261607114953E-5</v>
      </c>
      <c r="AQ50" s="78">
        <f t="shared" si="11"/>
        <v>47</v>
      </c>
      <c r="AR50" s="82">
        <f t="shared" si="12"/>
        <v>17.75</v>
      </c>
      <c r="AS50" s="85">
        <f t="shared" si="13"/>
        <v>0</v>
      </c>
      <c r="AT50" s="85">
        <f t="shared" si="14"/>
        <v>0</v>
      </c>
    </row>
    <row r="51" spans="18:46">
      <c r="V51" s="78">
        <f t="shared" si="15"/>
        <v>48</v>
      </c>
      <c r="W51" s="79">
        <f t="shared" si="21"/>
        <v>18.125</v>
      </c>
      <c r="X51" s="80">
        <f t="shared" si="22"/>
        <v>38.150715457290936</v>
      </c>
      <c r="Y51" s="80">
        <f t="shared" si="23"/>
        <v>119.06320836404365</v>
      </c>
      <c r="Z51" s="81">
        <f t="shared" si="3"/>
        <v>-62.874991896117479</v>
      </c>
      <c r="AA51" s="82">
        <f t="shared" si="27"/>
        <v>0.71820827591383707</v>
      </c>
      <c r="AB51" s="82">
        <f t="shared" si="24"/>
        <v>1.0156998844059464</v>
      </c>
      <c r="AC51" s="82">
        <f t="shared" si="25"/>
        <v>49.227139598665566</v>
      </c>
      <c r="AD51" s="336"/>
      <c r="AE51" s="79"/>
      <c r="AF51" s="79"/>
      <c r="AG51" s="82">
        <f t="shared" si="6"/>
        <v>100.46355020135832</v>
      </c>
      <c r="AH51" s="82">
        <f t="shared" si="17"/>
        <v>-49.227139598665566</v>
      </c>
      <c r="AI51" s="57">
        <f t="shared" si="7"/>
        <v>10.02315071229393</v>
      </c>
      <c r="AJ51" s="57">
        <f t="shared" si="8"/>
        <v>10.02315071229393</v>
      </c>
      <c r="AL51" s="40">
        <f t="shared" si="9"/>
        <v>-143.78748480287018</v>
      </c>
      <c r="AM51">
        <f t="shared" si="10"/>
        <v>6.4658520036135251E-5</v>
      </c>
      <c r="AQ51" s="78">
        <f t="shared" si="11"/>
        <v>48</v>
      </c>
      <c r="AR51" s="82">
        <f t="shared" si="12"/>
        <v>18.125</v>
      </c>
      <c r="AS51" s="85">
        <f t="shared" si="13"/>
        <v>0</v>
      </c>
      <c r="AT51" s="85">
        <f t="shared" si="14"/>
        <v>0</v>
      </c>
    </row>
    <row r="52" spans="18:46">
      <c r="R52" s="69" t="s">
        <v>122</v>
      </c>
      <c r="S52" s="50">
        <f>$S$47+S42+$S$37+$S$19-$S$49</f>
        <v>-37.508473719268466</v>
      </c>
      <c r="T52" s="67" t="s">
        <v>51</v>
      </c>
      <c r="U52" s="12"/>
      <c r="V52" s="78">
        <f t="shared" si="15"/>
        <v>49</v>
      </c>
      <c r="W52" s="79">
        <f t="shared" si="21"/>
        <v>18.5</v>
      </c>
      <c r="X52" s="80">
        <f t="shared" si="22"/>
        <v>38.42585185209041</v>
      </c>
      <c r="Y52" s="80">
        <f t="shared" si="23"/>
        <v>118.78807196924419</v>
      </c>
      <c r="Z52" s="81">
        <f t="shared" si="3"/>
        <v>-63.150128290916939</v>
      </c>
      <c r="AA52" s="82">
        <f t="shared" si="27"/>
        <v>0.69581467741572711</v>
      </c>
      <c r="AB52" s="82">
        <f t="shared" si="24"/>
        <v>0.98403055369958148</v>
      </c>
      <c r="AC52" s="82">
        <f t="shared" si="25"/>
        <v>50.811430409369883</v>
      </c>
      <c r="AD52" s="336"/>
      <c r="AE52" s="79"/>
      <c r="AF52" s="79"/>
      <c r="AG52" s="82">
        <f t="shared" si="6"/>
        <v>103.6967967538161</v>
      </c>
      <c r="AH52" s="82">
        <f t="shared" si="17"/>
        <v>-50.811430409369883</v>
      </c>
      <c r="AI52" s="57">
        <f t="shared" si="7"/>
        <v>10.18316241419217</v>
      </c>
      <c r="AJ52" s="57">
        <f t="shared" si="8"/>
        <v>10.18316241419217</v>
      </c>
      <c r="AK52" s="74"/>
      <c r="AL52" s="40">
        <f t="shared" si="9"/>
        <v>-143.51234840807072</v>
      </c>
      <c r="AM52">
        <f t="shared" si="10"/>
        <v>6.6739443282176684E-5</v>
      </c>
      <c r="AN52" s="74"/>
      <c r="AQ52" s="78">
        <f t="shared" si="11"/>
        <v>49</v>
      </c>
      <c r="AR52" s="82">
        <f t="shared" si="12"/>
        <v>18.5</v>
      </c>
      <c r="AS52" s="85">
        <f t="shared" si="13"/>
        <v>0</v>
      </c>
      <c r="AT52" s="85">
        <f t="shared" si="14"/>
        <v>0</v>
      </c>
    </row>
    <row r="53" spans="18:46">
      <c r="R53" s="69" t="s">
        <v>123</v>
      </c>
      <c r="S53" s="50">
        <f>$S$47+S43+$S$37+$S$19-$S$49</f>
        <v>-28.300286179744713</v>
      </c>
      <c r="T53" s="67" t="s">
        <v>51</v>
      </c>
      <c r="U53" s="12"/>
      <c r="V53" s="78">
        <f t="shared" si="15"/>
        <v>50</v>
      </c>
      <c r="W53" s="79">
        <f t="shared" si="21"/>
        <v>18.875</v>
      </c>
      <c r="X53" s="80">
        <f t="shared" si="22"/>
        <v>38.695633809036778</v>
      </c>
      <c r="Y53" s="80">
        <f t="shared" si="23"/>
        <v>118.51829001229783</v>
      </c>
      <c r="Z53" s="81">
        <f t="shared" si="3"/>
        <v>-63.419910247863299</v>
      </c>
      <c r="AA53" s="82">
        <f t="shared" si="27"/>
        <v>0.67453499769720227</v>
      </c>
      <c r="AB53" s="82">
        <f t="shared" si="24"/>
        <v>0.95393654203868794</v>
      </c>
      <c r="AC53" s="82">
        <f t="shared" si="25"/>
        <v>52.414387956187753</v>
      </c>
      <c r="AD53" s="336"/>
      <c r="AE53" s="79"/>
      <c r="AF53" s="79"/>
      <c r="AG53" s="82">
        <f t="shared" si="6"/>
        <v>106.96813868609746</v>
      </c>
      <c r="AH53" s="82">
        <f t="shared" si="17"/>
        <v>-52.414387956187753</v>
      </c>
      <c r="AI53" s="57">
        <f t="shared" si="7"/>
        <v>10.342540243387862</v>
      </c>
      <c r="AJ53" s="57">
        <f t="shared" si="8"/>
        <v>10.342540243387862</v>
      </c>
      <c r="AK53" s="55"/>
      <c r="AL53" s="40">
        <f t="shared" si="9"/>
        <v>-143.24256645112433</v>
      </c>
      <c r="AM53">
        <f t="shared" si="10"/>
        <v>6.8844884782596778E-5</v>
      </c>
      <c r="AN53" s="54"/>
      <c r="AQ53" s="78">
        <f t="shared" si="11"/>
        <v>50</v>
      </c>
      <c r="AR53" s="82">
        <f t="shared" si="12"/>
        <v>18.875</v>
      </c>
      <c r="AS53" s="85">
        <f t="shared" si="13"/>
        <v>0</v>
      </c>
      <c r="AT53" s="85">
        <f t="shared" si="14"/>
        <v>0</v>
      </c>
    </row>
    <row r="54" spans="18:46">
      <c r="R54" s="69" t="s">
        <v>124</v>
      </c>
      <c r="S54" s="50">
        <f>$S$47+S44+$S$37+$S$19-$S$49</f>
        <v>-19.006096922601788</v>
      </c>
      <c r="T54" s="67" t="s">
        <v>51</v>
      </c>
      <c r="U54" s="12"/>
      <c r="V54" s="78">
        <f t="shared" si="15"/>
        <v>51</v>
      </c>
      <c r="W54" s="79">
        <f t="shared" si="21"/>
        <v>19.25</v>
      </c>
      <c r="X54" s="80">
        <f t="shared" si="22"/>
        <v>38.960272015335583</v>
      </c>
      <c r="Y54" s="80">
        <f t="shared" si="23"/>
        <v>118.253651805999</v>
      </c>
      <c r="Z54" s="81">
        <f t="shared" si="3"/>
        <v>-63.684548454162126</v>
      </c>
      <c r="AA54" s="82">
        <f t="shared" si="27"/>
        <v>0.65429345693983432</v>
      </c>
      <c r="AB54" s="82">
        <f t="shared" si="24"/>
        <v>0.9253106805762904</v>
      </c>
      <c r="AC54" s="82">
        <f t="shared" si="25"/>
        <v>54.035904966383427</v>
      </c>
      <c r="AD54" s="336"/>
      <c r="AE54" s="79"/>
      <c r="AF54" s="79"/>
      <c r="AG54" s="82">
        <f t="shared" si="6"/>
        <v>110.27735707425191</v>
      </c>
      <c r="AH54" s="82">
        <f t="shared" si="17"/>
        <v>-54.035904966383427</v>
      </c>
      <c r="AI54" s="57">
        <f t="shared" si="7"/>
        <v>10.50130263701851</v>
      </c>
      <c r="AJ54" s="57">
        <f t="shared" si="8"/>
        <v>10.50130263701851</v>
      </c>
      <c r="AK54" s="55"/>
      <c r="AL54" s="40">
        <f t="shared" si="9"/>
        <v>-142.97792824482553</v>
      </c>
      <c r="AM54">
        <f t="shared" si="10"/>
        <v>7.0974703637550124E-5</v>
      </c>
      <c r="AN54" s="54"/>
      <c r="AQ54" s="78">
        <f t="shared" si="11"/>
        <v>51</v>
      </c>
      <c r="AR54" s="82">
        <f t="shared" si="12"/>
        <v>19.25</v>
      </c>
      <c r="AS54" s="85">
        <f t="shared" si="13"/>
        <v>0</v>
      </c>
      <c r="AT54" s="85">
        <f t="shared" si="14"/>
        <v>0</v>
      </c>
    </row>
    <row r="55" spans="18:46">
      <c r="R55" s="69" t="s">
        <v>125</v>
      </c>
      <c r="S55" s="50">
        <f>$S$47+S45+$S$37+$S$19-$S$49</f>
        <v>-31.487873805988841</v>
      </c>
      <c r="T55" s="67" t="s">
        <v>51</v>
      </c>
      <c r="U55" s="12"/>
      <c r="V55" s="78">
        <f t="shared" si="15"/>
        <v>52</v>
      </c>
      <c r="W55" s="79">
        <f t="shared" si="21"/>
        <v>19.625</v>
      </c>
      <c r="X55" s="80">
        <f t="shared" si="22"/>
        <v>39.219964962518709</v>
      </c>
      <c r="Y55" s="80">
        <f t="shared" si="23"/>
        <v>117.99395885881589</v>
      </c>
      <c r="Z55" s="81">
        <f t="shared" si="3"/>
        <v>-63.944241401345238</v>
      </c>
      <c r="AA55" s="82">
        <f t="shared" si="27"/>
        <v>0.63502076953489073</v>
      </c>
      <c r="AB55" s="82">
        <f t="shared" si="24"/>
        <v>0.89805498466484202</v>
      </c>
      <c r="AC55" s="82">
        <f t="shared" si="25"/>
        <v>55.675878263356239</v>
      </c>
      <c r="AD55" s="336"/>
      <c r="AE55" s="79"/>
      <c r="AF55" s="79"/>
      <c r="AG55" s="82">
        <f t="shared" si="6"/>
        <v>113.62424135378826</v>
      </c>
      <c r="AH55" s="82">
        <f t="shared" si="17"/>
        <v>-55.675878263356239</v>
      </c>
      <c r="AI55" s="57">
        <f t="shared" si="7"/>
        <v>10.65946721716373</v>
      </c>
      <c r="AJ55" s="57">
        <f t="shared" si="8"/>
        <v>10.65946721716373</v>
      </c>
      <c r="AK55" s="55"/>
      <c r="AL55" s="40">
        <f t="shared" si="9"/>
        <v>-142.71823529764242</v>
      </c>
      <c r="AM55">
        <f t="shared" si="10"/>
        <v>7.3128764327355674E-5</v>
      </c>
      <c r="AN55" s="54"/>
      <c r="AQ55" s="78">
        <f t="shared" si="11"/>
        <v>52</v>
      </c>
      <c r="AR55" s="82">
        <f t="shared" si="12"/>
        <v>19.625</v>
      </c>
      <c r="AS55" s="85">
        <f t="shared" si="13"/>
        <v>0</v>
      </c>
      <c r="AT55" s="85">
        <f t="shared" si="14"/>
        <v>0</v>
      </c>
    </row>
    <row r="56" spans="18:46">
      <c r="V56" s="78">
        <f t="shared" si="15"/>
        <v>53</v>
      </c>
      <c r="W56" s="79">
        <f t="shared" si="21"/>
        <v>20</v>
      </c>
      <c r="X56" s="80">
        <f t="shared" si="22"/>
        <v>39.47489986991944</v>
      </c>
      <c r="Y56" s="80">
        <f t="shared" si="23"/>
        <v>117.73902395141516</v>
      </c>
      <c r="Z56" s="81">
        <f t="shared" si="3"/>
        <v>-64.199176308745962</v>
      </c>
      <c r="AA56" s="82">
        <f t="shared" si="27"/>
        <v>0.61665347693010431</v>
      </c>
      <c r="AB56" s="82">
        <f t="shared" si="24"/>
        <v>0.87207971035907805</v>
      </c>
      <c r="AC56" s="82">
        <f t="shared" si="25"/>
        <v>57.334208566109794</v>
      </c>
      <c r="AD56" s="336"/>
      <c r="AE56" s="79"/>
      <c r="AF56" s="79"/>
      <c r="AG56" s="82">
        <f t="shared" si="6"/>
        <v>117.00858891042817</v>
      </c>
      <c r="AH56" s="82">
        <f t="shared" si="17"/>
        <v>-57.334208566109794</v>
      </c>
      <c r="AI56" s="57">
        <f t="shared" si="7"/>
        <v>10.81705084163092</v>
      </c>
      <c r="AJ56" s="57">
        <f t="shared" si="8"/>
        <v>10.81705084163092</v>
      </c>
      <c r="AK56" s="55"/>
      <c r="AL56" s="40">
        <f t="shared" si="9"/>
        <v>-142.46330039024167</v>
      </c>
      <c r="AM56">
        <f t="shared" si="10"/>
        <v>7.5306936449102141E-5</v>
      </c>
      <c r="AN56" s="54"/>
      <c r="AQ56" s="78">
        <f t="shared" si="11"/>
        <v>53</v>
      </c>
      <c r="AR56" s="82">
        <f t="shared" si="12"/>
        <v>20</v>
      </c>
      <c r="AS56" s="85">
        <f t="shared" si="13"/>
        <v>0</v>
      </c>
      <c r="AT56" s="85">
        <f t="shared" si="14"/>
        <v>0</v>
      </c>
    </row>
    <row r="57" spans="18:46">
      <c r="V57" s="78">
        <f t="shared" si="15"/>
        <v>54</v>
      </c>
      <c r="W57" s="79">
        <f t="shared" si="21"/>
        <v>20.375</v>
      </c>
      <c r="X57" s="80">
        <f t="shared" si="22"/>
        <v>39.725253522360426</v>
      </c>
      <c r="Y57" s="80">
        <f t="shared" si="23"/>
        <v>117.48867029897417</v>
      </c>
      <c r="Z57" s="81">
        <f t="shared" si="3"/>
        <v>-64.449529961186954</v>
      </c>
      <c r="AA57" s="82">
        <f t="shared" si="27"/>
        <v>0.59913335996660788</v>
      </c>
      <c r="AB57" s="82">
        <f t="shared" si="24"/>
        <v>0.8473025233349385</v>
      </c>
      <c r="AC57" s="82">
        <f t="shared" si="25"/>
        <v>59.010800302119499</v>
      </c>
      <c r="AD57" s="336"/>
      <c r="AE57" s="79"/>
      <c r="AF57" s="79"/>
      <c r="AG57" s="82">
        <f t="shared" si="6"/>
        <v>120.43020469820307</v>
      </c>
      <c r="AH57" s="82">
        <f t="shared" si="17"/>
        <v>-59.010800302119499</v>
      </c>
      <c r="AI57" s="57">
        <f t="shared" si="7"/>
        <v>10.974069650690351</v>
      </c>
      <c r="AJ57" s="57">
        <f t="shared" si="8"/>
        <v>10.974069650690351</v>
      </c>
      <c r="AK57" s="55"/>
      <c r="AL57" s="40">
        <f t="shared" si="9"/>
        <v>-142.21294673780071</v>
      </c>
      <c r="AM57">
        <f t="shared" si="10"/>
        <v>7.7509094470855732E-5</v>
      </c>
      <c r="AN57" s="54"/>
      <c r="AQ57" s="78">
        <f t="shared" si="11"/>
        <v>54</v>
      </c>
      <c r="AR57" s="82">
        <f t="shared" si="12"/>
        <v>20.375</v>
      </c>
      <c r="AS57" s="85">
        <f t="shared" si="13"/>
        <v>0</v>
      </c>
      <c r="AT57" s="85">
        <f t="shared" si="14"/>
        <v>0</v>
      </c>
    </row>
    <row r="58" spans="18:46">
      <c r="V58" s="78">
        <f t="shared" si="15"/>
        <v>55</v>
      </c>
      <c r="W58" s="79">
        <f t="shared" si="21"/>
        <v>20.75</v>
      </c>
      <c r="X58" s="80">
        <f t="shared" si="22"/>
        <v>39.971193031443342</v>
      </c>
      <c r="Y58" s="80">
        <f t="shared" si="23"/>
        <v>117.24273078989125</v>
      </c>
      <c r="Z58" s="81">
        <f t="shared" si="3"/>
        <v>-64.69546947026987</v>
      </c>
      <c r="AA58" s="82">
        <f t="shared" si="27"/>
        <v>0.58240691997642058</v>
      </c>
      <c r="AB58" s="82">
        <f t="shared" si="24"/>
        <v>0.82364776505059589</v>
      </c>
      <c r="AC58" s="82">
        <f t="shared" si="25"/>
        <v>60.705561432475385</v>
      </c>
      <c r="AD58" s="336"/>
      <c r="AE58" s="79"/>
      <c r="AF58" s="79"/>
      <c r="AG58" s="82">
        <f t="shared" si="6"/>
        <v>123.88890088260284</v>
      </c>
      <c r="AH58" s="82">
        <f t="shared" si="17"/>
        <v>-60.705561432475385</v>
      </c>
      <c r="AI58" s="57">
        <f t="shared" si="7"/>
        <v>11.130539110151082</v>
      </c>
      <c r="AJ58" s="57">
        <f t="shared" si="8"/>
        <v>11.130539110151082</v>
      </c>
      <c r="AK58" s="55"/>
      <c r="AL58" s="40">
        <f t="shared" si="9"/>
        <v>-141.96700722871779</v>
      </c>
      <c r="AM58">
        <f t="shared" si="10"/>
        <v>7.9735117501991584E-5</v>
      </c>
      <c r="AN58" s="54"/>
      <c r="AQ58" s="78">
        <f t="shared" si="11"/>
        <v>55</v>
      </c>
      <c r="AR58" s="82">
        <f t="shared" si="12"/>
        <v>20.75</v>
      </c>
      <c r="AS58" s="85">
        <f t="shared" si="13"/>
        <v>0</v>
      </c>
      <c r="AT58" s="85">
        <f t="shared" si="14"/>
        <v>0</v>
      </c>
    </row>
    <row r="59" spans="18:46">
      <c r="V59" s="78">
        <f t="shared" si="15"/>
        <v>56</v>
      </c>
      <c r="W59" s="79">
        <f t="shared" si="21"/>
        <v>21.125</v>
      </c>
      <c r="X59" s="80">
        <f t="shared" si="22"/>
        <v>40.212876528651897</v>
      </c>
      <c r="Y59" s="80">
        <f t="shared" si="23"/>
        <v>117.0010472926827</v>
      </c>
      <c r="Z59" s="81">
        <f t="shared" si="3"/>
        <v>-64.937152967478426</v>
      </c>
      <c r="AA59" s="82">
        <f t="shared" si="27"/>
        <v>0.56642491952305585</v>
      </c>
      <c r="AB59" s="82">
        <f t="shared" si="24"/>
        <v>0.80104580325559449</v>
      </c>
      <c r="AC59" s="82">
        <f t="shared" si="25"/>
        <v>62.418403288290122</v>
      </c>
      <c r="AD59" s="336"/>
      <c r="AE59" s="79"/>
      <c r="AF59" s="79"/>
      <c r="AG59" s="82">
        <f t="shared" si="6"/>
        <v>127.38449650671456</v>
      </c>
      <c r="AH59" s="82">
        <f t="shared" si="17"/>
        <v>-62.418403288290122</v>
      </c>
      <c r="AI59" s="57">
        <f t="shared" si="7"/>
        <v>11.286474051124848</v>
      </c>
      <c r="AJ59" s="57">
        <f t="shared" si="8"/>
        <v>11.286474051124848</v>
      </c>
      <c r="AK59" s="55"/>
      <c r="AL59" s="40">
        <f t="shared" si="9"/>
        <v>-141.72532373150923</v>
      </c>
      <c r="AM59">
        <f t="shared" si="10"/>
        <v>8.1984889078318027E-5</v>
      </c>
      <c r="AN59" s="54"/>
      <c r="AQ59" s="78">
        <f t="shared" si="11"/>
        <v>56</v>
      </c>
      <c r="AR59" s="82">
        <f t="shared" si="12"/>
        <v>21.125</v>
      </c>
      <c r="AS59" s="85">
        <f t="shared" si="13"/>
        <v>0</v>
      </c>
      <c r="AT59" s="85">
        <f t="shared" si="14"/>
        <v>0</v>
      </c>
    </row>
    <row r="60" spans="18:46">
      <c r="V60" s="78">
        <f t="shared" si="15"/>
        <v>57</v>
      </c>
      <c r="W60" s="79">
        <f t="shared" si="21"/>
        <v>21.5</v>
      </c>
      <c r="X60" s="80">
        <f t="shared" si="22"/>
        <v>40.450453797468164</v>
      </c>
      <c r="Y60" s="80">
        <f t="shared" si="23"/>
        <v>116.76347002386643</v>
      </c>
      <c r="Z60" s="81">
        <f t="shared" si="3"/>
        <v>-65.174730236294693</v>
      </c>
      <c r="AA60" s="82">
        <f t="shared" si="27"/>
        <v>0.55114197501400641</v>
      </c>
      <c r="AB60" s="82">
        <f t="shared" si="24"/>
        <v>0.77943245585790144</v>
      </c>
      <c r="AC60" s="82">
        <f t="shared" si="25"/>
        <v>64.149240417460263</v>
      </c>
      <c r="AD60" s="336"/>
      <c r="AE60" s="79"/>
      <c r="AF60" s="79"/>
      <c r="AG60" s="82">
        <f t="shared" si="6"/>
        <v>130.91681717849036</v>
      </c>
      <c r="AH60" s="82">
        <f t="shared" si="17"/>
        <v>-64.149240417460263</v>
      </c>
      <c r="AI60" s="57">
        <f t="shared" si="7"/>
        <v>11.441888706786584</v>
      </c>
      <c r="AJ60" s="57">
        <f t="shared" si="8"/>
        <v>11.441888706786584</v>
      </c>
      <c r="AK60" s="55"/>
      <c r="AL60" s="40">
        <f t="shared" si="9"/>
        <v>-141.48774646269297</v>
      </c>
      <c r="AM60">
        <f t="shared" si="10"/>
        <v>8.4258296960801942E-5</v>
      </c>
      <c r="AN60" s="54"/>
      <c r="AQ60" s="78">
        <f t="shared" si="11"/>
        <v>57</v>
      </c>
      <c r="AR60" s="82">
        <f t="shared" si="12"/>
        <v>21.5</v>
      </c>
      <c r="AS60" s="85">
        <f t="shared" si="13"/>
        <v>0</v>
      </c>
      <c r="AT60" s="85">
        <f t="shared" si="14"/>
        <v>0</v>
      </c>
    </row>
    <row r="61" spans="18:46">
      <c r="V61" s="78">
        <f t="shared" si="15"/>
        <v>58</v>
      </c>
      <c r="W61" s="79">
        <f t="shared" si="21"/>
        <v>21.875</v>
      </c>
      <c r="X61" s="80">
        <f t="shared" si="22"/>
        <v>40.684066850830526</v>
      </c>
      <c r="Y61" s="80">
        <f t="shared" si="23"/>
        <v>116.52985697050406</v>
      </c>
      <c r="Z61" s="81">
        <f t="shared" si="3"/>
        <v>-65.408343289657068</v>
      </c>
      <c r="AA61" s="82">
        <f t="shared" si="27"/>
        <v>0.53651619454168409</v>
      </c>
      <c r="AB61" s="82">
        <f t="shared" si="24"/>
        <v>0.75874847875365159</v>
      </c>
      <c r="AC61" s="82">
        <f t="shared" si="25"/>
        <v>65.89799044095858</v>
      </c>
      <c r="AD61" s="336"/>
      <c r="AE61" s="79"/>
      <c r="AF61" s="79"/>
      <c r="AG61" s="82">
        <f t="shared" si="6"/>
        <v>134.48569477746651</v>
      </c>
      <c r="AH61" s="82">
        <f t="shared" si="17"/>
        <v>-65.89799044095858</v>
      </c>
      <c r="AI61" s="57">
        <f t="shared" si="7"/>
        <v>11.596796746406591</v>
      </c>
      <c r="AJ61" s="57">
        <f t="shared" si="8"/>
        <v>11.596796746406591</v>
      </c>
      <c r="AK61" s="55"/>
      <c r="AL61" s="40">
        <f t="shared" si="9"/>
        <v>-141.25413340933059</v>
      </c>
      <c r="AM61">
        <f t="shared" si="10"/>
        <v>8.6555232946813003E-5</v>
      </c>
      <c r="AN61" s="54"/>
      <c r="AQ61" s="78">
        <f t="shared" si="11"/>
        <v>58</v>
      </c>
      <c r="AR61" s="82">
        <f t="shared" si="12"/>
        <v>21.875</v>
      </c>
      <c r="AS61" s="85">
        <f t="shared" si="13"/>
        <v>0</v>
      </c>
      <c r="AT61" s="85">
        <f t="shared" si="14"/>
        <v>0</v>
      </c>
    </row>
    <row r="62" spans="18:46">
      <c r="V62" s="78">
        <f t="shared" si="15"/>
        <v>59</v>
      </c>
      <c r="W62" s="79">
        <f t="shared" si="21"/>
        <v>22.25</v>
      </c>
      <c r="X62" s="80">
        <f t="shared" si="22"/>
        <v>40.91385045950851</v>
      </c>
      <c r="Y62" s="80">
        <f t="shared" si="23"/>
        <v>116.30007336182609</v>
      </c>
      <c r="Z62" s="81">
        <f t="shared" si="3"/>
        <v>-65.638126898335031</v>
      </c>
      <c r="AA62" s="82">
        <f t="shared" si="27"/>
        <v>0.52250885525738999</v>
      </c>
      <c r="AB62" s="82">
        <f t="shared" si="24"/>
        <v>0.7389391095650415</v>
      </c>
      <c r="AC62" s="82">
        <f t="shared" si="25"/>
        <v>67.664573917912236</v>
      </c>
      <c r="AD62" s="336"/>
      <c r="AE62" s="79"/>
      <c r="AF62" s="79"/>
      <c r="AG62" s="82">
        <f t="shared" si="6"/>
        <v>138.09096717941276</v>
      </c>
      <c r="AH62" s="82">
        <f t="shared" si="17"/>
        <v>-67.664573917912236</v>
      </c>
      <c r="AI62" s="57">
        <f t="shared" si="7"/>
        <v>11.751211306899929</v>
      </c>
      <c r="AJ62" s="57">
        <f t="shared" si="8"/>
        <v>11.751211306899929</v>
      </c>
      <c r="AK62" s="55"/>
      <c r="AL62" s="40">
        <f t="shared" si="9"/>
        <v>-141.0243498006526</v>
      </c>
      <c r="AM62">
        <f t="shared" si="10"/>
        <v>8.8875592692907427E-5</v>
      </c>
      <c r="AN62" s="54"/>
      <c r="AQ62" s="78">
        <f t="shared" si="11"/>
        <v>59</v>
      </c>
      <c r="AR62" s="82">
        <f t="shared" si="12"/>
        <v>22.25</v>
      </c>
      <c r="AS62" s="85">
        <f t="shared" si="13"/>
        <v>0</v>
      </c>
      <c r="AT62" s="85">
        <f t="shared" si="14"/>
        <v>0</v>
      </c>
    </row>
    <row r="63" spans="18:46">
      <c r="V63" s="78">
        <f t="shared" si="15"/>
        <v>60</v>
      </c>
      <c r="W63" s="79">
        <f t="shared" si="21"/>
        <v>22.625</v>
      </c>
      <c r="X63" s="80">
        <f t="shared" si="22"/>
        <v>41.139932636317226</v>
      </c>
      <c r="Y63" s="80">
        <f t="shared" si="23"/>
        <v>116.07399118501735</v>
      </c>
      <c r="Z63" s="81">
        <f t="shared" si="3"/>
        <v>-65.864209075143776</v>
      </c>
      <c r="AA63" s="82">
        <f t="shared" si="27"/>
        <v>0.50908411538217446</v>
      </c>
      <c r="AB63" s="82">
        <f t="shared" si="24"/>
        <v>0.71995366036218078</v>
      </c>
      <c r="AC63" s="82">
        <f t="shared" si="25"/>
        <v>69.448914218794215</v>
      </c>
      <c r="AD63" s="336"/>
      <c r="AE63" s="79"/>
      <c r="AF63" s="79"/>
      <c r="AG63" s="82">
        <f t="shared" si="6"/>
        <v>141.73247799753923</v>
      </c>
      <c r="AH63" s="82">
        <f t="shared" si="17"/>
        <v>-69.448914218794215</v>
      </c>
      <c r="AI63" s="57">
        <f t="shared" si="7"/>
        <v>11.905145022112887</v>
      </c>
      <c r="AJ63" s="57">
        <f t="shared" si="8"/>
        <v>11.905145022112887</v>
      </c>
      <c r="AK63" s="55"/>
      <c r="AL63" s="40">
        <f t="shared" si="9"/>
        <v>-140.79826762384391</v>
      </c>
      <c r="AM63">
        <f t="shared" si="10"/>
        <v>9.121927554826809E-5</v>
      </c>
      <c r="AN63" s="54"/>
      <c r="AQ63" s="78">
        <f t="shared" si="11"/>
        <v>60</v>
      </c>
      <c r="AR63" s="82">
        <f t="shared" si="12"/>
        <v>22.625</v>
      </c>
      <c r="AS63" s="85">
        <f t="shared" si="13"/>
        <v>0</v>
      </c>
      <c r="AT63" s="85">
        <f t="shared" si="14"/>
        <v>0</v>
      </c>
    </row>
    <row r="64" spans="18:46">
      <c r="V64" s="78">
        <f t="shared" si="15"/>
        <v>61</v>
      </c>
      <c r="W64" s="79">
        <f t="shared" si="21"/>
        <v>23</v>
      </c>
      <c r="X64" s="80">
        <f t="shared" si="22"/>
        <v>41.362435080527781</v>
      </c>
      <c r="Y64" s="80">
        <f t="shared" si="23"/>
        <v>115.85148874080681</v>
      </c>
      <c r="Z64" s="81">
        <f t="shared" si="3"/>
        <v>-66.08671151935431</v>
      </c>
      <c r="AA64" s="82">
        <f t="shared" si="27"/>
        <v>0.49620875663448621</v>
      </c>
      <c r="AB64" s="82">
        <f t="shared" si="24"/>
        <v>0.70174515340078092</v>
      </c>
      <c r="AC64" s="82">
        <f t="shared" si="25"/>
        <v>71.250937406109855</v>
      </c>
      <c r="AD64" s="336"/>
      <c r="AE64" s="79"/>
      <c r="AF64" s="79"/>
      <c r="AG64" s="82">
        <f t="shared" si="6"/>
        <v>145.41007633899972</v>
      </c>
      <c r="AH64" s="82">
        <f t="shared" si="17"/>
        <v>-71.250937406109855</v>
      </c>
      <c r="AI64" s="57">
        <f t="shared" si="7"/>
        <v>12.05861005004307</v>
      </c>
      <c r="AJ64" s="57">
        <f t="shared" si="8"/>
        <v>12.05861005004307</v>
      </c>
      <c r="AK64" s="55"/>
      <c r="AL64" s="40">
        <f t="shared" si="9"/>
        <v>-140.57576517963335</v>
      </c>
      <c r="AM64">
        <f t="shared" si="10"/>
        <v>9.3586184397991324E-5</v>
      </c>
      <c r="AN64" s="54"/>
      <c r="AQ64" s="78">
        <f t="shared" si="11"/>
        <v>61</v>
      </c>
      <c r="AR64" s="82">
        <f t="shared" si="12"/>
        <v>23</v>
      </c>
      <c r="AS64" s="85">
        <f t="shared" si="13"/>
        <v>0</v>
      </c>
      <c r="AT64" s="85">
        <f t="shared" si="14"/>
        <v>0</v>
      </c>
    </row>
    <row r="65" spans="22:46">
      <c r="V65" s="78">
        <f t="shared" si="15"/>
        <v>62</v>
      </c>
      <c r="W65" s="79">
        <f t="shared" si="21"/>
        <v>23.375</v>
      </c>
      <c r="X65" s="80">
        <f t="shared" si="22"/>
        <v>41.581473586336671</v>
      </c>
      <c r="Y65" s="80">
        <f t="shared" si="23"/>
        <v>115.63245023499792</v>
      </c>
      <c r="Z65" s="81">
        <f t="shared" si="3"/>
        <v>-66.305750025163206</v>
      </c>
      <c r="AA65" s="82">
        <f t="shared" si="27"/>
        <v>0.48385195342774445</v>
      </c>
      <c r="AB65" s="82">
        <f t="shared" si="24"/>
        <v>0.68426999471823136</v>
      </c>
      <c r="AC65" s="82">
        <f t="shared" si="25"/>
        <v>73.070572122030569</v>
      </c>
      <c r="AD65" s="336"/>
      <c r="AE65" s="79"/>
      <c r="AF65" s="79"/>
      <c r="AG65" s="82">
        <f t="shared" si="6"/>
        <v>149.12361657557261</v>
      </c>
      <c r="AH65" s="82">
        <f t="shared" si="17"/>
        <v>-73.070572122030569</v>
      </c>
      <c r="AI65" s="57">
        <f t="shared" si="7"/>
        <v>12.211618098170799</v>
      </c>
      <c r="AJ65" s="57">
        <f t="shared" si="8"/>
        <v>12.211618098170799</v>
      </c>
      <c r="AK65" s="55"/>
      <c r="AL65" s="40">
        <f t="shared" si="9"/>
        <v>-140.35672667382445</v>
      </c>
      <c r="AM65">
        <f t="shared" si="10"/>
        <v>9.5976225515493016E-5</v>
      </c>
      <c r="AN65" s="54"/>
      <c r="AQ65" s="78">
        <f t="shared" si="11"/>
        <v>62</v>
      </c>
      <c r="AR65" s="82">
        <f t="shared" si="12"/>
        <v>23.375</v>
      </c>
      <c r="AS65" s="85">
        <f t="shared" si="13"/>
        <v>0</v>
      </c>
      <c r="AT65" s="85">
        <f t="shared" si="14"/>
        <v>0</v>
      </c>
    </row>
    <row r="66" spans="22:46">
      <c r="V66" s="78">
        <f t="shared" si="15"/>
        <v>63</v>
      </c>
      <c r="W66" s="79">
        <f t="shared" si="21"/>
        <v>23.75</v>
      </c>
      <c r="X66" s="80">
        <f t="shared" si="22"/>
        <v>41.797158418826562</v>
      </c>
      <c r="Y66" s="80">
        <f t="shared" si="23"/>
        <v>115.41676540250802</v>
      </c>
      <c r="Z66" s="81">
        <f t="shared" si="3"/>
        <v>-66.521434857653105</v>
      </c>
      <c r="AA66" s="82">
        <f t="shared" si="27"/>
        <v>0.47198506567879034</v>
      </c>
      <c r="AB66" s="82">
        <f t="shared" si="24"/>
        <v>0.66748768112050139</v>
      </c>
      <c r="AC66" s="82">
        <f t="shared" si="25"/>
        <v>74.907749482456012</v>
      </c>
      <c r="AD66" s="336"/>
      <c r="AE66" s="79"/>
      <c r="AF66" s="79"/>
      <c r="AG66" s="82">
        <f t="shared" si="6"/>
        <v>152.87295812746126</v>
      </c>
      <c r="AH66" s="82">
        <f t="shared" si="17"/>
        <v>-74.907749482456012</v>
      </c>
      <c r="AI66" s="57">
        <f t="shared" si="7"/>
        <v>12.364180447060019</v>
      </c>
      <c r="AJ66" s="57">
        <f t="shared" si="8"/>
        <v>12.364180447060019</v>
      </c>
      <c r="AK66" s="55"/>
      <c r="AL66" s="40">
        <f t="shared" si="9"/>
        <v>-140.14104184133456</v>
      </c>
      <c r="AM66">
        <f t="shared" si="10"/>
        <v>9.8389308423365538E-5</v>
      </c>
      <c r="AN66" s="54"/>
      <c r="AQ66" s="78">
        <f t="shared" si="11"/>
        <v>63</v>
      </c>
      <c r="AR66" s="82">
        <f t="shared" si="12"/>
        <v>23.75</v>
      </c>
      <c r="AS66" s="85">
        <f t="shared" si="13"/>
        <v>0</v>
      </c>
      <c r="AT66" s="85">
        <f t="shared" si="14"/>
        <v>0</v>
      </c>
    </row>
    <row r="67" spans="22:46">
      <c r="V67" s="78">
        <f t="shared" si="15"/>
        <v>64</v>
      </c>
      <c r="W67" s="79">
        <f t="shared" si="21"/>
        <v>24.125</v>
      </c>
      <c r="X67" s="80">
        <f t="shared" si="22"/>
        <v>42.009594660474903</v>
      </c>
      <c r="Y67" s="80">
        <f t="shared" si="23"/>
        <v>115.20432916085969</v>
      </c>
      <c r="Z67" s="81">
        <f t="shared" si="3"/>
        <v>-66.733871099301439</v>
      </c>
      <c r="AA67" s="82">
        <f t="shared" si="27"/>
        <v>0.46058145248393317</v>
      </c>
      <c r="AB67" s="82">
        <f t="shared" si="24"/>
        <v>0.6513605366802776</v>
      </c>
      <c r="AC67" s="82">
        <f t="shared" si="25"/>
        <v>76.762402977051494</v>
      </c>
      <c r="AD67" s="336"/>
      <c r="AE67" s="79"/>
      <c r="AF67" s="79"/>
      <c r="AG67" s="82">
        <f t="shared" si="6"/>
        <v>156.65796525928877</v>
      </c>
      <c r="AH67" s="82">
        <f t="shared" si="17"/>
        <v>-76.762402977051494</v>
      </c>
      <c r="AI67" s="57">
        <f t="shared" si="7"/>
        <v>12.516307972373035</v>
      </c>
      <c r="AJ67" s="57">
        <f t="shared" si="8"/>
        <v>12.516307972373035</v>
      </c>
      <c r="AK67" s="55"/>
      <c r="AL67" s="40">
        <f t="shared" si="9"/>
        <v>-139.92860559968622</v>
      </c>
      <c r="AM67">
        <f t="shared" si="10"/>
        <v>1.0082534576207862E-4</v>
      </c>
      <c r="AN67" s="54"/>
      <c r="AQ67" s="78">
        <f t="shared" si="11"/>
        <v>64</v>
      </c>
      <c r="AR67" s="82">
        <f t="shared" si="12"/>
        <v>24.125</v>
      </c>
      <c r="AS67" s="85">
        <f t="shared" si="13"/>
        <v>0</v>
      </c>
      <c r="AT67" s="85">
        <f t="shared" si="14"/>
        <v>0</v>
      </c>
    </row>
    <row r="68" spans="22:46">
      <c r="V68" s="78">
        <f t="shared" si="15"/>
        <v>65</v>
      </c>
      <c r="W68" s="79">
        <f t="shared" si="21"/>
        <v>24.5</v>
      </c>
      <c r="X68" s="80">
        <f t="shared" si="22"/>
        <v>42.218882530935971</v>
      </c>
      <c r="Y68" s="80">
        <f t="shared" si="23"/>
        <v>114.9950412903986</v>
      </c>
      <c r="Z68" s="81">
        <f t="shared" si="3"/>
        <v>-66.943158969762521</v>
      </c>
      <c r="AA68" s="82">
        <f t="shared" ref="AA68:AA88" si="28">POWER(10,0.05*Z68)*1000</f>
        <v>0.44961630427507693</v>
      </c>
      <c r="AB68" s="82">
        <f t="shared" si="24"/>
        <v>0.63585347536988202</v>
      </c>
      <c r="AC68" s="82">
        <f t="shared" si="25"/>
        <v>78.634468374831997</v>
      </c>
      <c r="AD68" s="336"/>
      <c r="AE68" s="79"/>
      <c r="AF68" s="79"/>
      <c r="AG68" s="82">
        <f t="shared" si="6"/>
        <v>160.47850688741227</v>
      </c>
      <c r="AH68" s="82">
        <f t="shared" si="17"/>
        <v>-78.634468374831997</v>
      </c>
      <c r="AI68" s="57">
        <f t="shared" si="7"/>
        <v>12.668011165428149</v>
      </c>
      <c r="AJ68" s="57">
        <f t="shared" si="8"/>
        <v>12.668011165428149</v>
      </c>
      <c r="AK68" s="55"/>
      <c r="AL68" s="40">
        <f t="shared" si="9"/>
        <v>-139.71931772922517</v>
      </c>
      <c r="AM68">
        <f t="shared" si="10"/>
        <v>1.0328425316596548E-4</v>
      </c>
      <c r="AN68" s="54"/>
      <c r="AQ68" s="78">
        <f t="shared" si="11"/>
        <v>65</v>
      </c>
      <c r="AR68" s="82">
        <f t="shared" si="12"/>
        <v>24.5</v>
      </c>
      <c r="AS68" s="85">
        <f t="shared" si="13"/>
        <v>0</v>
      </c>
      <c r="AT68" s="85">
        <f t="shared" si="14"/>
        <v>0</v>
      </c>
    </row>
    <row r="69" spans="22:46">
      <c r="V69" s="78">
        <f t="shared" si="15"/>
        <v>66</v>
      </c>
      <c r="W69" s="79">
        <f t="shared" si="21"/>
        <v>24.875</v>
      </c>
      <c r="X69" s="80">
        <f t="shared" si="22"/>
        <v>42.425117682532893</v>
      </c>
      <c r="Y69" s="80">
        <f t="shared" si="23"/>
        <v>114.7888061388017</v>
      </c>
      <c r="Z69" s="81">
        <f t="shared" ref="Z69:Z88" si="29">Y69+$C$28</f>
        <v>-67.149394121359421</v>
      </c>
      <c r="AA69" s="82">
        <f t="shared" si="28"/>
        <v>0.4390664913732702</v>
      </c>
      <c r="AB69" s="82">
        <f t="shared" si="24"/>
        <v>0.62093378688364831</v>
      </c>
      <c r="AC69" s="82">
        <f t="shared" si="25"/>
        <v>80.523883634905332</v>
      </c>
      <c r="AD69" s="336"/>
      <c r="AE69" s="79"/>
      <c r="AF69" s="79"/>
      <c r="AG69" s="82">
        <f t="shared" ref="AG69:AG88" si="30">AC69/$AD$10</f>
        <v>164.33445639776599</v>
      </c>
      <c r="AH69" s="82">
        <f t="shared" ref="AH69:AH88" si="31">($AD$4*$AD$6*AE69*AF69*$AD$8)-AC69</f>
        <v>-80.523883634905332</v>
      </c>
      <c r="AI69" s="57">
        <f t="shared" ref="AI69:AI88" si="32">POWER(AG69,0.5)</f>
        <v>12.819300152417291</v>
      </c>
      <c r="AJ69" s="57">
        <f t="shared" ref="AJ69:AJ88" si="33">AI69</f>
        <v>12.819300152417291</v>
      </c>
      <c r="AK69" s="55"/>
      <c r="AL69" s="40">
        <f t="shared" ref="AL69:AL88" si="34">X69+$C$28</f>
        <v>-139.51308257762824</v>
      </c>
      <c r="AM69">
        <f t="shared" ref="AM69:AM88" si="35">POWER(10,0.05*AL69)*1000</f>
        <v>1.0576594914598871E-4</v>
      </c>
      <c r="AN69" s="54"/>
      <c r="AQ69" s="78">
        <f t="shared" ref="AQ69:AQ88" si="36">V69</f>
        <v>66</v>
      </c>
      <c r="AR69" s="82">
        <f t="shared" ref="AR69:AR88" si="37">W69</f>
        <v>24.875</v>
      </c>
      <c r="AS69" s="85">
        <f t="shared" ref="AS69:AS88" si="38">AE69</f>
        <v>0</v>
      </c>
      <c r="AT69" s="85">
        <f t="shared" ref="AT69:AT88" si="39">AF69</f>
        <v>0</v>
      </c>
    </row>
    <row r="70" spans="22:46">
      <c r="V70" s="78">
        <f t="shared" ref="V70:V88" si="40">V69+1</f>
        <v>67</v>
      </c>
      <c r="W70" s="79">
        <f t="shared" si="21"/>
        <v>25.25</v>
      </c>
      <c r="X70" s="80">
        <f t="shared" si="22"/>
        <v>42.628391473640406</v>
      </c>
      <c r="Y70" s="80">
        <f t="shared" si="23"/>
        <v>114.5855323476942</v>
      </c>
      <c r="Z70" s="81">
        <f t="shared" si="29"/>
        <v>-67.352667912466927</v>
      </c>
      <c r="AA70" s="82">
        <f t="shared" si="28"/>
        <v>0.42891042711902161</v>
      </c>
      <c r="AB70" s="82">
        <f t="shared" si="24"/>
        <v>0.60657094307495729</v>
      </c>
      <c r="AC70" s="82">
        <f t="shared" si="25"/>
        <v>82.430588822025427</v>
      </c>
      <c r="AD70" s="336"/>
      <c r="AE70" s="79"/>
      <c r="AF70" s="79"/>
      <c r="AG70" s="82">
        <f t="shared" si="30"/>
        <v>168.22569147352129</v>
      </c>
      <c r="AH70" s="82">
        <f t="shared" si="31"/>
        <v>-82.430588822025427</v>
      </c>
      <c r="AI70" s="57">
        <f t="shared" si="32"/>
        <v>12.970184712390232</v>
      </c>
      <c r="AJ70" s="57">
        <f t="shared" si="33"/>
        <v>12.970184712390232</v>
      </c>
      <c r="AK70" s="55"/>
      <c r="AL70" s="40">
        <f t="shared" si="34"/>
        <v>-139.3098087865207</v>
      </c>
      <c r="AM70">
        <f t="shared" si="35"/>
        <v>1.0827035497881856E-4</v>
      </c>
      <c r="AN70" s="54"/>
      <c r="AQ70" s="78">
        <f t="shared" si="36"/>
        <v>67</v>
      </c>
      <c r="AR70" s="82">
        <f t="shared" si="37"/>
        <v>25.25</v>
      </c>
      <c r="AS70" s="85">
        <f t="shared" si="38"/>
        <v>0</v>
      </c>
      <c r="AT70" s="85">
        <f t="shared" si="39"/>
        <v>0</v>
      </c>
    </row>
    <row r="71" spans="22:46">
      <c r="V71" s="78">
        <f t="shared" si="40"/>
        <v>68</v>
      </c>
      <c r="W71" s="79">
        <f t="shared" si="21"/>
        <v>25.625</v>
      </c>
      <c r="X71" s="80">
        <f t="shared" si="22"/>
        <v>42.828791221914315</v>
      </c>
      <c r="Y71" s="80">
        <f t="shared" si="23"/>
        <v>114.38513259942027</v>
      </c>
      <c r="Z71" s="81">
        <f t="shared" si="29"/>
        <v>-67.553067660740851</v>
      </c>
      <c r="AA71" s="82">
        <f t="shared" si="28"/>
        <v>0.41912794398452474</v>
      </c>
      <c r="AB71" s="82">
        <f t="shared" si="24"/>
        <v>0.59273642275246585</v>
      </c>
      <c r="AC71" s="82">
        <f t="shared" si="25"/>
        <v>84.354526026622509</v>
      </c>
      <c r="AD71" s="336"/>
      <c r="AE71" s="79"/>
      <c r="AF71" s="79"/>
      <c r="AG71" s="82">
        <f t="shared" si="30"/>
        <v>172.15209393188269</v>
      </c>
      <c r="AH71" s="82">
        <f t="shared" si="31"/>
        <v>-84.354526026622509</v>
      </c>
      <c r="AI71" s="57">
        <f t="shared" si="32"/>
        <v>13.120674294100997</v>
      </c>
      <c r="AJ71" s="57">
        <f t="shared" si="33"/>
        <v>13.120674294100997</v>
      </c>
      <c r="AK71" s="55"/>
      <c r="AL71" s="40">
        <f t="shared" si="34"/>
        <v>-139.10940903824681</v>
      </c>
      <c r="AM71">
        <f t="shared" si="35"/>
        <v>1.1079739460179674E-4</v>
      </c>
      <c r="AN71" s="54"/>
      <c r="AQ71" s="78">
        <f t="shared" si="36"/>
        <v>68</v>
      </c>
      <c r="AR71" s="82">
        <f t="shared" si="37"/>
        <v>25.625</v>
      </c>
      <c r="AS71" s="85">
        <f t="shared" si="38"/>
        <v>0</v>
      </c>
      <c r="AT71" s="85">
        <f t="shared" si="39"/>
        <v>0</v>
      </c>
    </row>
    <row r="72" spans="22:46">
      <c r="V72" s="78">
        <f t="shared" si="40"/>
        <v>69</v>
      </c>
      <c r="W72" s="79">
        <f t="shared" si="21"/>
        <v>26</v>
      </c>
      <c r="X72" s="80">
        <f t="shared" si="22"/>
        <v>43.026400439124536</v>
      </c>
      <c r="Y72" s="80">
        <f t="shared" si="23"/>
        <v>114.18752338221006</v>
      </c>
      <c r="Z72" s="81">
        <f t="shared" si="29"/>
        <v>-67.750676877951065</v>
      </c>
      <c r="AA72" s="82">
        <f t="shared" si="28"/>
        <v>0.40970018126775842</v>
      </c>
      <c r="AB72" s="82">
        <f t="shared" si="24"/>
        <v>0.57940355285557943</v>
      </c>
      <c r="AC72" s="82">
        <f t="shared" si="25"/>
        <v>86.295639289017032</v>
      </c>
      <c r="AD72" s="336"/>
      <c r="AE72" s="79"/>
      <c r="AF72" s="79"/>
      <c r="AG72" s="82">
        <f t="shared" si="30"/>
        <v>176.11354956942253</v>
      </c>
      <c r="AH72" s="82">
        <f t="shared" si="31"/>
        <v>-86.295639289017032</v>
      </c>
      <c r="AI72" s="57">
        <f t="shared" si="32"/>
        <v>13.27077803180441</v>
      </c>
      <c r="AJ72" s="57">
        <f t="shared" si="33"/>
        <v>13.27077803180441</v>
      </c>
      <c r="AK72" s="55"/>
      <c r="AL72" s="40">
        <f t="shared" si="34"/>
        <v>-138.9117998210366</v>
      </c>
      <c r="AM72">
        <f t="shared" si="35"/>
        <v>1.1334699451339372E-4</v>
      </c>
      <c r="AN72" s="54"/>
      <c r="AQ72" s="78">
        <f t="shared" si="36"/>
        <v>69</v>
      </c>
      <c r="AR72" s="82">
        <f t="shared" si="37"/>
        <v>26</v>
      </c>
      <c r="AS72" s="85">
        <f t="shared" si="38"/>
        <v>0</v>
      </c>
      <c r="AT72" s="85">
        <f t="shared" si="39"/>
        <v>0</v>
      </c>
    </row>
    <row r="73" spans="22:46">
      <c r="V73" s="78">
        <f t="shared" si="40"/>
        <v>70</v>
      </c>
      <c r="W73" s="79">
        <f t="shared" si="21"/>
        <v>26.375</v>
      </c>
      <c r="X73" s="80">
        <f t="shared" si="22"/>
        <v>43.221299049172472</v>
      </c>
      <c r="Y73" s="80">
        <f t="shared" si="23"/>
        <v>113.99262477216212</v>
      </c>
      <c r="Z73" s="81">
        <f t="shared" si="29"/>
        <v>-67.945575487999008</v>
      </c>
      <c r="AA73" s="82">
        <f t="shared" si="28"/>
        <v>0.40060948313713407</v>
      </c>
      <c r="AB73" s="82">
        <f t="shared" si="24"/>
        <v>0.56654736426781072</v>
      </c>
      <c r="AC73" s="82">
        <f t="shared" si="25"/>
        <v>88.253874527540233</v>
      </c>
      <c r="AD73" s="336"/>
      <c r="AE73" s="79"/>
      <c r="AF73" s="79"/>
      <c r="AG73" s="82">
        <f t="shared" si="30"/>
        <v>180.10994801538826</v>
      </c>
      <c r="AH73" s="82">
        <f t="shared" si="31"/>
        <v>-88.253874527540233</v>
      </c>
      <c r="AI73" s="57">
        <f t="shared" si="32"/>
        <v>13.420504760082173</v>
      </c>
      <c r="AJ73" s="57">
        <f t="shared" si="33"/>
        <v>13.420504760082173</v>
      </c>
      <c r="AK73" s="55"/>
      <c r="AL73" s="40">
        <f t="shared" si="34"/>
        <v>-138.71690121098865</v>
      </c>
      <c r="AM73">
        <f t="shared" si="35"/>
        <v>1.1591908367879705E-4</v>
      </c>
      <c r="AN73" s="54"/>
      <c r="AQ73" s="78">
        <f t="shared" si="36"/>
        <v>70</v>
      </c>
      <c r="AR73" s="82">
        <f t="shared" si="37"/>
        <v>26.375</v>
      </c>
      <c r="AS73" s="85">
        <f t="shared" si="38"/>
        <v>0</v>
      </c>
      <c r="AT73" s="85">
        <f t="shared" si="39"/>
        <v>0</v>
      </c>
    </row>
    <row r="74" spans="22:46">
      <c r="V74" s="78">
        <f t="shared" si="40"/>
        <v>71</v>
      </c>
      <c r="W74" s="79">
        <f t="shared" si="21"/>
        <v>26.75</v>
      </c>
      <c r="X74" s="80">
        <f t="shared" si="22"/>
        <v>43.413563590717416</v>
      </c>
      <c r="Y74" s="80">
        <f t="shared" si="23"/>
        <v>113.80036023061717</v>
      </c>
      <c r="Z74" s="81">
        <f t="shared" si="29"/>
        <v>-68.137840029543952</v>
      </c>
      <c r="AA74" s="82">
        <f t="shared" si="28"/>
        <v>0.39183930594162136</v>
      </c>
      <c r="AB74" s="82">
        <f t="shared" si="24"/>
        <v>0.55414446073350143</v>
      </c>
      <c r="AC74" s="82">
        <f t="shared" si="25"/>
        <v>90.229179470307741</v>
      </c>
      <c r="AD74" s="336"/>
      <c r="AE74" s="79"/>
      <c r="AF74" s="79"/>
      <c r="AG74" s="82">
        <f t="shared" si="30"/>
        <v>184.14118259246482</v>
      </c>
      <c r="AH74" s="82">
        <f t="shared" si="31"/>
        <v>-90.229179470307741</v>
      </c>
      <c r="AI74" s="57">
        <f t="shared" si="32"/>
        <v>13.569863027770944</v>
      </c>
      <c r="AJ74" s="57">
        <f t="shared" si="33"/>
        <v>13.569863027770944</v>
      </c>
      <c r="AK74" s="55"/>
      <c r="AL74" s="40">
        <f t="shared" si="34"/>
        <v>-138.52463666944371</v>
      </c>
      <c r="AM74">
        <f t="shared" si="35"/>
        <v>1.1851359344029568E-4</v>
      </c>
      <c r="AN74" s="54"/>
      <c r="AQ74" s="78">
        <f t="shared" si="36"/>
        <v>71</v>
      </c>
      <c r="AR74" s="82">
        <f t="shared" si="37"/>
        <v>26.75</v>
      </c>
      <c r="AS74" s="85">
        <f t="shared" si="38"/>
        <v>0</v>
      </c>
      <c r="AT74" s="85">
        <f t="shared" si="39"/>
        <v>0</v>
      </c>
    </row>
    <row r="75" spans="22:46">
      <c r="V75" s="78">
        <f t="shared" si="40"/>
        <v>72</v>
      </c>
      <c r="W75" s="79">
        <f t="shared" si="21"/>
        <v>27.125</v>
      </c>
      <c r="X75" s="80">
        <f t="shared" si="22"/>
        <v>43.603267405697586</v>
      </c>
      <c r="Y75" s="80">
        <f t="shared" si="23"/>
        <v>113.61065641563701</v>
      </c>
      <c r="Z75" s="81">
        <f t="shared" si="29"/>
        <v>-68.327543844524115</v>
      </c>
      <c r="AA75" s="82">
        <f t="shared" si="28"/>
        <v>0.38337413382840102</v>
      </c>
      <c r="AB75" s="82">
        <f t="shared" si="24"/>
        <v>0.54217289952316272</v>
      </c>
      <c r="AC75" s="82">
        <f t="shared" si="25"/>
        <v>92.221503590413036</v>
      </c>
      <c r="AD75" s="336"/>
      <c r="AE75" s="79"/>
      <c r="AF75" s="79"/>
      <c r="AG75" s="82">
        <f t="shared" si="30"/>
        <v>188.20715018451642</v>
      </c>
      <c r="AH75" s="82">
        <f t="shared" si="31"/>
        <v>-92.221503590413036</v>
      </c>
      <c r="AI75" s="57">
        <f t="shared" si="32"/>
        <v>13.718861111058615</v>
      </c>
      <c r="AJ75" s="57">
        <f t="shared" si="33"/>
        <v>13.718861111058615</v>
      </c>
      <c r="AK75" s="55"/>
      <c r="AL75" s="40">
        <f t="shared" si="34"/>
        <v>-138.33493285446355</v>
      </c>
      <c r="AM75">
        <f t="shared" si="35"/>
        <v>1.2113045743216181E-4</v>
      </c>
      <c r="AN75" s="54"/>
      <c r="AQ75" s="78">
        <f t="shared" si="36"/>
        <v>72</v>
      </c>
      <c r="AR75" s="82">
        <f t="shared" si="37"/>
        <v>27.125</v>
      </c>
      <c r="AS75" s="85">
        <f t="shared" si="38"/>
        <v>0</v>
      </c>
      <c r="AT75" s="85">
        <f t="shared" si="39"/>
        <v>0</v>
      </c>
    </row>
    <row r="76" spans="22:46">
      <c r="V76" s="78">
        <f t="shared" si="40"/>
        <v>73</v>
      </c>
      <c r="W76" s="79">
        <f t="shared" si="21"/>
        <v>27.5</v>
      </c>
      <c r="X76" s="80">
        <f t="shared" si="22"/>
        <v>43.79048081490788</v>
      </c>
      <c r="Y76" s="80">
        <f t="shared" si="23"/>
        <v>113.42344300642671</v>
      </c>
      <c r="Z76" s="81">
        <f t="shared" si="29"/>
        <v>-68.514757253734416</v>
      </c>
      <c r="AA76" s="82">
        <f t="shared" si="28"/>
        <v>0.3751994018207967</v>
      </c>
      <c r="AB76" s="82">
        <f t="shared" si="24"/>
        <v>0.53061208264924331</v>
      </c>
      <c r="AC76" s="82">
        <f t="shared" si="25"/>
        <v>94.23079804432588</v>
      </c>
      <c r="AD76" s="336"/>
      <c r="AE76" s="79"/>
      <c r="AF76" s="79"/>
      <c r="AG76" s="82">
        <f t="shared" si="30"/>
        <v>192.30775111086916</v>
      </c>
      <c r="AH76" s="82">
        <f t="shared" si="31"/>
        <v>-94.23079804432588</v>
      </c>
      <c r="AI76" s="57">
        <f t="shared" si="32"/>
        <v>13.867507025809259</v>
      </c>
      <c r="AJ76" s="57">
        <f t="shared" si="33"/>
        <v>13.867507025809259</v>
      </c>
      <c r="AK76" s="55"/>
      <c r="AL76" s="40">
        <f t="shared" si="34"/>
        <v>-138.14771944525324</v>
      </c>
      <c r="AM76">
        <f t="shared" si="35"/>
        <v>1.2376961149973496E-4</v>
      </c>
      <c r="AN76" s="54"/>
      <c r="AQ76" s="78">
        <f t="shared" si="36"/>
        <v>73</v>
      </c>
      <c r="AR76" s="82">
        <f t="shared" si="37"/>
        <v>27.5</v>
      </c>
      <c r="AS76" s="85">
        <f t="shared" si="38"/>
        <v>0</v>
      </c>
      <c r="AT76" s="85">
        <f t="shared" si="39"/>
        <v>0</v>
      </c>
    </row>
    <row r="77" spans="22:46">
      <c r="V77" s="78">
        <f t="shared" si="40"/>
        <v>74</v>
      </c>
      <c r="W77" s="79">
        <f t="shared" si="21"/>
        <v>27.875</v>
      </c>
      <c r="X77" s="80">
        <f t="shared" si="22"/>
        <v>43.975271281686517</v>
      </c>
      <c r="Y77" s="80">
        <f t="shared" si="23"/>
        <v>113.23865253964806</v>
      </c>
      <c r="Z77" s="81">
        <f t="shared" si="29"/>
        <v>-68.699547720513067</v>
      </c>
      <c r="AA77" s="82">
        <f t="shared" si="28"/>
        <v>0.36730142560584633</v>
      </c>
      <c r="AB77" s="82">
        <f t="shared" si="24"/>
        <v>0.51944265757076036</v>
      </c>
      <c r="AC77" s="82">
        <f t="shared" si="25"/>
        <v>96.257015613294755</v>
      </c>
      <c r="AD77" s="336"/>
      <c r="AE77" s="79"/>
      <c r="AF77" s="79"/>
      <c r="AG77" s="82">
        <f t="shared" si="30"/>
        <v>196.44288900672402</v>
      </c>
      <c r="AH77" s="82">
        <f t="shared" si="31"/>
        <v>-96.257015613294755</v>
      </c>
      <c r="AI77" s="57">
        <f t="shared" si="32"/>
        <v>14.015808539171902</v>
      </c>
      <c r="AJ77" s="57">
        <f t="shared" si="33"/>
        <v>14.015808539171902</v>
      </c>
      <c r="AK77" s="55"/>
      <c r="AL77" s="40">
        <f t="shared" si="34"/>
        <v>-137.96292897847462</v>
      </c>
      <c r="AM77">
        <f t="shared" si="35"/>
        <v>1.2643099362245902E-4</v>
      </c>
      <c r="AN77" s="54"/>
      <c r="AQ77" s="78">
        <f t="shared" si="36"/>
        <v>74</v>
      </c>
      <c r="AR77" s="82">
        <f t="shared" si="37"/>
        <v>27.875</v>
      </c>
      <c r="AS77" s="85">
        <f t="shared" si="38"/>
        <v>0</v>
      </c>
      <c r="AT77" s="85">
        <f t="shared" si="39"/>
        <v>0</v>
      </c>
    </row>
    <row r="78" spans="22:46">
      <c r="V78" s="78">
        <f t="shared" si="40"/>
        <v>75</v>
      </c>
      <c r="W78" s="79">
        <f t="shared" si="21"/>
        <v>28.25</v>
      </c>
      <c r="X78" s="80">
        <f t="shared" si="22"/>
        <v>44.15770356466372</v>
      </c>
      <c r="Y78" s="80">
        <f t="shared" si="23"/>
        <v>113.05622025667088</v>
      </c>
      <c r="Z78" s="81">
        <f t="shared" si="29"/>
        <v>-68.881980003490241</v>
      </c>
      <c r="AA78" s="82">
        <f t="shared" si="28"/>
        <v>0.35966733736531858</v>
      </c>
      <c r="AB78" s="82">
        <f t="shared" si="24"/>
        <v>0.50864642644465308</v>
      </c>
      <c r="AC78" s="82">
        <f t="shared" si="25"/>
        <v>98.30011064756907</v>
      </c>
      <c r="AD78" s="336"/>
      <c r="AE78" s="79"/>
      <c r="AF78" s="79"/>
      <c r="AG78" s="82">
        <f t="shared" si="30"/>
        <v>200.61247070932467</v>
      </c>
      <c r="AH78" s="82">
        <f t="shared" si="31"/>
        <v>-98.30011064756907</v>
      </c>
      <c r="AI78" s="57">
        <f t="shared" si="32"/>
        <v>14.163773180523778</v>
      </c>
      <c r="AJ78" s="57">
        <f t="shared" si="33"/>
        <v>14.163773180523778</v>
      </c>
      <c r="AK78" s="55"/>
      <c r="AL78" s="40">
        <f t="shared" si="34"/>
        <v>-137.78049669549739</v>
      </c>
      <c r="AM78">
        <f t="shared" si="35"/>
        <v>1.2911454384061921E-4</v>
      </c>
      <c r="AN78" s="54"/>
      <c r="AQ78" s="78">
        <f t="shared" si="36"/>
        <v>75</v>
      </c>
      <c r="AR78" s="82">
        <f t="shared" si="37"/>
        <v>28.25</v>
      </c>
      <c r="AS78" s="85">
        <f t="shared" si="38"/>
        <v>0</v>
      </c>
      <c r="AT78" s="85">
        <f t="shared" si="39"/>
        <v>0</v>
      </c>
    </row>
    <row r="79" spans="22:46">
      <c r="V79" s="78">
        <f t="shared" si="40"/>
        <v>76</v>
      </c>
      <c r="W79" s="79">
        <f t="shared" si="21"/>
        <v>28.625</v>
      </c>
      <c r="X79" s="80">
        <f t="shared" si="22"/>
        <v>44.337839860438329</v>
      </c>
      <c r="Y79" s="80">
        <f t="shared" si="23"/>
        <v>112.87608396089627</v>
      </c>
      <c r="Z79" s="81">
        <f t="shared" si="29"/>
        <v>-69.062116299264858</v>
      </c>
      <c r="AA79" s="82">
        <f t="shared" si="28"/>
        <v>0.35228502705793874</v>
      </c>
      <c r="AB79" s="82">
        <f t="shared" si="24"/>
        <v>0.49820626308630978</v>
      </c>
      <c r="AC79" s="82">
        <f t="shared" si="25"/>
        <v>100.360039013275</v>
      </c>
      <c r="AD79" s="336"/>
      <c r="AE79" s="79"/>
      <c r="AF79" s="79"/>
      <c r="AG79" s="82">
        <f t="shared" si="30"/>
        <v>204.81640614954085</v>
      </c>
      <c r="AH79" s="82">
        <f t="shared" si="31"/>
        <v>-100.360039013275</v>
      </c>
      <c r="AI79" s="57">
        <f t="shared" si="32"/>
        <v>14.31140825179482</v>
      </c>
      <c r="AJ79" s="57">
        <f t="shared" si="33"/>
        <v>14.31140825179482</v>
      </c>
      <c r="AK79" s="55"/>
      <c r="AL79" s="40">
        <f t="shared" si="34"/>
        <v>-137.6003603997228</v>
      </c>
      <c r="AM79">
        <f t="shared" si="35"/>
        <v>1.3182020418556006E-4</v>
      </c>
      <c r="AN79" s="54"/>
      <c r="AQ79" s="78">
        <f t="shared" si="36"/>
        <v>76</v>
      </c>
      <c r="AR79" s="82">
        <f t="shared" si="37"/>
        <v>28.625</v>
      </c>
      <c r="AS79" s="85">
        <f t="shared" si="38"/>
        <v>0</v>
      </c>
      <c r="AT79" s="85">
        <f t="shared" si="39"/>
        <v>0</v>
      </c>
    </row>
    <row r="80" spans="22:46">
      <c r="V80" s="78">
        <f t="shared" si="40"/>
        <v>77</v>
      </c>
      <c r="W80" s="79">
        <f t="shared" si="21"/>
        <v>29</v>
      </c>
      <c r="X80" s="80">
        <f t="shared" si="22"/>
        <v>44.515739936968679</v>
      </c>
      <c r="Y80" s="80">
        <f t="shared" si="23"/>
        <v>112.6981838843659</v>
      </c>
      <c r="Z80" s="81">
        <f t="shared" si="29"/>
        <v>-69.240016375795221</v>
      </c>
      <c r="AA80" s="82">
        <f t="shared" si="28"/>
        <v>0.34514308862555404</v>
      </c>
      <c r="AB80" s="82">
        <f t="shared" si="24"/>
        <v>0.48810603689359766</v>
      </c>
      <c r="AC80" s="82">
        <f t="shared" si="25"/>
        <v>102.43675804177671</v>
      </c>
      <c r="AD80" s="336"/>
      <c r="AE80" s="79"/>
      <c r="AF80" s="79"/>
      <c r="AG80" s="82">
        <f t="shared" si="30"/>
        <v>209.05460824852392</v>
      </c>
      <c r="AH80" s="82">
        <f t="shared" si="31"/>
        <v>-102.43675804177671</v>
      </c>
      <c r="AI80" s="57">
        <f t="shared" si="32"/>
        <v>14.458720837215301</v>
      </c>
      <c r="AJ80" s="57">
        <f t="shared" si="33"/>
        <v>14.458720837215301</v>
      </c>
      <c r="AK80" s="55"/>
      <c r="AL80" s="40">
        <f t="shared" si="34"/>
        <v>-137.42246032319244</v>
      </c>
      <c r="AM80">
        <f t="shared" si="35"/>
        <v>1.3454791861318132E-4</v>
      </c>
      <c r="AN80" s="54"/>
      <c r="AQ80" s="78">
        <f t="shared" si="36"/>
        <v>77</v>
      </c>
      <c r="AR80" s="82">
        <f t="shared" si="37"/>
        <v>29</v>
      </c>
      <c r="AS80" s="85">
        <f t="shared" si="38"/>
        <v>0</v>
      </c>
      <c r="AT80" s="85">
        <f t="shared" si="39"/>
        <v>0</v>
      </c>
    </row>
    <row r="81" spans="22:46">
      <c r="V81" s="78">
        <f t="shared" si="40"/>
        <v>78</v>
      </c>
      <c r="W81" s="79">
        <f t="shared" si="21"/>
        <v>29.375</v>
      </c>
      <c r="X81" s="80">
        <f t="shared" si="22"/>
        <v>44.69146125839378</v>
      </c>
      <c r="Y81" s="80">
        <f t="shared" si="23"/>
        <v>112.5224625629408</v>
      </c>
      <c r="Z81" s="81">
        <f t="shared" si="29"/>
        <v>-69.415737697220322</v>
      </c>
      <c r="AA81" s="82">
        <f t="shared" si="28"/>
        <v>0.33823077065295604</v>
      </c>
      <c r="AB81" s="82">
        <f t="shared" si="24"/>
        <v>0.47833054306931427</v>
      </c>
      <c r="AC81" s="82">
        <f t="shared" si="25"/>
        <v>104.53022648138646</v>
      </c>
      <c r="AD81" s="336"/>
      <c r="AE81" s="79"/>
      <c r="AF81" s="79"/>
      <c r="AG81" s="82">
        <f t="shared" si="30"/>
        <v>213.32699281915609</v>
      </c>
      <c r="AH81" s="82">
        <f t="shared" si="31"/>
        <v>-104.53022648138646</v>
      </c>
      <c r="AI81" s="57">
        <f t="shared" si="32"/>
        <v>14.605717812526576</v>
      </c>
      <c r="AJ81" s="57">
        <f t="shared" si="33"/>
        <v>14.605717812526576</v>
      </c>
      <c r="AK81" s="55"/>
      <c r="AL81" s="40">
        <f t="shared" si="34"/>
        <v>-137.24673900176734</v>
      </c>
      <c r="AM81">
        <f t="shared" si="35"/>
        <v>1.3729763294050297E-4</v>
      </c>
      <c r="AN81" s="54"/>
      <c r="AQ81" s="78">
        <f t="shared" si="36"/>
        <v>78</v>
      </c>
      <c r="AR81" s="82">
        <f t="shared" si="37"/>
        <v>29.375</v>
      </c>
      <c r="AS81" s="85">
        <f t="shared" si="38"/>
        <v>0</v>
      </c>
      <c r="AT81" s="85">
        <f t="shared" si="39"/>
        <v>0</v>
      </c>
    </row>
    <row r="82" spans="22:46">
      <c r="V82" s="78">
        <f t="shared" si="40"/>
        <v>79</v>
      </c>
      <c r="W82" s="79">
        <f t="shared" si="21"/>
        <v>29.75</v>
      </c>
      <c r="X82" s="80">
        <f t="shared" si="22"/>
        <v>44.865059101937049</v>
      </c>
      <c r="Y82" s="80">
        <f t="shared" si="23"/>
        <v>112.34886471939754</v>
      </c>
      <c r="Z82" s="81">
        <f t="shared" si="29"/>
        <v>-69.589335540763585</v>
      </c>
      <c r="AA82" s="82">
        <f t="shared" si="28"/>
        <v>0.33153793106138979</v>
      </c>
      <c r="AB82" s="82">
        <f t="shared" si="24"/>
        <v>0.46886543854813367</v>
      </c>
      <c r="AC82" s="82">
        <f t="shared" si="25"/>
        <v>106.64040445128055</v>
      </c>
      <c r="AD82" s="336"/>
      <c r="AE82" s="79"/>
      <c r="AF82" s="79"/>
      <c r="AG82" s="82">
        <f t="shared" si="30"/>
        <v>217.63347847200114</v>
      </c>
      <c r="AH82" s="82">
        <f t="shared" si="31"/>
        <v>-106.64040445128055</v>
      </c>
      <c r="AI82" s="57">
        <f t="shared" si="32"/>
        <v>14.75240585369048</v>
      </c>
      <c r="AJ82" s="57">
        <f t="shared" si="33"/>
        <v>14.75240585369048</v>
      </c>
      <c r="AK82" s="55"/>
      <c r="AL82" s="40">
        <f t="shared" si="34"/>
        <v>-137.07314115822408</v>
      </c>
      <c r="AM82">
        <f t="shared" si="35"/>
        <v>1.4006929478513932E-4</v>
      </c>
      <c r="AN82" s="54"/>
      <c r="AQ82" s="78">
        <f t="shared" si="36"/>
        <v>79</v>
      </c>
      <c r="AR82" s="82">
        <f t="shared" si="37"/>
        <v>29.75</v>
      </c>
      <c r="AS82" s="85">
        <f t="shared" si="38"/>
        <v>0</v>
      </c>
      <c r="AT82" s="85">
        <f t="shared" si="39"/>
        <v>0</v>
      </c>
    </row>
    <row r="83" spans="22:46">
      <c r="V83" s="78">
        <f t="shared" si="40"/>
        <v>80</v>
      </c>
      <c r="W83" s="79">
        <f t="shared" si="21"/>
        <v>30.125</v>
      </c>
      <c r="X83" s="80">
        <f t="shared" si="22"/>
        <v>45.03658666748774</v>
      </c>
      <c r="Y83" s="80">
        <f t="shared" si="23"/>
        <v>112.17733715384685</v>
      </c>
      <c r="Z83" s="81">
        <f t="shared" si="29"/>
        <v>-69.760863106314275</v>
      </c>
      <c r="AA83" s="82">
        <f t="shared" si="28"/>
        <v>0.325054995460067</v>
      </c>
      <c r="AB83" s="82">
        <f t="shared" si="24"/>
        <v>0.45969718309675162</v>
      </c>
      <c r="AC83" s="82">
        <f t="shared" si="25"/>
        <v>108.76725339749709</v>
      </c>
      <c r="AD83" s="336"/>
      <c r="AE83" s="79"/>
      <c r="AF83" s="79"/>
      <c r="AG83" s="82">
        <f t="shared" si="30"/>
        <v>221.97398652550427</v>
      </c>
      <c r="AH83" s="82">
        <f t="shared" si="31"/>
        <v>-108.76725339749709</v>
      </c>
      <c r="AI83" s="57">
        <f t="shared" si="32"/>
        <v>14.898791445130852</v>
      </c>
      <c r="AJ83" s="57">
        <f t="shared" si="33"/>
        <v>14.898791445130852</v>
      </c>
      <c r="AK83" s="55"/>
      <c r="AL83" s="40">
        <f t="shared" si="34"/>
        <v>-136.90161359267339</v>
      </c>
      <c r="AM83">
        <f t="shared" si="35"/>
        <v>1.4286285350750114E-4</v>
      </c>
      <c r="AN83" s="54"/>
      <c r="AQ83" s="78">
        <f t="shared" si="36"/>
        <v>80</v>
      </c>
      <c r="AR83" s="82">
        <f t="shared" si="37"/>
        <v>30.125</v>
      </c>
      <c r="AS83" s="85">
        <f t="shared" si="38"/>
        <v>0</v>
      </c>
      <c r="AT83" s="85">
        <f t="shared" si="39"/>
        <v>0</v>
      </c>
    </row>
    <row r="84" spans="22:46">
      <c r="V84" s="78">
        <f t="shared" si="40"/>
        <v>81</v>
      </c>
      <c r="W84" s="79">
        <f t="shared" si="21"/>
        <v>30.5</v>
      </c>
      <c r="X84" s="80">
        <f t="shared" si="22"/>
        <v>45.20609518040358</v>
      </c>
      <c r="Y84" s="80">
        <f t="shared" si="23"/>
        <v>112.007828640931</v>
      </c>
      <c r="Z84" s="81">
        <f t="shared" si="29"/>
        <v>-69.930371619230129</v>
      </c>
      <c r="AA84" s="82">
        <f t="shared" si="28"/>
        <v>0.31877291881917902</v>
      </c>
      <c r="AB84" s="82">
        <f t="shared" si="24"/>
        <v>0.4508129851113406</v>
      </c>
      <c r="AC84" s="82">
        <f t="shared" si="25"/>
        <v>110.9107360508951</v>
      </c>
      <c r="AD84" s="336"/>
      <c r="AE84" s="79"/>
      <c r="AF84" s="79"/>
      <c r="AG84" s="82">
        <f t="shared" si="30"/>
        <v>226.34844092019409</v>
      </c>
      <c r="AH84" s="82">
        <f t="shared" si="31"/>
        <v>-110.9107360508951</v>
      </c>
      <c r="AI84" s="57">
        <f t="shared" si="32"/>
        <v>15.044880887537598</v>
      </c>
      <c r="AJ84" s="57">
        <f t="shared" si="33"/>
        <v>15.044880887537598</v>
      </c>
      <c r="AK84" s="55"/>
      <c r="AL84" s="40">
        <f t="shared" si="34"/>
        <v>-136.73210507975756</v>
      </c>
      <c r="AM84">
        <f t="shared" si="35"/>
        <v>1.4567826015557671E-4</v>
      </c>
      <c r="AN84" s="54"/>
      <c r="AQ84" s="78">
        <f t="shared" si="36"/>
        <v>81</v>
      </c>
      <c r="AR84" s="82">
        <f t="shared" si="37"/>
        <v>30.5</v>
      </c>
      <c r="AS84" s="85">
        <f t="shared" si="38"/>
        <v>0</v>
      </c>
      <c r="AT84" s="85">
        <f t="shared" si="39"/>
        <v>0</v>
      </c>
    </row>
    <row r="85" spans="22:46">
      <c r="V85" s="78">
        <f t="shared" si="40"/>
        <v>82</v>
      </c>
      <c r="W85" s="79">
        <f t="shared" si="21"/>
        <v>30.875</v>
      </c>
      <c r="X85" s="80">
        <f t="shared" si="22"/>
        <v>45.373633988031663</v>
      </c>
      <c r="Y85" s="80">
        <f t="shared" si="23"/>
        <v>111.84028983330293</v>
      </c>
      <c r="Z85" s="81">
        <f t="shared" si="29"/>
        <v>-70.097910426858192</v>
      </c>
      <c r="AA85" s="82">
        <f t="shared" si="28"/>
        <v>0.31268315016254783</v>
      </c>
      <c r="AB85" s="82">
        <f t="shared" si="24"/>
        <v>0.44220075168541823</v>
      </c>
      <c r="AC85" s="82">
        <f t="shared" si="25"/>
        <v>113.07081638696539</v>
      </c>
      <c r="AD85" s="336"/>
      <c r="AE85" s="79"/>
      <c r="AF85" s="79"/>
      <c r="AG85" s="82">
        <f t="shared" si="30"/>
        <v>230.75676813666408</v>
      </c>
      <c r="AH85" s="82">
        <f t="shared" si="31"/>
        <v>-113.07081638696539</v>
      </c>
      <c r="AI85" s="57">
        <f t="shared" si="32"/>
        <v>15.190680305261647</v>
      </c>
      <c r="AJ85" s="57">
        <f t="shared" si="33"/>
        <v>15.190680305261647</v>
      </c>
      <c r="AK85" s="55"/>
      <c r="AL85" s="40">
        <f t="shared" si="34"/>
        <v>-136.56456627212947</v>
      </c>
      <c r="AM85">
        <f t="shared" si="35"/>
        <v>1.4851546741214612E-4</v>
      </c>
      <c r="AN85" s="54"/>
      <c r="AQ85" s="78">
        <f t="shared" si="36"/>
        <v>82</v>
      </c>
      <c r="AR85" s="82">
        <f t="shared" si="37"/>
        <v>30.875</v>
      </c>
      <c r="AS85" s="85">
        <f t="shared" si="38"/>
        <v>0</v>
      </c>
      <c r="AT85" s="85">
        <f t="shared" si="39"/>
        <v>0</v>
      </c>
    </row>
    <row r="86" spans="22:46">
      <c r="V86" s="78">
        <f t="shared" si="40"/>
        <v>83</v>
      </c>
      <c r="W86" s="79">
        <f t="shared" si="21"/>
        <v>31.25</v>
      </c>
      <c r="X86" s="80">
        <f t="shared" si="22"/>
        <v>45.53925065040282</v>
      </c>
      <c r="Y86" s="80">
        <f t="shared" si="23"/>
        <v>111.67467317093178</v>
      </c>
      <c r="Z86" s="81">
        <f t="shared" si="29"/>
        <v>-70.263527089229342</v>
      </c>
      <c r="AA86" s="82">
        <f t="shared" si="28"/>
        <v>0.30677760000875742</v>
      </c>
      <c r="AB86" s="82">
        <f t="shared" si="24"/>
        <v>0.43384904256465329</v>
      </c>
      <c r="AC86" s="82">
        <f t="shared" si="25"/>
        <v>115.24745958739524</v>
      </c>
      <c r="AD86" s="336"/>
      <c r="AE86" s="79"/>
      <c r="AF86" s="79"/>
      <c r="AG86" s="82">
        <f t="shared" si="30"/>
        <v>235.19889711713319</v>
      </c>
      <c r="AH86" s="82">
        <f t="shared" si="31"/>
        <v>-115.24745958739524</v>
      </c>
      <c r="AI86" s="57">
        <f t="shared" si="32"/>
        <v>15.336195653327236</v>
      </c>
      <c r="AJ86" s="57">
        <f t="shared" si="33"/>
        <v>15.336195653327236</v>
      </c>
      <c r="AK86" s="55"/>
      <c r="AL86" s="40">
        <f t="shared" si="34"/>
        <v>-136.39894960975829</v>
      </c>
      <c r="AM86">
        <f t="shared" si="35"/>
        <v>1.5137442954429341E-4</v>
      </c>
      <c r="AN86" s="54"/>
      <c r="AQ86" s="78">
        <f t="shared" si="36"/>
        <v>83</v>
      </c>
      <c r="AR86" s="82">
        <f t="shared" si="37"/>
        <v>31.25</v>
      </c>
      <c r="AS86" s="85">
        <f t="shared" si="38"/>
        <v>0</v>
      </c>
      <c r="AT86" s="85">
        <f t="shared" si="39"/>
        <v>0</v>
      </c>
    </row>
    <row r="87" spans="22:46">
      <c r="V87" s="78">
        <f t="shared" si="40"/>
        <v>84</v>
      </c>
      <c r="W87" s="79">
        <f t="shared" si="21"/>
        <v>31.625</v>
      </c>
      <c r="X87" s="80">
        <f t="shared" si="22"/>
        <v>45.702991025516233</v>
      </c>
      <c r="Y87" s="80">
        <f t="shared" si="23"/>
        <v>111.51093279581835</v>
      </c>
      <c r="Z87" s="81">
        <f t="shared" si="29"/>
        <v>-70.427267464342776</v>
      </c>
      <c r="AA87" s="82">
        <f t="shared" si="28"/>
        <v>0.30104861031691121</v>
      </c>
      <c r="AB87" s="82">
        <f t="shared" si="24"/>
        <v>0.42574702764374872</v>
      </c>
      <c r="AC87" s="82">
        <f t="shared" si="25"/>
        <v>117.44063200328054</v>
      </c>
      <c r="AD87" s="336"/>
      <c r="AE87" s="79"/>
      <c r="AF87" s="79"/>
      <c r="AG87" s="82">
        <f t="shared" si="30"/>
        <v>239.67475919036849</v>
      </c>
      <c r="AH87" s="82">
        <f t="shared" si="31"/>
        <v>-117.44063200328054</v>
      </c>
      <c r="AI87" s="57">
        <f t="shared" si="32"/>
        <v>15.481432724084954</v>
      </c>
      <c r="AJ87" s="57">
        <f t="shared" si="33"/>
        <v>15.481432724084954</v>
      </c>
      <c r="AK87" s="55"/>
      <c r="AL87" s="40">
        <f t="shared" si="34"/>
        <v>-136.23520923464488</v>
      </c>
      <c r="AM87">
        <f t="shared" si="35"/>
        <v>1.5425510235509085E-4</v>
      </c>
      <c r="AN87" s="54"/>
      <c r="AQ87" s="78">
        <f t="shared" si="36"/>
        <v>84</v>
      </c>
      <c r="AR87" s="82">
        <f t="shared" si="37"/>
        <v>31.625</v>
      </c>
      <c r="AS87" s="85">
        <f t="shared" si="38"/>
        <v>0</v>
      </c>
      <c r="AT87" s="85">
        <f t="shared" si="39"/>
        <v>0</v>
      </c>
    </row>
    <row r="88" spans="22:46">
      <c r="V88" s="78">
        <f t="shared" si="40"/>
        <v>85</v>
      </c>
      <c r="W88" s="79">
        <f t="shared" si="21"/>
        <v>32</v>
      </c>
      <c r="X88" s="80">
        <f t="shared" si="22"/>
        <v>45.864899349597181</v>
      </c>
      <c r="Y88" s="80">
        <f t="shared" si="23"/>
        <v>111.34902447173741</v>
      </c>
      <c r="Z88" s="81">
        <f t="shared" si="29"/>
        <v>-70.589175788423717</v>
      </c>
      <c r="AA88" s="82">
        <f t="shared" si="28"/>
        <v>0.29548892671733562</v>
      </c>
      <c r="AB88" s="82">
        <f t="shared" si="24"/>
        <v>0.41788444769472566</v>
      </c>
      <c r="AC88" s="82">
        <f t="shared" si="25"/>
        <v>119.65030111990711</v>
      </c>
      <c r="AD88" s="337"/>
      <c r="AE88" s="79"/>
      <c r="AF88" s="79"/>
      <c r="AG88" s="82">
        <f t="shared" si="30"/>
        <v>244.18428799981046</v>
      </c>
      <c r="AH88" s="82">
        <f t="shared" si="31"/>
        <v>-119.65030111990711</v>
      </c>
      <c r="AI88" s="57">
        <f t="shared" si="32"/>
        <v>15.626397153528719</v>
      </c>
      <c r="AJ88" s="57">
        <f t="shared" si="33"/>
        <v>15.626397153528719</v>
      </c>
      <c r="AK88" s="55"/>
      <c r="AL88" s="40">
        <f t="shared" si="34"/>
        <v>-136.07330091056394</v>
      </c>
      <c r="AM88">
        <f t="shared" si="35"/>
        <v>1.5715744313733894E-4</v>
      </c>
      <c r="AN88" s="54"/>
      <c r="AQ88" s="78">
        <f t="shared" si="36"/>
        <v>85</v>
      </c>
      <c r="AR88" s="82">
        <f t="shared" si="37"/>
        <v>32</v>
      </c>
      <c r="AS88" s="85">
        <f t="shared" si="38"/>
        <v>0</v>
      </c>
      <c r="AT88" s="85">
        <f t="shared" si="39"/>
        <v>0</v>
      </c>
    </row>
    <row r="89" spans="22:46">
      <c r="AD89" s="4"/>
      <c r="AI89" s="54"/>
      <c r="AJ89" s="53"/>
      <c r="AK89" s="55"/>
      <c r="AL89" s="54"/>
      <c r="AM89" s="54"/>
      <c r="AN89" s="54"/>
    </row>
    <row r="90" spans="22:46">
      <c r="AD90" s="4"/>
      <c r="AI90" s="54"/>
      <c r="AJ90" s="53"/>
      <c r="AK90" s="55"/>
      <c r="AL90" s="54"/>
      <c r="AM90" s="54"/>
      <c r="AN90" s="54"/>
    </row>
    <row r="91" spans="22:46">
      <c r="AD91" s="4"/>
      <c r="AI91" s="54"/>
      <c r="AJ91" s="53"/>
      <c r="AK91" s="55"/>
      <c r="AL91" s="54"/>
      <c r="AM91" s="54"/>
      <c r="AN91" s="54"/>
    </row>
    <row r="92" spans="22:46">
      <c r="W92" s="75"/>
      <c r="X92" s="1"/>
      <c r="Y92" s="1"/>
      <c r="AC92" s="77"/>
      <c r="AD92" s="4"/>
      <c r="AI92" s="54"/>
      <c r="AJ92" s="53"/>
      <c r="AK92" s="55"/>
      <c r="AL92" s="54"/>
      <c r="AM92" s="54"/>
      <c r="AN92" s="54"/>
    </row>
    <row r="93" spans="22:46">
      <c r="W93" s="75"/>
      <c r="X93" s="1"/>
      <c r="Y93" s="1"/>
      <c r="AC93" s="77"/>
      <c r="AD93" s="4"/>
      <c r="AI93" s="54"/>
      <c r="AJ93" s="53"/>
      <c r="AK93" s="55"/>
      <c r="AL93" s="54"/>
      <c r="AM93" s="54"/>
      <c r="AN93" s="54"/>
    </row>
    <row r="94" spans="22:46">
      <c r="W94" s="75"/>
      <c r="X94" s="1"/>
      <c r="Y94" s="1"/>
      <c r="AC94" s="77"/>
      <c r="AD94" s="4"/>
      <c r="AI94" s="54"/>
      <c r="AJ94" s="53"/>
      <c r="AK94" s="55"/>
      <c r="AL94" s="54"/>
      <c r="AM94" s="54"/>
      <c r="AN94" s="54"/>
    </row>
    <row r="95" spans="22:46">
      <c r="W95" s="75"/>
      <c r="X95" s="1"/>
      <c r="Y95" s="1"/>
      <c r="AC95" s="77"/>
      <c r="AD95" s="4"/>
      <c r="AI95" s="54"/>
      <c r="AJ95" s="53"/>
      <c r="AK95" s="55"/>
      <c r="AL95" s="54"/>
      <c r="AM95" s="54"/>
      <c r="AN95" s="54"/>
    </row>
    <row r="96" spans="22:46">
      <c r="W96" s="75"/>
      <c r="X96" s="1"/>
      <c r="Y96" s="1"/>
      <c r="AC96" s="77"/>
      <c r="AD96" s="4"/>
      <c r="AI96" s="54"/>
      <c r="AJ96" s="53"/>
      <c r="AK96" s="55"/>
      <c r="AL96" s="54"/>
      <c r="AM96" s="54"/>
      <c r="AN96" s="54"/>
    </row>
    <row r="97" spans="23:40">
      <c r="W97" s="75"/>
      <c r="X97" s="1"/>
      <c r="Y97" s="1"/>
      <c r="AC97" s="77"/>
      <c r="AD97" s="4"/>
      <c r="AI97" s="54"/>
      <c r="AJ97" s="53"/>
      <c r="AK97" s="55"/>
      <c r="AL97" s="54"/>
      <c r="AM97" s="54"/>
      <c r="AN97" s="54"/>
    </row>
    <row r="98" spans="23:40">
      <c r="W98" s="75"/>
      <c r="X98" s="1"/>
      <c r="Y98" s="1"/>
      <c r="AC98" s="77"/>
      <c r="AD98" s="4"/>
      <c r="AI98" s="54"/>
      <c r="AJ98" s="53"/>
      <c r="AK98" s="55"/>
      <c r="AL98" s="54"/>
      <c r="AM98" s="54"/>
      <c r="AN98" s="54"/>
    </row>
    <row r="99" spans="23:40">
      <c r="W99" s="75"/>
      <c r="X99" s="1"/>
      <c r="Y99" s="1"/>
      <c r="AC99" s="77"/>
      <c r="AD99" s="4"/>
      <c r="AI99" s="54"/>
      <c r="AJ99" s="53"/>
      <c r="AK99" s="55"/>
      <c r="AL99" s="54"/>
      <c r="AM99" s="54"/>
      <c r="AN99" s="54"/>
    </row>
    <row r="100" spans="23:40">
      <c r="W100" s="75"/>
      <c r="X100" s="1"/>
      <c r="Y100" s="1"/>
      <c r="AC100" s="77"/>
      <c r="AD100" s="4"/>
      <c r="AI100" s="54"/>
      <c r="AJ100" s="53"/>
      <c r="AK100" s="55"/>
      <c r="AL100" s="54"/>
      <c r="AM100" s="54"/>
      <c r="AN100" s="54"/>
    </row>
    <row r="101" spans="23:40">
      <c r="W101" s="75"/>
      <c r="X101" s="1"/>
      <c r="Y101" s="1"/>
      <c r="AC101" s="77"/>
      <c r="AD101" s="4"/>
      <c r="AI101" s="54"/>
      <c r="AJ101" s="53"/>
      <c r="AK101" s="55"/>
      <c r="AL101" s="54"/>
      <c r="AM101" s="54"/>
      <c r="AN101" s="54"/>
    </row>
    <row r="102" spans="23:40">
      <c r="W102" s="75"/>
      <c r="X102" s="1"/>
      <c r="Y102" s="1"/>
      <c r="AC102" s="77"/>
      <c r="AD102" s="4"/>
      <c r="AI102" s="54"/>
      <c r="AJ102" s="53"/>
      <c r="AK102" s="55"/>
      <c r="AL102" s="54"/>
      <c r="AM102" s="54"/>
      <c r="AN102" s="54"/>
    </row>
    <row r="103" spans="23:40">
      <c r="W103" s="75"/>
      <c r="X103" s="1"/>
      <c r="Y103" s="1"/>
      <c r="AC103" s="77"/>
      <c r="AD103" s="4"/>
      <c r="AI103" s="54"/>
      <c r="AJ103" s="53"/>
      <c r="AK103" s="55"/>
      <c r="AL103" s="54"/>
      <c r="AM103" s="54"/>
      <c r="AN103" s="54"/>
    </row>
    <row r="104" spans="23:40">
      <c r="W104" s="75"/>
      <c r="X104" s="1"/>
      <c r="Y104" s="1"/>
      <c r="AC104" s="77"/>
      <c r="AD104" s="4"/>
      <c r="AI104" s="54"/>
      <c r="AJ104" s="53"/>
      <c r="AK104" s="55"/>
      <c r="AL104" s="54"/>
      <c r="AM104" s="54"/>
      <c r="AN104" s="54"/>
    </row>
    <row r="105" spans="23:40">
      <c r="W105" s="75"/>
      <c r="X105" s="1"/>
      <c r="Y105" s="1"/>
      <c r="AC105" s="77"/>
      <c r="AD105" s="4"/>
      <c r="AI105" s="54"/>
      <c r="AJ105" s="53"/>
      <c r="AK105" s="55"/>
      <c r="AL105" s="54"/>
      <c r="AM105" s="54"/>
      <c r="AN105" s="54"/>
    </row>
    <row r="106" spans="23:40">
      <c r="W106" s="75"/>
      <c r="X106" s="1"/>
      <c r="Y106" s="1"/>
      <c r="AC106" s="77"/>
      <c r="AD106" s="4"/>
      <c r="AI106" s="54"/>
      <c r="AJ106" s="53"/>
      <c r="AK106" s="55"/>
      <c r="AL106" s="54"/>
      <c r="AM106" s="54"/>
      <c r="AN106" s="54"/>
    </row>
    <row r="107" spans="23:40">
      <c r="W107" s="75"/>
      <c r="X107" s="1"/>
      <c r="Y107" s="1"/>
      <c r="AC107" s="77"/>
      <c r="AD107" s="4"/>
      <c r="AI107" s="54"/>
      <c r="AJ107" s="53"/>
      <c r="AK107" s="55"/>
      <c r="AL107" s="54"/>
      <c r="AM107" s="54"/>
      <c r="AN107" s="54"/>
    </row>
    <row r="108" spans="23:40">
      <c r="W108" s="75"/>
      <c r="X108" s="1"/>
      <c r="Y108" s="1"/>
      <c r="AC108" s="77"/>
      <c r="AD108" s="4"/>
      <c r="AI108" s="54"/>
      <c r="AJ108" s="53"/>
      <c r="AK108" s="55"/>
      <c r="AL108" s="54"/>
      <c r="AM108" s="54"/>
      <c r="AN108" s="54"/>
    </row>
    <row r="109" spans="23:40">
      <c r="W109" s="75"/>
      <c r="X109" s="1"/>
      <c r="Y109" s="1"/>
      <c r="AC109" s="77"/>
      <c r="AD109" s="4"/>
      <c r="AI109" s="54"/>
      <c r="AJ109" s="53"/>
      <c r="AK109" s="55"/>
      <c r="AL109" s="54"/>
      <c r="AM109" s="54"/>
      <c r="AN109" s="54"/>
    </row>
    <row r="110" spans="23:40">
      <c r="W110" s="75"/>
      <c r="X110" s="1"/>
      <c r="Y110" s="1"/>
      <c r="AC110" s="77"/>
      <c r="AD110" s="4"/>
      <c r="AI110" s="54"/>
      <c r="AJ110" s="53"/>
      <c r="AK110" s="55"/>
      <c r="AL110" s="54"/>
      <c r="AM110" s="54"/>
      <c r="AN110" s="54"/>
    </row>
    <row r="111" spans="23:40">
      <c r="W111" s="75"/>
      <c r="X111" s="1"/>
      <c r="Y111" s="1"/>
      <c r="AC111" s="77"/>
      <c r="AD111" s="4"/>
      <c r="AI111" s="54"/>
      <c r="AJ111" s="53"/>
      <c r="AK111" s="55"/>
      <c r="AL111" s="54"/>
      <c r="AM111" s="54"/>
      <c r="AN111" s="54"/>
    </row>
    <row r="112" spans="23:40">
      <c r="W112" s="75"/>
      <c r="X112" s="1"/>
      <c r="Y112" s="1"/>
      <c r="AC112" s="77"/>
      <c r="AD112" s="4"/>
      <c r="AI112" s="54"/>
      <c r="AJ112" s="53"/>
      <c r="AK112" s="55"/>
      <c r="AL112" s="54"/>
      <c r="AM112" s="54"/>
      <c r="AN112" s="54"/>
    </row>
    <row r="113" spans="23:40">
      <c r="W113" s="75"/>
      <c r="X113" s="1"/>
      <c r="Y113" s="1"/>
      <c r="AC113" s="77"/>
      <c r="AD113" s="4"/>
      <c r="AI113" s="54"/>
      <c r="AJ113" s="53"/>
      <c r="AK113" s="55"/>
      <c r="AL113" s="54"/>
      <c r="AM113" s="54"/>
      <c r="AN113" s="54"/>
    </row>
    <row r="114" spans="23:40">
      <c r="W114" s="75"/>
      <c r="X114" s="1"/>
      <c r="Y114" s="1"/>
      <c r="AC114" s="77"/>
      <c r="AD114" s="4"/>
      <c r="AI114" s="54"/>
      <c r="AJ114" s="53"/>
      <c r="AK114" s="55"/>
      <c r="AL114" s="54"/>
      <c r="AM114" s="54"/>
      <c r="AN114" s="54"/>
    </row>
    <row r="115" spans="23:40">
      <c r="W115" s="75"/>
      <c r="X115" s="1"/>
      <c r="Y115" s="1"/>
      <c r="AC115" s="77"/>
      <c r="AD115" s="4"/>
      <c r="AI115" s="54"/>
      <c r="AJ115" s="53"/>
      <c r="AK115" s="55"/>
      <c r="AL115" s="54"/>
      <c r="AM115" s="54"/>
      <c r="AN115" s="54"/>
    </row>
    <row r="116" spans="23:40">
      <c r="W116" s="75"/>
      <c r="X116" s="1"/>
      <c r="Y116" s="1"/>
      <c r="AC116" s="77"/>
      <c r="AD116" s="4"/>
      <c r="AI116" s="54"/>
      <c r="AJ116" s="53"/>
      <c r="AK116" s="55"/>
      <c r="AL116" s="54"/>
      <c r="AM116" s="54"/>
      <c r="AN116" s="54"/>
    </row>
    <row r="117" spans="23:40">
      <c r="W117" s="75"/>
      <c r="X117" s="1"/>
      <c r="Y117" s="1"/>
      <c r="AC117" s="77"/>
      <c r="AD117" s="4"/>
      <c r="AI117" s="54"/>
      <c r="AJ117" s="53"/>
      <c r="AK117" s="55"/>
      <c r="AL117" s="54"/>
      <c r="AM117" s="54"/>
      <c r="AN117" s="54"/>
    </row>
    <row r="118" spans="23:40">
      <c r="W118" s="75"/>
      <c r="X118" s="1"/>
      <c r="Y118" s="1"/>
      <c r="AC118" s="77"/>
      <c r="AD118" s="4"/>
      <c r="AI118" s="54"/>
      <c r="AJ118" s="53"/>
      <c r="AK118" s="55"/>
      <c r="AL118" s="54"/>
      <c r="AM118" s="54"/>
      <c r="AN118" s="54"/>
    </row>
    <row r="119" spans="23:40">
      <c r="W119" s="75"/>
      <c r="X119" s="1"/>
      <c r="Y119" s="1"/>
      <c r="AC119" s="77"/>
      <c r="AD119" s="4"/>
      <c r="AI119" s="54"/>
      <c r="AJ119" s="53"/>
      <c r="AK119" s="55"/>
      <c r="AL119" s="54"/>
      <c r="AM119" s="54"/>
      <c r="AN119" s="54"/>
    </row>
    <row r="120" spans="23:40">
      <c r="W120" s="75"/>
      <c r="X120" s="1"/>
      <c r="Y120" s="1"/>
      <c r="AC120" s="77"/>
      <c r="AD120" s="4"/>
      <c r="AI120" s="54"/>
      <c r="AJ120" s="53"/>
      <c r="AK120" s="55"/>
      <c r="AL120" s="54"/>
      <c r="AM120" s="54"/>
      <c r="AN120" s="54"/>
    </row>
    <row r="121" spans="23:40">
      <c r="W121" s="75"/>
      <c r="X121" s="1"/>
      <c r="Y121" s="1"/>
      <c r="AC121" s="77"/>
      <c r="AD121" s="4"/>
      <c r="AI121" s="54"/>
      <c r="AJ121" s="53"/>
      <c r="AK121" s="55"/>
      <c r="AL121" s="54"/>
      <c r="AM121" s="54"/>
      <c r="AN121" s="54"/>
    </row>
    <row r="122" spans="23:40">
      <c r="W122" s="75"/>
      <c r="X122" s="1"/>
      <c r="Y122" s="1"/>
      <c r="AC122" s="77"/>
      <c r="AD122" s="4"/>
      <c r="AI122" s="54"/>
      <c r="AJ122" s="53"/>
      <c r="AK122" s="55"/>
      <c r="AL122" s="54"/>
      <c r="AM122" s="54"/>
      <c r="AN122" s="54"/>
    </row>
    <row r="123" spans="23:40">
      <c r="W123" s="75"/>
      <c r="X123" s="1"/>
      <c r="Y123" s="1"/>
      <c r="AC123" s="77"/>
      <c r="AD123" s="4"/>
      <c r="AI123" s="54"/>
      <c r="AJ123" s="53"/>
      <c r="AK123" s="55"/>
      <c r="AL123" s="54"/>
      <c r="AM123" s="54"/>
      <c r="AN123" s="54"/>
    </row>
    <row r="124" spans="23:40">
      <c r="W124" s="75"/>
      <c r="X124" s="1"/>
      <c r="Y124" s="1"/>
      <c r="AC124" s="77"/>
      <c r="AD124" s="4"/>
      <c r="AI124" s="54"/>
      <c r="AJ124" s="53"/>
      <c r="AK124" s="55"/>
      <c r="AL124" s="54"/>
      <c r="AM124" s="54"/>
      <c r="AN124" s="54"/>
    </row>
    <row r="125" spans="23:40">
      <c r="W125" s="75"/>
      <c r="X125" s="1"/>
      <c r="Y125" s="1"/>
      <c r="AC125" s="77"/>
      <c r="AD125" s="4"/>
      <c r="AI125" s="54"/>
      <c r="AJ125" s="53"/>
      <c r="AK125" s="55"/>
      <c r="AL125" s="54"/>
      <c r="AM125" s="54"/>
      <c r="AN125" s="54"/>
    </row>
    <row r="126" spans="23:40">
      <c r="W126" s="75"/>
      <c r="X126" s="1"/>
      <c r="Y126" s="1"/>
      <c r="AC126" s="77"/>
      <c r="AD126" s="4"/>
      <c r="AI126" s="54"/>
      <c r="AJ126" s="53"/>
      <c r="AK126" s="55"/>
      <c r="AL126" s="54"/>
      <c r="AM126" s="54"/>
      <c r="AN126" s="54"/>
    </row>
    <row r="127" spans="23:40">
      <c r="W127" s="75"/>
      <c r="X127" s="1"/>
      <c r="Y127" s="1"/>
      <c r="AC127" s="77"/>
      <c r="AD127" s="4"/>
      <c r="AI127" s="54"/>
      <c r="AJ127" s="53"/>
      <c r="AK127" s="55"/>
      <c r="AL127" s="54"/>
      <c r="AM127" s="54"/>
      <c r="AN127" s="54"/>
    </row>
    <row r="128" spans="23:40">
      <c r="W128" s="75"/>
      <c r="X128" s="1"/>
      <c r="Y128" s="1"/>
      <c r="AC128" s="77"/>
      <c r="AD128" s="4"/>
      <c r="AI128" s="54"/>
      <c r="AJ128" s="53"/>
      <c r="AK128" s="55"/>
      <c r="AL128" s="54"/>
      <c r="AM128" s="54"/>
      <c r="AN128" s="54"/>
    </row>
    <row r="129" spans="23:40">
      <c r="W129" s="75"/>
      <c r="X129" s="1"/>
      <c r="AC129" s="77"/>
      <c r="AD129" s="4"/>
      <c r="AI129" s="54"/>
      <c r="AJ129" s="53"/>
      <c r="AK129" s="55"/>
      <c r="AL129" s="54"/>
      <c r="AM129" s="54"/>
      <c r="AN129" s="54"/>
    </row>
    <row r="130" spans="23:40">
      <c r="W130" s="75"/>
      <c r="AC130" s="77"/>
      <c r="AD130" s="4"/>
      <c r="AI130" s="54"/>
      <c r="AJ130" s="53"/>
      <c r="AK130" s="55"/>
      <c r="AL130" s="54"/>
      <c r="AM130" s="54"/>
      <c r="AN130" s="54"/>
    </row>
    <row r="131" spans="23:40">
      <c r="W131" s="75"/>
      <c r="AC131" s="77"/>
      <c r="AD131" s="4"/>
      <c r="AI131" s="54"/>
      <c r="AJ131" s="53"/>
      <c r="AK131" s="55"/>
      <c r="AL131" s="54"/>
      <c r="AM131" s="54"/>
      <c r="AN131" s="54"/>
    </row>
    <row r="132" spans="23:40">
      <c r="W132" s="75"/>
      <c r="AC132" s="77"/>
      <c r="AD132" s="4"/>
      <c r="AI132" s="54"/>
      <c r="AJ132" s="53"/>
      <c r="AK132" s="55"/>
      <c r="AL132" s="54"/>
      <c r="AM132" s="54"/>
      <c r="AN132" s="54"/>
    </row>
    <row r="133" spans="23:40">
      <c r="W133" s="75"/>
      <c r="AC133" s="77"/>
      <c r="AD133" s="4"/>
      <c r="AI133" s="54"/>
      <c r="AJ133" s="53"/>
      <c r="AK133" s="55"/>
      <c r="AL133" s="54"/>
      <c r="AM133" s="54"/>
      <c r="AN133" s="54"/>
    </row>
    <row r="134" spans="23:40">
      <c r="W134" s="75"/>
      <c r="AC134" s="77"/>
      <c r="AD134" s="4"/>
      <c r="AI134" s="54"/>
      <c r="AJ134" s="53"/>
      <c r="AK134" s="55"/>
      <c r="AL134" s="54"/>
      <c r="AM134" s="54"/>
      <c r="AN134" s="54"/>
    </row>
    <row r="135" spans="23:40">
      <c r="W135" s="75"/>
      <c r="AC135" s="77"/>
      <c r="AD135" s="4"/>
      <c r="AI135" s="54"/>
      <c r="AJ135" s="53"/>
      <c r="AK135" s="55"/>
      <c r="AL135" s="54"/>
      <c r="AM135" s="54"/>
      <c r="AN135" s="54"/>
    </row>
    <row r="136" spans="23:40">
      <c r="W136" s="75"/>
      <c r="AC136" s="77"/>
      <c r="AD136" s="4"/>
      <c r="AI136" s="54"/>
      <c r="AJ136" s="53"/>
      <c r="AK136" s="55"/>
      <c r="AL136" s="54"/>
      <c r="AM136" s="54"/>
      <c r="AN136" s="54"/>
    </row>
    <row r="137" spans="23:40">
      <c r="W137" s="75"/>
      <c r="AC137" s="77"/>
      <c r="AD137" s="4"/>
      <c r="AI137" s="54"/>
      <c r="AJ137" s="53"/>
      <c r="AK137" s="55"/>
      <c r="AL137" s="54"/>
      <c r="AM137" s="54"/>
      <c r="AN137" s="54"/>
    </row>
    <row r="138" spans="23:40">
      <c r="W138" s="75"/>
      <c r="AC138" s="77"/>
      <c r="AD138" s="4"/>
      <c r="AI138" s="54"/>
      <c r="AJ138" s="53"/>
      <c r="AK138" s="55"/>
      <c r="AL138" s="54"/>
      <c r="AM138" s="54"/>
      <c r="AN138" s="54"/>
    </row>
    <row r="139" spans="23:40">
      <c r="W139" s="75"/>
      <c r="AC139" s="77"/>
      <c r="AD139" s="4"/>
      <c r="AI139" s="54"/>
      <c r="AJ139" s="53"/>
      <c r="AK139" s="55"/>
      <c r="AL139" s="54"/>
      <c r="AM139" s="54"/>
      <c r="AN139" s="54"/>
    </row>
    <row r="140" spans="23:40">
      <c r="W140" s="75"/>
      <c r="AC140" s="77"/>
      <c r="AD140" s="4"/>
      <c r="AI140" s="54"/>
      <c r="AJ140" s="53"/>
      <c r="AK140" s="55"/>
      <c r="AL140" s="54"/>
      <c r="AM140" s="54"/>
      <c r="AN140" s="54"/>
    </row>
    <row r="141" spans="23:40">
      <c r="W141" s="75"/>
      <c r="AC141" s="77"/>
      <c r="AD141" s="4"/>
      <c r="AI141" s="54"/>
      <c r="AJ141" s="53"/>
      <c r="AK141" s="55"/>
      <c r="AL141" s="54"/>
      <c r="AM141" s="54"/>
      <c r="AN141" s="54"/>
    </row>
    <row r="142" spans="23:40">
      <c r="W142" s="75"/>
      <c r="AC142" s="77"/>
      <c r="AD142" s="4"/>
      <c r="AI142" s="54"/>
      <c r="AJ142" s="53"/>
      <c r="AK142" s="55"/>
      <c r="AL142" s="54"/>
      <c r="AM142" s="54"/>
      <c r="AN142" s="54"/>
    </row>
    <row r="143" spans="23:40">
      <c r="W143" s="75"/>
      <c r="AC143" s="77"/>
      <c r="AD143" s="4"/>
      <c r="AI143" s="54"/>
      <c r="AJ143" s="53"/>
      <c r="AK143" s="55"/>
      <c r="AL143" s="54"/>
      <c r="AM143" s="54"/>
      <c r="AN143" s="54"/>
    </row>
    <row r="144" spans="23:40">
      <c r="W144" s="75"/>
      <c r="AC144" s="77"/>
      <c r="AD144" s="4"/>
      <c r="AI144" s="54"/>
      <c r="AJ144" s="53"/>
      <c r="AK144" s="55"/>
      <c r="AL144" s="54"/>
      <c r="AM144" s="54"/>
      <c r="AN144" s="54"/>
    </row>
    <row r="145" spans="23:40">
      <c r="W145" s="75"/>
      <c r="AC145" s="77"/>
      <c r="AD145" s="4"/>
      <c r="AI145" s="54"/>
      <c r="AJ145" s="53"/>
      <c r="AK145" s="55"/>
      <c r="AL145" s="54"/>
      <c r="AM145" s="54"/>
      <c r="AN145" s="54"/>
    </row>
    <row r="146" spans="23:40">
      <c r="W146" s="75"/>
      <c r="AC146" s="77"/>
      <c r="AD146" s="4"/>
      <c r="AI146" s="54"/>
      <c r="AJ146" s="53"/>
      <c r="AK146" s="55"/>
      <c r="AL146" s="54"/>
      <c r="AM146" s="54"/>
      <c r="AN146" s="54"/>
    </row>
    <row r="147" spans="23:40">
      <c r="W147" s="75"/>
      <c r="AC147" s="77"/>
      <c r="AD147" s="4"/>
      <c r="AI147" s="54"/>
      <c r="AJ147" s="53"/>
      <c r="AK147" s="55"/>
      <c r="AL147" s="54"/>
      <c r="AM147" s="54"/>
      <c r="AN147" s="54"/>
    </row>
    <row r="148" spans="23:40">
      <c r="W148" s="75"/>
      <c r="AC148" s="77"/>
      <c r="AD148" s="4"/>
      <c r="AI148" s="54"/>
      <c r="AJ148" s="53"/>
      <c r="AK148" s="55"/>
      <c r="AL148" s="54"/>
      <c r="AM148" s="54"/>
      <c r="AN148" s="54"/>
    </row>
    <row r="149" spans="23:40">
      <c r="W149" s="75"/>
      <c r="AC149" s="77"/>
      <c r="AD149" s="4"/>
      <c r="AI149" s="54"/>
      <c r="AJ149" s="53"/>
      <c r="AK149" s="55"/>
      <c r="AL149" s="54"/>
      <c r="AM149" s="54"/>
      <c r="AN149" s="54"/>
    </row>
    <row r="150" spans="23:40">
      <c r="W150" s="75"/>
      <c r="AC150" s="77"/>
      <c r="AD150" s="4"/>
      <c r="AI150" s="54"/>
      <c r="AJ150" s="53"/>
      <c r="AK150" s="55"/>
      <c r="AL150" s="54"/>
      <c r="AM150" s="54"/>
      <c r="AN150" s="54"/>
    </row>
    <row r="151" spans="23:40">
      <c r="W151" s="75"/>
      <c r="AC151" s="77"/>
      <c r="AD151" s="4"/>
      <c r="AI151" s="54"/>
      <c r="AJ151" s="54"/>
      <c r="AK151" s="54"/>
      <c r="AL151" s="54"/>
      <c r="AM151" s="54"/>
      <c r="AN151" s="54"/>
    </row>
    <row r="152" spans="23:40">
      <c r="W152" s="75"/>
      <c r="AC152" s="77"/>
      <c r="AD152" s="4"/>
      <c r="AI152" s="54"/>
      <c r="AJ152" s="54"/>
      <c r="AK152" s="54"/>
      <c r="AL152" s="54"/>
      <c r="AM152" s="54"/>
      <c r="AN152" s="54"/>
    </row>
    <row r="153" spans="23:40">
      <c r="W153" s="75"/>
      <c r="AC153" s="77"/>
      <c r="AD153" s="4"/>
      <c r="AI153" s="54"/>
      <c r="AJ153" s="54"/>
      <c r="AK153" s="54"/>
      <c r="AL153" s="54"/>
      <c r="AM153" s="54"/>
      <c r="AN153" s="54"/>
    </row>
    <row r="154" spans="23:40">
      <c r="W154" s="75"/>
      <c r="AC154" s="77"/>
      <c r="AD154" s="4"/>
      <c r="AI154" s="54"/>
      <c r="AJ154" s="54"/>
      <c r="AK154" s="54"/>
      <c r="AL154" s="54"/>
      <c r="AM154" s="54"/>
      <c r="AN154" s="54"/>
    </row>
    <row r="155" spans="23:40">
      <c r="W155" s="75"/>
      <c r="AC155" s="77"/>
      <c r="AD155" s="4"/>
      <c r="AI155" s="54"/>
      <c r="AJ155" s="54"/>
      <c r="AK155" s="54"/>
      <c r="AL155" s="54"/>
      <c r="AM155" s="54"/>
      <c r="AN155" s="54"/>
    </row>
    <row r="156" spans="23:40">
      <c r="W156" s="75"/>
      <c r="AC156" s="77"/>
      <c r="AD156" s="4"/>
      <c r="AI156" s="54"/>
      <c r="AJ156" s="54"/>
      <c r="AK156" s="54"/>
      <c r="AL156" s="54"/>
      <c r="AM156" s="54"/>
      <c r="AN156" s="54"/>
    </row>
    <row r="157" spans="23:40">
      <c r="W157" s="75"/>
      <c r="AC157" s="77"/>
      <c r="AD157" s="4"/>
      <c r="AI157" s="54"/>
      <c r="AJ157" s="54"/>
      <c r="AK157" s="54"/>
      <c r="AL157" s="54"/>
      <c r="AM157" s="54"/>
      <c r="AN157" s="54"/>
    </row>
    <row r="158" spans="23:40">
      <c r="W158" s="75"/>
      <c r="AC158" s="77"/>
      <c r="AD158" s="4"/>
      <c r="AI158" s="54"/>
      <c r="AJ158" s="54"/>
      <c r="AK158" s="54"/>
      <c r="AL158" s="54"/>
      <c r="AM158" s="54"/>
      <c r="AN158" s="54"/>
    </row>
    <row r="159" spans="23:40">
      <c r="W159" s="75"/>
      <c r="AC159" s="77"/>
      <c r="AD159" s="4"/>
      <c r="AI159" s="54"/>
      <c r="AJ159" s="54"/>
      <c r="AK159" s="54"/>
      <c r="AL159" s="54"/>
      <c r="AM159" s="54"/>
      <c r="AN159" s="54"/>
    </row>
    <row r="160" spans="23:40">
      <c r="W160" s="75"/>
      <c r="AC160" s="77"/>
      <c r="AD160" s="4"/>
      <c r="AI160" s="54"/>
      <c r="AJ160" s="54"/>
      <c r="AK160" s="54"/>
      <c r="AL160" s="54"/>
      <c r="AM160" s="54"/>
      <c r="AN160" s="54"/>
    </row>
    <row r="161" spans="23:40">
      <c r="W161" s="75"/>
      <c r="AC161" s="77"/>
      <c r="AD161" s="4"/>
      <c r="AI161" s="54"/>
      <c r="AJ161" s="54"/>
      <c r="AK161" s="54"/>
      <c r="AL161" s="54"/>
      <c r="AM161" s="54"/>
      <c r="AN161" s="54"/>
    </row>
    <row r="162" spans="23:40">
      <c r="W162" s="75"/>
      <c r="AC162" s="77"/>
      <c r="AD162" s="4"/>
      <c r="AI162" s="54"/>
      <c r="AJ162" s="54"/>
      <c r="AK162" s="54"/>
      <c r="AL162" s="54"/>
      <c r="AM162" s="54"/>
      <c r="AN162" s="54"/>
    </row>
    <row r="163" spans="23:40">
      <c r="W163" s="75"/>
      <c r="AC163" s="77"/>
      <c r="AD163" s="4"/>
      <c r="AI163" s="54"/>
      <c r="AJ163" s="54"/>
      <c r="AK163" s="54"/>
      <c r="AL163" s="54"/>
      <c r="AM163" s="54"/>
      <c r="AN163" s="54"/>
    </row>
    <row r="164" spans="23:40">
      <c r="W164" s="75"/>
      <c r="AC164" s="77"/>
      <c r="AD164" s="4"/>
      <c r="AI164" s="54"/>
      <c r="AJ164" s="54"/>
      <c r="AK164" s="54"/>
      <c r="AL164" s="54"/>
      <c r="AM164" s="54"/>
      <c r="AN164" s="54"/>
    </row>
    <row r="165" spans="23:40">
      <c r="W165" s="75"/>
      <c r="AC165" s="77"/>
      <c r="AD165" s="4"/>
      <c r="AI165" s="54"/>
      <c r="AJ165" s="54"/>
      <c r="AK165" s="54"/>
      <c r="AL165" s="54"/>
      <c r="AM165" s="54"/>
      <c r="AN165" s="54"/>
    </row>
    <row r="166" spans="23:40">
      <c r="W166" s="75"/>
      <c r="AC166" s="77"/>
      <c r="AD166" s="4"/>
      <c r="AI166" s="54"/>
      <c r="AJ166" s="54"/>
      <c r="AK166" s="54"/>
      <c r="AL166" s="54"/>
      <c r="AM166" s="54"/>
      <c r="AN166" s="54"/>
    </row>
    <row r="167" spans="23:40">
      <c r="W167" s="75"/>
      <c r="AC167" s="77"/>
      <c r="AD167" s="4"/>
      <c r="AI167" s="54"/>
      <c r="AJ167" s="54"/>
      <c r="AK167" s="54"/>
      <c r="AL167" s="54"/>
      <c r="AM167" s="54"/>
      <c r="AN167" s="54"/>
    </row>
    <row r="168" spans="23:40">
      <c r="W168" s="75"/>
      <c r="AC168" s="77"/>
      <c r="AD168" s="4"/>
      <c r="AI168" s="54"/>
      <c r="AJ168" s="54"/>
      <c r="AK168" s="54"/>
      <c r="AL168" s="54"/>
      <c r="AM168" s="54"/>
      <c r="AN168" s="54"/>
    </row>
    <row r="169" spans="23:40">
      <c r="W169" s="75"/>
      <c r="AC169" s="77"/>
      <c r="AD169" s="4"/>
      <c r="AI169" s="54"/>
      <c r="AJ169" s="54"/>
      <c r="AK169" s="54"/>
      <c r="AL169" s="54"/>
      <c r="AM169" s="54"/>
      <c r="AN169" s="54"/>
    </row>
    <row r="170" spans="23:40">
      <c r="W170" s="75"/>
      <c r="AC170" s="77"/>
      <c r="AD170" s="4"/>
      <c r="AI170" s="54"/>
      <c r="AJ170" s="54"/>
      <c r="AK170" s="54"/>
      <c r="AL170" s="54"/>
      <c r="AM170" s="54"/>
      <c r="AN170" s="54"/>
    </row>
    <row r="171" spans="23:40">
      <c r="W171" s="75"/>
      <c r="AC171" s="77"/>
      <c r="AD171" s="4"/>
      <c r="AI171" s="54"/>
      <c r="AJ171" s="54"/>
      <c r="AK171" s="54"/>
      <c r="AL171" s="54"/>
      <c r="AM171" s="54"/>
      <c r="AN171" s="54"/>
    </row>
    <row r="172" spans="23:40">
      <c r="W172" s="75"/>
      <c r="AC172" s="77"/>
      <c r="AD172" s="4"/>
      <c r="AI172" s="54"/>
      <c r="AJ172" s="54"/>
      <c r="AK172" s="54"/>
      <c r="AL172" s="54"/>
      <c r="AM172" s="54"/>
      <c r="AN172" s="54"/>
    </row>
    <row r="173" spans="23:40">
      <c r="W173" s="75"/>
      <c r="AC173" s="77"/>
      <c r="AD173" s="4"/>
      <c r="AI173" s="54"/>
      <c r="AJ173" s="54"/>
      <c r="AK173" s="54"/>
      <c r="AL173" s="54"/>
      <c r="AM173" s="54"/>
      <c r="AN173" s="54"/>
    </row>
    <row r="174" spans="23:40">
      <c r="W174" s="75"/>
      <c r="AC174" s="77"/>
      <c r="AD174" s="4"/>
      <c r="AI174" s="54"/>
      <c r="AJ174" s="54"/>
      <c r="AK174" s="54"/>
      <c r="AL174" s="54"/>
      <c r="AM174" s="54"/>
      <c r="AN174" s="54"/>
    </row>
    <row r="175" spans="23:40">
      <c r="W175" s="75"/>
      <c r="AC175" s="77"/>
      <c r="AD175" s="4"/>
      <c r="AI175" s="54"/>
      <c r="AJ175" s="54"/>
      <c r="AK175" s="54"/>
      <c r="AL175" s="54"/>
      <c r="AM175" s="54"/>
      <c r="AN175" s="54"/>
    </row>
    <row r="176" spans="23:40">
      <c r="W176" s="75"/>
      <c r="AC176" s="77"/>
      <c r="AD176" s="4"/>
      <c r="AI176" s="54"/>
      <c r="AJ176" s="54"/>
      <c r="AK176" s="54"/>
      <c r="AL176" s="54"/>
      <c r="AM176" s="54"/>
      <c r="AN176" s="54"/>
    </row>
    <row r="177" spans="23:40">
      <c r="W177" s="75"/>
      <c r="AC177" s="77"/>
      <c r="AD177" s="4"/>
      <c r="AI177" s="54"/>
      <c r="AJ177" s="54"/>
      <c r="AK177" s="54"/>
      <c r="AL177" s="54"/>
      <c r="AM177" s="54"/>
      <c r="AN177" s="54"/>
    </row>
    <row r="178" spans="23:40">
      <c r="AC178" s="77"/>
      <c r="AD178" s="4"/>
      <c r="AI178" s="54"/>
      <c r="AJ178" s="54"/>
      <c r="AK178" s="54"/>
      <c r="AL178" s="54"/>
      <c r="AM178" s="54"/>
      <c r="AN178" s="54"/>
    </row>
    <row r="179" spans="23:40">
      <c r="AC179" s="77"/>
      <c r="AD179" s="4"/>
      <c r="AI179" s="54"/>
      <c r="AJ179" s="54"/>
      <c r="AK179" s="54"/>
      <c r="AL179" s="54"/>
      <c r="AM179" s="54"/>
      <c r="AN179" s="54"/>
    </row>
    <row r="180" spans="23:40">
      <c r="AC180" s="77"/>
      <c r="AD180" s="4"/>
      <c r="AI180" s="54"/>
      <c r="AJ180" s="54"/>
      <c r="AK180" s="54"/>
      <c r="AL180" s="54"/>
      <c r="AM180" s="54"/>
      <c r="AN180" s="54"/>
    </row>
    <row r="181" spans="23:40">
      <c r="AC181" s="77"/>
      <c r="AD181" s="4"/>
      <c r="AI181" s="54"/>
      <c r="AJ181" s="54"/>
      <c r="AK181" s="54"/>
      <c r="AL181" s="54"/>
      <c r="AM181" s="54"/>
      <c r="AN181" s="54"/>
    </row>
    <row r="182" spans="23:40">
      <c r="AC182" s="77"/>
      <c r="AD182" s="4"/>
      <c r="AI182" s="54"/>
      <c r="AJ182" s="54"/>
      <c r="AK182" s="54"/>
      <c r="AL182" s="54"/>
      <c r="AM182" s="54"/>
      <c r="AN182" s="54"/>
    </row>
    <row r="183" spans="23:40">
      <c r="AC183" s="77"/>
      <c r="AD183" s="4"/>
      <c r="AI183" s="54"/>
      <c r="AJ183" s="54"/>
      <c r="AK183" s="54"/>
      <c r="AL183" s="54"/>
      <c r="AM183" s="54"/>
      <c r="AN183" s="54"/>
    </row>
    <row r="184" spans="23:40">
      <c r="AC184" s="77"/>
      <c r="AD184" s="4"/>
      <c r="AI184" s="54"/>
      <c r="AJ184" s="54"/>
      <c r="AK184" s="54"/>
      <c r="AL184" s="54"/>
      <c r="AM184" s="54"/>
      <c r="AN184" s="54"/>
    </row>
    <row r="185" spans="23:40">
      <c r="AC185" s="77"/>
      <c r="AD185" s="4"/>
      <c r="AI185" s="54"/>
      <c r="AJ185" s="54"/>
      <c r="AK185" s="54"/>
      <c r="AL185" s="54"/>
      <c r="AM185" s="54"/>
      <c r="AN185" s="54"/>
    </row>
    <row r="186" spans="23:40">
      <c r="AC186" s="77"/>
      <c r="AD186" s="4"/>
      <c r="AI186" s="54"/>
      <c r="AJ186" s="54"/>
      <c r="AK186" s="54"/>
      <c r="AL186" s="54"/>
      <c r="AM186" s="54"/>
      <c r="AN186" s="54"/>
    </row>
    <row r="187" spans="23:40">
      <c r="AC187" s="77"/>
      <c r="AD187" s="4"/>
      <c r="AI187" s="54"/>
      <c r="AJ187" s="54"/>
      <c r="AK187" s="54"/>
      <c r="AL187" s="54"/>
      <c r="AM187" s="54"/>
      <c r="AN187" s="54"/>
    </row>
    <row r="188" spans="23:40">
      <c r="AC188" s="77"/>
      <c r="AD188" s="4"/>
      <c r="AI188" s="54"/>
      <c r="AJ188" s="54"/>
      <c r="AK188" s="54"/>
      <c r="AL188" s="54"/>
      <c r="AM188" s="54"/>
      <c r="AN188" s="54"/>
    </row>
    <row r="189" spans="23:40">
      <c r="AC189" s="77"/>
      <c r="AD189" s="4"/>
      <c r="AI189" s="54"/>
      <c r="AJ189" s="54"/>
      <c r="AK189" s="54"/>
      <c r="AL189" s="54"/>
      <c r="AM189" s="54"/>
      <c r="AN189" s="54"/>
    </row>
    <row r="190" spans="23:40">
      <c r="AC190" s="77"/>
      <c r="AD190" s="4"/>
      <c r="AI190" s="54"/>
      <c r="AJ190" s="54"/>
      <c r="AK190" s="54"/>
      <c r="AL190" s="54"/>
      <c r="AM190" s="54"/>
      <c r="AN190" s="54"/>
    </row>
    <row r="191" spans="23:40">
      <c r="AC191" s="77"/>
      <c r="AD191" s="4"/>
      <c r="AI191" s="54"/>
      <c r="AJ191" s="54"/>
      <c r="AK191" s="54"/>
      <c r="AL191" s="54"/>
      <c r="AM191" s="54"/>
      <c r="AN191" s="54"/>
    </row>
    <row r="192" spans="23:40">
      <c r="AC192" s="77"/>
      <c r="AD192" s="4"/>
      <c r="AI192" s="54"/>
      <c r="AJ192" s="54"/>
      <c r="AK192" s="54"/>
      <c r="AL192" s="54"/>
      <c r="AM192" s="54"/>
      <c r="AN192" s="54"/>
    </row>
    <row r="193" spans="29:40">
      <c r="AC193" s="77"/>
      <c r="AD193" s="4"/>
      <c r="AI193" s="54"/>
      <c r="AJ193" s="54"/>
      <c r="AK193" s="54"/>
      <c r="AL193" s="54"/>
      <c r="AM193" s="54"/>
      <c r="AN193" s="54"/>
    </row>
  </sheetData>
  <mergeCells count="72">
    <mergeCell ref="AQ2:AQ3"/>
    <mergeCell ref="AR2:AR3"/>
    <mergeCell ref="AS2:AS3"/>
    <mergeCell ref="AT2:AT3"/>
    <mergeCell ref="AB2:AB3"/>
    <mergeCell ref="AC2:AC3"/>
    <mergeCell ref="AD2:AD3"/>
    <mergeCell ref="AE2:AE3"/>
    <mergeCell ref="AF2:AF3"/>
    <mergeCell ref="AG2:AG3"/>
    <mergeCell ref="AH2:AH3"/>
    <mergeCell ref="B3:T3"/>
    <mergeCell ref="AD11:AD88"/>
    <mergeCell ref="R36:T36"/>
    <mergeCell ref="R38:T38"/>
    <mergeCell ref="R41:T41"/>
    <mergeCell ref="R46:T46"/>
    <mergeCell ref="W2:W3"/>
    <mergeCell ref="X2:X3"/>
    <mergeCell ref="Y2:Y3"/>
    <mergeCell ref="Z2:Z3"/>
    <mergeCell ref="F31:H31"/>
    <mergeCell ref="J31:L31"/>
    <mergeCell ref="N31:P31"/>
    <mergeCell ref="R31:T31"/>
    <mergeCell ref="F32:H32"/>
    <mergeCell ref="J34:L34"/>
    <mergeCell ref="R34:T34"/>
    <mergeCell ref="B26:D26"/>
    <mergeCell ref="F26:H26"/>
    <mergeCell ref="R27:T27"/>
    <mergeCell ref="J28:L28"/>
    <mergeCell ref="N28:P28"/>
    <mergeCell ref="R29:T29"/>
    <mergeCell ref="F25:H25"/>
    <mergeCell ref="N25:P25"/>
    <mergeCell ref="R25:T25"/>
    <mergeCell ref="B15:D15"/>
    <mergeCell ref="F15:H15"/>
    <mergeCell ref="R15:T15"/>
    <mergeCell ref="B16:D16"/>
    <mergeCell ref="N21:P21"/>
    <mergeCell ref="R21:T21"/>
    <mergeCell ref="B22:D22"/>
    <mergeCell ref="R23:T23"/>
    <mergeCell ref="J24:L24"/>
    <mergeCell ref="A17:A20"/>
    <mergeCell ref="F18:H18"/>
    <mergeCell ref="R18:T18"/>
    <mergeCell ref="F19:H19"/>
    <mergeCell ref="F11:H13"/>
    <mergeCell ref="B12:D12"/>
    <mergeCell ref="J13:L13"/>
    <mergeCell ref="N13:P13"/>
    <mergeCell ref="J14:L14"/>
    <mergeCell ref="N14:P14"/>
    <mergeCell ref="AA2:AA3"/>
    <mergeCell ref="F9:F10"/>
    <mergeCell ref="H9:H10"/>
    <mergeCell ref="R9:S9"/>
    <mergeCell ref="B10:D10"/>
    <mergeCell ref="B6:D6"/>
    <mergeCell ref="F6:H6"/>
    <mergeCell ref="J6:L6"/>
    <mergeCell ref="N6:P6"/>
    <mergeCell ref="R6:T6"/>
    <mergeCell ref="J7:L7"/>
    <mergeCell ref="N7:P7"/>
    <mergeCell ref="B8:D8"/>
    <mergeCell ref="F8:H8"/>
    <mergeCell ref="R8:T8"/>
    <mergeCell ref="V2:V3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КУ для ХК.01 50 кГц</vt:lpstr>
      <vt:lpstr>КУ для 240 кГц </vt:lpstr>
      <vt:lpstr>Потенциометры</vt:lpstr>
      <vt:lpstr>50 кГЦ новый для ХК.01</vt:lpstr>
      <vt:lpstr>240 кГЦ </vt:lpstr>
      <vt:lpstr>200 новый</vt:lpstr>
      <vt:lpstr>Определение длительности</vt:lpstr>
      <vt:lpstr>200</vt:lpstr>
      <vt:lpstr>50</vt:lpstr>
      <vt:lpstr>КУ МГ</vt:lpstr>
      <vt:lpstr>КУ СГ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2022-10-28T12:04:03Z</dcterms:modified>
</cp:coreProperties>
</file>