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weg\automacaopmobackend\scripts\excel\"/>
    </mc:Choice>
  </mc:AlternateContent>
  <xr:revisionPtr revIDLastSave="0" documentId="8_{EF3385B3-A501-4DEC-BF49-F80377BC1327}" xr6:coauthVersionLast="47" xr6:coauthVersionMax="47" xr10:uidLastSave="{00000000-0000-0000-0000-000000000000}"/>
  <bookViews>
    <workbookView xWindow="-120" yWindow="-120" windowWidth="29040" windowHeight="16440" firstSheet="1" activeTab="2" xr2:uid="{00000000-000D-0000-FFFF-FFFF00000000}"/>
  </bookViews>
  <sheets>
    <sheet name="Backlog" sheetId="16" r:id="rId1"/>
    <sheet name="João Vitor" sheetId="18" r:id="rId2"/>
    <sheet name="Ricardo Kroeger" sheetId="13" r:id="rId3"/>
    <sheet name="Detalhamento Equipe" sheetId="17" r:id="rId4"/>
    <sheet name="DisponibxApontamentos" sheetId="1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9" l="1"/>
  <c r="E14" i="19"/>
  <c r="E13" i="19"/>
  <c r="E20" i="19"/>
  <c r="E5" i="19"/>
  <c r="E24" i="19"/>
  <c r="E9" i="19"/>
  <c r="G60" i="13" l="1"/>
  <c r="D20" i="19"/>
  <c r="D29" i="19" s="1"/>
  <c r="D5" i="19"/>
  <c r="D14" i="19"/>
  <c r="D24" i="19"/>
  <c r="D9" i="19"/>
  <c r="G11" i="13"/>
  <c r="G59" i="13"/>
  <c r="G58" i="13"/>
  <c r="G57" i="13"/>
  <c r="G56" i="13"/>
  <c r="G55" i="13"/>
  <c r="G54" i="13"/>
  <c r="G53" i="13"/>
  <c r="G52" i="13"/>
  <c r="G50" i="13"/>
  <c r="G49" i="13"/>
  <c r="G48" i="13"/>
  <c r="G47" i="13"/>
  <c r="G41" i="13"/>
  <c r="G40" i="13"/>
  <c r="G39" i="13"/>
  <c r="G38" i="13"/>
  <c r="G37" i="13"/>
  <c r="G35" i="13"/>
  <c r="G29" i="13"/>
  <c r="G27" i="13"/>
  <c r="G22" i="13"/>
  <c r="G21" i="13"/>
  <c r="G17" i="13"/>
  <c r="G15" i="13"/>
  <c r="G14" i="13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B23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D19" i="19"/>
  <c r="E19" i="19"/>
  <c r="F19" i="19"/>
  <c r="G19" i="19"/>
  <c r="H19" i="19"/>
  <c r="H28" i="19" s="1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U28" i="19" s="1"/>
  <c r="V19" i="19"/>
  <c r="V28" i="19" s="1"/>
  <c r="W19" i="19"/>
  <c r="C19" i="19"/>
  <c r="B19" i="19"/>
  <c r="B4" i="19"/>
  <c r="C24" i="19"/>
  <c r="C29" i="19" s="1"/>
  <c r="B24" i="19"/>
  <c r="B29" i="19" s="1"/>
  <c r="C9" i="19"/>
  <c r="B9" i="19"/>
  <c r="C20" i="19"/>
  <c r="B20" i="19"/>
  <c r="C5" i="19"/>
  <c r="B5" i="19"/>
  <c r="C4" i="19"/>
  <c r="D4" i="19"/>
  <c r="E4" i="19"/>
  <c r="F4" i="19"/>
  <c r="G4" i="19"/>
  <c r="G13" i="19" s="1"/>
  <c r="H4" i="19"/>
  <c r="I4" i="19"/>
  <c r="I13" i="19" s="1"/>
  <c r="J4" i="19"/>
  <c r="J13" i="19" s="1"/>
  <c r="K4" i="19"/>
  <c r="L4" i="19"/>
  <c r="M4" i="19"/>
  <c r="N4" i="19"/>
  <c r="O4" i="19"/>
  <c r="O13" i="19" s="1"/>
  <c r="P4" i="19"/>
  <c r="Q4" i="19"/>
  <c r="R4" i="19"/>
  <c r="S4" i="19"/>
  <c r="T4" i="19"/>
  <c r="U4" i="19"/>
  <c r="V4" i="19"/>
  <c r="W4" i="19"/>
  <c r="W13" i="19" s="1"/>
  <c r="C14" i="19"/>
  <c r="G13" i="13"/>
  <c r="G12" i="13"/>
  <c r="B14" i="19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B9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B4" i="17"/>
  <c r="W4" i="13"/>
  <c r="W2" i="13" s="1"/>
  <c r="L3" i="17" s="1"/>
  <c r="X4" i="13"/>
  <c r="X2" i="13" s="1"/>
  <c r="M3" i="17" s="1"/>
  <c r="Y4" i="13"/>
  <c r="N5" i="17" s="1"/>
  <c r="Z4" i="13"/>
  <c r="Z2" i="13" s="1"/>
  <c r="O3" i="17" s="1"/>
  <c r="AA4" i="13"/>
  <c r="AA2" i="13" s="1"/>
  <c r="P3" i="17" s="1"/>
  <c r="AB4" i="13"/>
  <c r="AB2" i="13" s="1"/>
  <c r="Q3" i="17" s="1"/>
  <c r="AC4" i="13"/>
  <c r="AC2" i="13" s="1"/>
  <c r="R3" i="17" s="1"/>
  <c r="AD4" i="13"/>
  <c r="AD2" i="13" s="1"/>
  <c r="S3" i="17" s="1"/>
  <c r="AE4" i="13"/>
  <c r="AE2" i="13" s="1"/>
  <c r="T3" i="17" s="1"/>
  <c r="AF4" i="13"/>
  <c r="AF2" i="13" s="1"/>
  <c r="U3" i="17" s="1"/>
  <c r="AG4" i="13"/>
  <c r="V5" i="17" s="1"/>
  <c r="AH4" i="13"/>
  <c r="W5" i="17" s="1"/>
  <c r="T4" i="18"/>
  <c r="T2" i="18" s="1"/>
  <c r="L8" i="17" s="1"/>
  <c r="U4" i="18"/>
  <c r="U2" i="18" s="1"/>
  <c r="M8" i="17" s="1"/>
  <c r="V4" i="18"/>
  <c r="N10" i="17" s="1"/>
  <c r="W4" i="18"/>
  <c r="W2" i="18" s="1"/>
  <c r="O8" i="17" s="1"/>
  <c r="X4" i="18"/>
  <c r="P10" i="17" s="1"/>
  <c r="Y4" i="18"/>
  <c r="Q10" i="17" s="1"/>
  <c r="Z4" i="18"/>
  <c r="Z2" i="18" s="1"/>
  <c r="R8" i="17" s="1"/>
  <c r="AA4" i="18"/>
  <c r="AA2" i="18" s="1"/>
  <c r="S8" i="17" s="1"/>
  <c r="AB4" i="18"/>
  <c r="AB2" i="18" s="1"/>
  <c r="T8" i="17" s="1"/>
  <c r="AC4" i="18"/>
  <c r="AC2" i="18" s="1"/>
  <c r="U8" i="17" s="1"/>
  <c r="AD4" i="18"/>
  <c r="V10" i="17" s="1"/>
  <c r="AE4" i="18"/>
  <c r="AE2" i="18" s="1"/>
  <c r="W8" i="17" s="1"/>
  <c r="X2" i="18"/>
  <c r="P8" i="17" s="1"/>
  <c r="G9" i="18"/>
  <c r="G3" i="18"/>
  <c r="G5" i="18"/>
  <c r="G6" i="18"/>
  <c r="G7" i="18"/>
  <c r="G8" i="18"/>
  <c r="G10" i="18"/>
  <c r="G11" i="18"/>
  <c r="G12" i="18"/>
  <c r="H4" i="18"/>
  <c r="S4" i="18"/>
  <c r="S2" i="18" s="1"/>
  <c r="K8" i="17" s="1"/>
  <c r="R4" i="18"/>
  <c r="R2" i="18" s="1"/>
  <c r="J8" i="17" s="1"/>
  <c r="Q4" i="18"/>
  <c r="Q2" i="18" s="1"/>
  <c r="I8" i="17" s="1"/>
  <c r="P4" i="18"/>
  <c r="P2" i="18" s="1"/>
  <c r="H8" i="17" s="1"/>
  <c r="O4" i="18"/>
  <c r="O2" i="18" s="1"/>
  <c r="G8" i="17" s="1"/>
  <c r="N4" i="18"/>
  <c r="N2" i="18" s="1"/>
  <c r="F8" i="17" s="1"/>
  <c r="M4" i="18"/>
  <c r="M2" i="18" s="1"/>
  <c r="E8" i="17" s="1"/>
  <c r="L4" i="18"/>
  <c r="L2" i="18" s="1"/>
  <c r="D8" i="17" s="1"/>
  <c r="K4" i="18"/>
  <c r="K2" i="18" s="1"/>
  <c r="C8" i="17" s="1"/>
  <c r="J4" i="18"/>
  <c r="J2" i="18" s="1"/>
  <c r="B8" i="17" s="1"/>
  <c r="I4" i="18"/>
  <c r="I2" i="18" s="1"/>
  <c r="G10" i="13"/>
  <c r="L28" i="19" l="1"/>
  <c r="D28" i="19"/>
  <c r="D13" i="19"/>
  <c r="Q28" i="19"/>
  <c r="Q13" i="19"/>
  <c r="N28" i="19"/>
  <c r="F28" i="19"/>
  <c r="T28" i="19"/>
  <c r="I28" i="19"/>
  <c r="M28" i="19"/>
  <c r="E28" i="19"/>
  <c r="B28" i="19"/>
  <c r="B13" i="19"/>
  <c r="Y2" i="18"/>
  <c r="Q8" i="17" s="1"/>
  <c r="S28" i="19"/>
  <c r="K28" i="19"/>
  <c r="C28" i="19"/>
  <c r="P28" i="19"/>
  <c r="C10" i="17"/>
  <c r="L13" i="19"/>
  <c r="T13" i="19"/>
  <c r="G28" i="19"/>
  <c r="O28" i="19"/>
  <c r="W28" i="19"/>
  <c r="J28" i="19"/>
  <c r="R28" i="19"/>
  <c r="R13" i="19"/>
  <c r="C13" i="19"/>
  <c r="K13" i="19"/>
  <c r="S13" i="19"/>
  <c r="T10" i="17"/>
  <c r="S10" i="17"/>
  <c r="H13" i="19"/>
  <c r="P13" i="19"/>
  <c r="L10" i="17"/>
  <c r="K10" i="17"/>
  <c r="D10" i="17"/>
  <c r="U10" i="17"/>
  <c r="M10" i="17"/>
  <c r="E10" i="17"/>
  <c r="R10" i="17"/>
  <c r="J10" i="17"/>
  <c r="M13" i="19"/>
  <c r="U13" i="19"/>
  <c r="B10" i="17"/>
  <c r="I10" i="17"/>
  <c r="F13" i="19"/>
  <c r="N13" i="19"/>
  <c r="V13" i="19"/>
  <c r="AD2" i="18"/>
  <c r="V8" i="17" s="1"/>
  <c r="H10" i="17"/>
  <c r="V2" i="18"/>
  <c r="N8" i="17" s="1"/>
  <c r="W10" i="17"/>
  <c r="O10" i="17"/>
  <c r="G10" i="17"/>
  <c r="F10" i="17"/>
  <c r="Y2" i="13"/>
  <c r="N3" i="17" s="1"/>
  <c r="O5" i="17"/>
  <c r="AH2" i="13"/>
  <c r="W3" i="17" s="1"/>
  <c r="T5" i="17"/>
  <c r="L5" i="17"/>
  <c r="Q5" i="17"/>
  <c r="P5" i="17"/>
  <c r="AG2" i="13"/>
  <c r="V3" i="17" s="1"/>
  <c r="U5" i="17"/>
  <c r="M5" i="17"/>
  <c r="S5" i="17"/>
  <c r="R5" i="17"/>
  <c r="G4" i="18"/>
  <c r="H2" i="18"/>
  <c r="G2" i="18" s="1"/>
  <c r="G42" i="13" l="1"/>
  <c r="G43" i="13"/>
  <c r="G44" i="13"/>
  <c r="G45" i="13"/>
  <c r="G46" i="13"/>
  <c r="G36" i="13" l="1"/>
  <c r="G28" i="13"/>
  <c r="G24" i="13"/>
  <c r="G25" i="13"/>
  <c r="G26" i="13"/>
  <c r="G7" i="16"/>
  <c r="S4" i="16"/>
  <c r="S2" i="16" s="1"/>
  <c r="R4" i="16"/>
  <c r="R2" i="16" s="1"/>
  <c r="Q4" i="16"/>
  <c r="Q2" i="16" s="1"/>
  <c r="P4" i="16"/>
  <c r="P2" i="16" s="1"/>
  <c r="O4" i="16"/>
  <c r="O2" i="16" s="1"/>
  <c r="N4" i="16"/>
  <c r="N2" i="16" s="1"/>
  <c r="M4" i="16"/>
  <c r="M2" i="16" s="1"/>
  <c r="L4" i="16"/>
  <c r="L2" i="16" s="1"/>
  <c r="K4" i="16"/>
  <c r="K2" i="16" s="1"/>
  <c r="J4" i="16"/>
  <c r="J2" i="16" s="1"/>
  <c r="I4" i="16"/>
  <c r="I2" i="16" s="1"/>
  <c r="H4" i="16"/>
  <c r="H2" i="16" s="1"/>
  <c r="G3" i="16"/>
  <c r="G2" i="16" l="1"/>
  <c r="G4" i="16"/>
  <c r="G9" i="13" l="1"/>
  <c r="G31" i="13"/>
  <c r="G32" i="13"/>
  <c r="G33" i="13"/>
  <c r="G34" i="13"/>
  <c r="G30" i="13"/>
  <c r="G20" i="13"/>
  <c r="G23" i="13"/>
  <c r="G16" i="13"/>
  <c r="G18" i="13"/>
  <c r="G19" i="13"/>
  <c r="G7" i="13" l="1"/>
  <c r="G8" i="13"/>
  <c r="Q4" i="13"/>
  <c r="R4" i="13"/>
  <c r="S4" i="13"/>
  <c r="T4" i="13"/>
  <c r="U4" i="13"/>
  <c r="V4" i="13"/>
  <c r="U2" i="13" l="1"/>
  <c r="J3" i="17" s="1"/>
  <c r="J5" i="17"/>
  <c r="R2" i="13"/>
  <c r="G3" i="17" s="1"/>
  <c r="G5" i="17"/>
  <c r="Q2" i="13"/>
  <c r="F3" i="17" s="1"/>
  <c r="F5" i="17"/>
  <c r="S2" i="13"/>
  <c r="H3" i="17" s="1"/>
  <c r="H5" i="17"/>
  <c r="T2" i="13"/>
  <c r="I3" i="17" s="1"/>
  <c r="I5" i="17"/>
  <c r="V2" i="13"/>
  <c r="K3" i="17" s="1"/>
  <c r="K5" i="17"/>
  <c r="P4" i="13"/>
  <c r="O4" i="13"/>
  <c r="N4" i="13"/>
  <c r="M4" i="13"/>
  <c r="L4" i="13"/>
  <c r="L2" i="13" s="1"/>
  <c r="K4" i="13"/>
  <c r="M2" i="13" l="1"/>
  <c r="B3" i="17" s="1"/>
  <c r="B5" i="17"/>
  <c r="O2" i="13"/>
  <c r="D3" i="17" s="1"/>
  <c r="D5" i="17"/>
  <c r="P2" i="13"/>
  <c r="E3" i="17" s="1"/>
  <c r="E5" i="17"/>
  <c r="N2" i="13"/>
  <c r="C3" i="17" s="1"/>
  <c r="C5" i="17"/>
  <c r="K2" i="13"/>
  <c r="J2" i="13"/>
  <c r="J4" i="13"/>
  <c r="J51" i="13"/>
  <c r="I2" i="13"/>
  <c r="I4" i="13"/>
  <c r="I51" i="13"/>
  <c r="H2" i="13"/>
  <c r="H4" i="13"/>
  <c r="H51" i="13"/>
  <c r="G5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H7" authorId="0" shapeId="0" xr:uid="{1C30C193-3237-48C4-91AB-C422119AACE8}">
      <text>
        <r>
          <rPr>
            <b/>
            <sz val="9"/>
            <color indexed="81"/>
            <rFont val="Segoe UI"/>
            <family val="2"/>
          </rPr>
          <t>Horas de treinamento João Winter</t>
        </r>
      </text>
    </comment>
  </commentList>
</comments>
</file>

<file path=xl/sharedStrings.xml><?xml version="1.0" encoding="utf-8"?>
<sst xmlns="http://schemas.openxmlformats.org/spreadsheetml/2006/main" count="408" uniqueCount="133">
  <si>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</si>
  <si>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</si>
  <si>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</si>
  <si>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</si>
  <si>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</si>
  <si>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</si>
  <si>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</si>
  <si>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</si>
  <si>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</si>
  <si>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</si>
  <si>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</si>
  <si>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</si>
  <si>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</si>
  <si>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</si>
  <si>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</si>
  <si>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</si>
  <si>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</si>
  <si>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</si>
  <si>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</si>
  <si>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GAP</t>
  </si>
  <si>
    <t>Horas disponíveis</t>
  </si>
  <si>
    <t>Total de esforço (hrs)</t>
  </si>
  <si>
    <t>SEG - Global Infrastructure</t>
  </si>
  <si>
    <t>Netoworks</t>
  </si>
  <si>
    <t>Atualização Longhorn Servidores Rancher</t>
  </si>
  <si>
    <t>Backlog</t>
  </si>
  <si>
    <t>rkroeger</t>
  </si>
  <si>
    <t>Migração de dados Pyotm MongoDB do Rancher para Infraestrutura TI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</si>
  <si>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</si>
  <si>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</si>
  <si>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</si>
  <si>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</si>
  <si>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</si>
  <si>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</si>
  <si>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</si>
  <si>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</si>
  <si>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</si>
  <si>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</si>
  <si>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</si>
  <si>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</si>
  <si>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</t>
  </si>
  <si>
    <t>fev/26</t>
  </si>
  <si>
    <t>mar/26</t>
  </si>
  <si>
    <t>abr/26</t>
  </si>
  <si>
    <t>mai/26</t>
  </si>
  <si>
    <t>jun/26</t>
  </si>
  <si>
    <t>jul/26</t>
  </si>
  <si>
    <t>ago/26</t>
  </si>
  <si>
    <t>set/26</t>
  </si>
  <si>
    <t>out/26</t>
  </si>
  <si>
    <t>nov/26</t>
  </si>
  <si>
    <t>dez/26</t>
  </si>
  <si>
    <t>SAP Basis &amp; DB</t>
  </si>
  <si>
    <t>DTI_XX (Tarefa Administrativa, Rotina, Treinamento, ...)</t>
  </si>
  <si>
    <t>dsfsfsdfsdfsdf</t>
  </si>
  <si>
    <t>Em andamento</t>
  </si>
  <si>
    <t>2025</t>
  </si>
  <si>
    <t>joaowinter</t>
  </si>
  <si>
    <t>DTI_Ausência</t>
  </si>
  <si>
    <t>DTI_Férias</t>
  </si>
  <si>
    <t>Demandas CCOE</t>
  </si>
  <si>
    <t>1000029683 - Implementar Arquitetura SDWAN</t>
  </si>
  <si>
    <t>1000029903 - Plano de Automatizações da SGI</t>
  </si>
  <si>
    <t>out/24</t>
  </si>
  <si>
    <t>nov/24</t>
  </si>
  <si>
    <t>dez/24</t>
  </si>
  <si>
    <t>jan/262</t>
  </si>
  <si>
    <t>2024-2025</t>
  </si>
  <si>
    <t>DTI_Consultoria</t>
  </si>
  <si>
    <t>Rateio de Custos AWS</t>
  </si>
  <si>
    <t>Repassado pelo Scheuer</t>
  </si>
  <si>
    <t>Concluído</t>
  </si>
  <si>
    <t>Ciclo de revisão SRE</t>
  </si>
  <si>
    <t>Plataform OPS &amp; CCoE</t>
  </si>
  <si>
    <t>FinOPS</t>
  </si>
  <si>
    <t>Apresentação de Custos Tales/CTI/RDTI de Cloud</t>
  </si>
  <si>
    <t>Estruturação do CCoE / PlataformOPS</t>
  </si>
  <si>
    <t>1000028511 - Planejamento Estrategico SGI - Fase 2</t>
  </si>
  <si>
    <t>Parado</t>
  </si>
  <si>
    <t>1000028630 - Implantar nova ferramenta de ITSM na SGI</t>
  </si>
  <si>
    <t>1000028872 - Segurança de rede em multicloud</t>
  </si>
  <si>
    <t xml:space="preserve">1000028753 - Reduzir Backlog de chamados SGI </t>
  </si>
  <si>
    <t>1000028691 - CORP - PLATAFORMA MES</t>
  </si>
  <si>
    <t>2024-2026</t>
  </si>
  <si>
    <t>Implantar arquitetura AWS para Parques Eólicos</t>
  </si>
  <si>
    <t>Alocação SEG</t>
  </si>
  <si>
    <t>1000028666 - Consolidação de  Sustentação da Cloud na SGI – FASE 2</t>
  </si>
  <si>
    <t>Criação de Cluster Rancher na Cloud</t>
  </si>
  <si>
    <t>Plano de Utilização OCI na WEG</t>
  </si>
  <si>
    <t>Arquitetura para nova solução de Global Capture</t>
  </si>
  <si>
    <t>Atualização RKE1 para RKE2</t>
  </si>
  <si>
    <t>Elaboração de Plano de Automações 2025</t>
  </si>
  <si>
    <t>Demandas CCOE - Avaliar Resizing Maquinas Kubernetes Orchestra</t>
  </si>
  <si>
    <t>Demandas CCOE - Topologia Parque Eólico AWS - Orçamento Infraestrutura</t>
  </si>
  <si>
    <t>Demandas CCOE - Template IAC - Criação de SQS</t>
  </si>
  <si>
    <t>Demandas CCOE - Template IAC - Criação de Banco dados DynamoDB</t>
  </si>
  <si>
    <t>Demandas CCOE - Template IAC - Criação de Policy IAM</t>
  </si>
  <si>
    <t>Demandas CCOE - Template IAC - Criação de usuário de API</t>
  </si>
  <si>
    <t>Implementar Infra para IEMS da WDS</t>
  </si>
  <si>
    <t>Definir e Criar Arquitetura para Sistemas de Apoio ao Wnology</t>
  </si>
  <si>
    <t xml:space="preserve">Estruturar processo de criação de OpenIA Azure </t>
  </si>
  <si>
    <t>[AGDAPA-278] Validação ambiente POC AWS - Jira WEG</t>
  </si>
  <si>
    <t>Alocação AGD</t>
  </si>
  <si>
    <t>Definição de Critérios de Definição de Cloud Provider Públicas</t>
  </si>
  <si>
    <t>Definição das Principais Arquiteturas de Recurso Cloud Publica</t>
  </si>
  <si>
    <t xml:space="preserve">Atualização Rancher </t>
  </si>
  <si>
    <t>Será tratado nos itens de PlataformOPS</t>
  </si>
  <si>
    <t>Atualização RKE servidores Rancher</t>
  </si>
  <si>
    <t>Atulização Kubernets Cluster Rancher</t>
  </si>
  <si>
    <t xml:space="preserve">Atualização Docker Servidores Rancher Cluster Local </t>
  </si>
  <si>
    <t>Proposta Evolução do conhecimento de Cloud na DIN</t>
  </si>
  <si>
    <t>Estruturar Papeis e Responsabilidades do FinOPS na DIN</t>
  </si>
  <si>
    <t>Projeto de Segurança Multicloud - Pendencias</t>
  </si>
  <si>
    <t>Criar MongoDB para Ensaios da WEG Energia</t>
  </si>
  <si>
    <t>1000029985 - PMC-1.2 - Maiores geradores de chamados</t>
  </si>
  <si>
    <t>1000028753 - Reduzir Backlog de chamados SGI</t>
  </si>
  <si>
    <t>1000029880 - Agilidade processos WEGNET e Carve-out</t>
  </si>
  <si>
    <t>1000029894 - Implantação do novo SOC</t>
  </si>
  <si>
    <t>1000030024 - Controle do Backlog de chamados SGI</t>
  </si>
  <si>
    <t>Parque Eólico Statkraft - Estruturação TI</t>
  </si>
  <si>
    <t>Melhoria</t>
  </si>
  <si>
    <t>1000030094 - Criação de ambiente de Desenvolvimento do Wnology</t>
  </si>
  <si>
    <t>Certificação ISO 27001 para a Plataforma WEGnology</t>
  </si>
  <si>
    <t>Não iniciado</t>
  </si>
  <si>
    <t>mar/252</t>
  </si>
  <si>
    <t>Ricardo K.</t>
  </si>
  <si>
    <t>Horas Disp</t>
  </si>
  <si>
    <t>Esforço</t>
  </si>
  <si>
    <t>João Vitor</t>
  </si>
  <si>
    <t>Cloud &amp; DevOPS</t>
  </si>
  <si>
    <t>Apontamento horas</t>
  </si>
  <si>
    <t>Meses</t>
  </si>
  <si>
    <t>Plataform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</si>
</sst>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center" wrapText="1"/>
    </xf>
    <xf numFmtId="0" fontId="0" fillId="0" borderId="0" xfId="0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vertical="top"/>
    </xf>
    <xf numFmtId="0" fontId="14" fillId="0" borderId="0" xfId="0" applyFont="1" applyAlignment="1">
      <alignment horizontal="left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16" fillId="34" borderId="0" xfId="0" applyFon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16" fillId="34" borderId="0" xfId="0" applyNumberFormat="1" applyFont="1" applyFill="1" applyAlignment="1">
      <alignment horizontal="left" vertical="center" wrapText="1"/>
    </xf>
    <xf numFmtId="0" fontId="0" fillId="34" borderId="0" xfId="0" applyFill="1"/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" fontId="16" fillId="33" borderId="0" xfId="0" applyNumberFormat="1" applyFont="1" applyFill="1" applyAlignment="1">
      <alignment horizontal="center" vertical="top"/>
    </xf>
    <xf numFmtId="4" fontId="16" fillId="34" borderId="0" xfId="0" applyNumberFormat="1" applyFont="1" applyFill="1" applyAlignment="1">
      <alignment horizontal="center" vertical="top"/>
    </xf>
    <xf numFmtId="0" fontId="0" fillId="0" borderId="0" xfId="0" applyAlignment="1">
      <alignment vertical="top" indent="2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vertical="center"/>
    </xf>
    <xf numFmtId="2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4" fontId="0" fillId="0" borderId="0" xfId="0" applyNumberFormat="1" applyAlignment="1">
      <alignment vertical="center" wrapText="1"/>
    </xf>
    <xf numFmtId="17" fontId="16" fillId="0" borderId="0" xfId="0" applyNumberFormat="1" applyFont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2" fontId="16" fillId="33" borderId="0" xfId="0" applyNumberFormat="1" applyFont="1" applyFill="1" applyAlignment="1">
      <alignment horizontal="right" vertical="center" wrapText="1"/>
    </xf>
    <xf numFmtId="2" fontId="16" fillId="34" borderId="0" xfId="0" applyNumberFormat="1" applyFont="1" applyFill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center" vertical="center" wrapText="1"/>
    </xf>
    <xf numFmtId="17" fontId="13" fillId="35" borderId="12" xfId="0" applyNumberFormat="1" applyFont="1" applyFill="1" applyBorder="1" applyAlignment="1">
      <alignment horizontal="left" vertical="center" wrapText="1"/>
    </xf>
    <xf numFmtId="2" fontId="0" fillId="36" borderId="0" xfId="0" applyNumberFormat="1" applyFill="1"/>
    <xf numFmtId="0" fontId="0" fillId="36" borderId="0" xfId="0" applyFill="1"/>
    <xf numFmtId="0" fontId="16" fillId="0" borderId="0" xfId="0" applyFont="1"/>
    <xf numFmtId="164" fontId="13" fillId="35" borderId="11" xfId="0" applyNumberFormat="1" applyFont="1" applyFill="1" applyBorder="1" applyAlignment="1">
      <alignment horizontal="left" vertical="center" wrapText="1"/>
    </xf>
    <xf numFmtId="17" fontId="13" fillId="0" borderId="0" xfId="0" applyNumberFormat="1" applyFont="1" applyAlignment="1">
      <alignment horizontal="left" vertical="center" wrapText="1"/>
    </xf>
    <xf numFmtId="17" fontId="13" fillId="0" borderId="0" xfId="0" applyNumberFormat="1" applyFont="1" applyAlignment="1">
      <alignment horizontal="center" vertical="center" wrapText="1"/>
    </xf>
    <xf numFmtId="4" fontId="0" fillId="0" borderId="0" xfId="0" applyNumberFormat="1"/>
    <xf numFmtId="2" fontId="0" fillId="37" borderId="0" xfId="0" applyNumberFormat="1" applyFill="1" applyAlignment="1">
      <alignment horizontal="right" vertical="center" wrapText="1"/>
    </xf>
    <xf numFmtId="4" fontId="0" fillId="37" borderId="0" xfId="0" applyNumberFormat="1" applyFill="1" applyAlignment="1">
      <alignment horizontal="right" vertical="center" wrapText="1"/>
    </xf>
    <xf numFmtId="2" fontId="0" fillId="37" borderId="0" xfId="0" applyNumberFormat="1" applyFill="1" applyAlignment="1">
      <alignment vertical="center" wrapText="1"/>
    </xf>
    <xf numFmtId="4" fontId="0" fillId="37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right" vertical="top"/>
    </xf>
    <xf numFmtId="0" fontId="0" fillId="0" borderId="0" xfId="0" quotePrefix="1" applyAlignment="1">
      <alignment horizontal="left" vertical="center" wrapText="1"/>
    </xf>
    <xf numFmtId="0" fontId="0" fillId="38" borderId="0" xfId="0" applyFill="1" applyAlignment="1">
      <alignment horizontal="left" vertical="center" wrapText="1"/>
    </xf>
    <xf numFmtId="0" fontId="0" fillId="38" borderId="0" xfId="0" applyFill="1" applyAlignment="1">
      <alignment horizontal="left" vertical="top"/>
    </xf>
    <xf numFmtId="0" fontId="16" fillId="4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0" fillId="41" borderId="0" xfId="0" applyNumberFormat="1" applyFill="1" applyAlignment="1">
      <alignment horizontal="right" vertical="center" wrapText="1"/>
    </xf>
    <xf numFmtId="4" fontId="0" fillId="41" borderId="0" xfId="0" applyNumberFormat="1" applyFill="1" applyAlignment="1">
      <alignment horizontal="right" vertical="center" wrapText="1"/>
    </xf>
    <xf numFmtId="2" fontId="0" fillId="41" borderId="0" xfId="0" applyNumberFormat="1" applyFill="1" applyAlignment="1">
      <alignment vertical="center" wrapText="1"/>
    </xf>
    <xf numFmtId="4" fontId="0" fillId="41" borderId="0" xfId="0" applyNumberFormat="1" applyFill="1" applyAlignment="1">
      <alignment vertical="center" wrapText="1"/>
    </xf>
    <xf numFmtId="0" fontId="16" fillId="39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8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Cloud &amp; DevOPS- 2025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DisponibxApontamentos!$A$13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DisponibxApontamentos!$B$13:$E$13</c:f>
              <c:numCache>
                <c:formatCode>0.00</c:formatCode>
                <c:ptCount val="4"/>
                <c:pt idx="0">
                  <c:v>184.8</c:v>
                </c:pt>
                <c:pt idx="1">
                  <c:v>176</c:v>
                </c:pt>
                <c:pt idx="2">
                  <c:v>184.8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E-40FB-9694-605FBFE80CD9}"/>
            </c:ext>
          </c:extLst>
        </c:ser>
        <c:ser>
          <c:idx val="1"/>
          <c:order val="1"/>
          <c:tx>
            <c:strRef>
              <c:f>DisponibxApontamentos!$A$14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DisponibxApontamentos!$B$14:$E$14</c:f>
              <c:numCache>
                <c:formatCode>0.00</c:formatCode>
                <c:ptCount val="4"/>
                <c:pt idx="0">
                  <c:v>185.7</c:v>
                </c:pt>
                <c:pt idx="1">
                  <c:v>180.2</c:v>
                </c:pt>
                <c:pt idx="2">
                  <c:v>189.69</c:v>
                </c:pt>
                <c:pt idx="3">
                  <c:v>177.35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E-40FB-9694-605FBFE80C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Plataform OPS SGI 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DisponibxApontamentos!$A$28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DisponibxApontamentos!$B$28:$E$28</c:f>
              <c:numCache>
                <c:formatCode>0.00</c:formatCode>
                <c:ptCount val="4"/>
                <c:pt idx="0">
                  <c:v>151.19999999999999</c:v>
                </c:pt>
                <c:pt idx="1">
                  <c:v>144</c:v>
                </c:pt>
                <c:pt idx="2">
                  <c:v>151.19999999999999</c:v>
                </c:pt>
                <c:pt idx="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73C-A361-5BEFF9109FC9}"/>
            </c:ext>
          </c:extLst>
        </c:ser>
        <c:ser>
          <c:idx val="1"/>
          <c:order val="1"/>
          <c:tx>
            <c:strRef>
              <c:f>DisponibxApontamentos!$A$29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DisponibxApontamentos!$B$29:$E$29</c:f>
              <c:numCache>
                <c:formatCode>0.00</c:formatCode>
                <c:ptCount val="4"/>
                <c:pt idx="0">
                  <c:v>153.29999999999998</c:v>
                </c:pt>
                <c:pt idx="1">
                  <c:v>153.80000000000001</c:v>
                </c:pt>
                <c:pt idx="2">
                  <c:v>162.60999999999999</c:v>
                </c:pt>
                <c:pt idx="3">
                  <c:v>147.01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73C-A361-5BEFF9109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30</xdr:row>
      <xdr:rowOff>38100</xdr:rowOff>
    </xdr:from>
    <xdr:to>
      <xdr:col>7</xdr:col>
      <xdr:colOff>219075</xdr:colOff>
      <xdr:row>42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1E36-E5B3-4734-835B-D9871CD38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447675</xdr:colOff>
      <xdr:row>42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F6BC49-336D-460D-B889-561F3B56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4AEBB-C6C9-402B-BBE0-E9340E886015}" name="Tabela13264272" displayName="Tabela13264272" ref="A1:S52" totalsRowShown="0" headerRowDxfId="157" dataDxfId="156">
  <autoFilter ref="A1:S52" xr:uid="{FB44AEBB-C6C9-402B-BBE0-E9340E886015}"/>
  <tableColumns count="19">
    <tableColumn id="1" xr3:uid="{49C0DC3F-D7D5-43A9-A440-6599364230B0}" name="Epic" dataDxfId="155"/>
    <tableColumn id="2" xr3:uid="{04395358-715F-4BE1-8102-AAA9BB3FB823}" name="Ações" dataDxfId="154"/>
    <tableColumn id="16" xr3:uid="{579C07E2-D436-4D15-A19C-D7B4E9AF3A95}" name="Status" dataDxfId="153"/>
    <tableColumn id="3" xr3:uid="{68A7E14B-C353-40E7-B8AF-BC8AEC906271}" name="Due Date" dataDxfId="152"/>
    <tableColumn id="4" xr3:uid="{BC29ECBD-1B6C-4BBE-B2BE-3A48DB1F0C63}" name="Assignee" dataDxfId="151"/>
    <tableColumn id="6" xr3:uid="{C3FE43FA-8504-4F5E-8A26-3C5280B8503A}" name="Estimated effort" dataDxfId="150"/>
    <tableColumn id="5" xr3:uid="{CD4F246C-DF0B-4A6A-A6CF-0F7D4D28BAF6}" name="Planned effort" dataDxfId="149">
      <calculatedColumnFormula>SUM(#REF!)</calculatedColumnFormula>
    </tableColumn>
    <tableColumn id="8" xr3:uid="{BEAE4770-9277-4EBE-8D09-EDA612BAB44B}" name="Mês 1" dataDxfId="148"/>
    <tableColumn id="9" xr3:uid="{CF35C236-2773-49C8-879E-699C035ADB72}" name="Mês 2" dataDxfId="147"/>
    <tableColumn id="10" xr3:uid="{61E41D5B-7A05-4A6E-8AC3-4F7E1F96DE07}" name="Mês 3" dataDxfId="146"/>
    <tableColumn id="11" xr3:uid="{4ED4FA9A-8C24-4B6A-8DAE-6842C7456324}" name="Mês 4" dataDxfId="145"/>
    <tableColumn id="12" xr3:uid="{22DDA4E5-9043-4813-9810-A0D8F84B75ED}" name="Mês 5" dataDxfId="144"/>
    <tableColumn id="13" xr3:uid="{4097E2EC-7041-4201-921C-BAB2E503EFA0}" name="Mês 6" dataDxfId="143"/>
    <tableColumn id="14" xr3:uid="{A4B52632-CEB8-4CC9-AE7B-1EE3FE5EB191}" name="Mês 7" dataDxfId="142"/>
    <tableColumn id="15" xr3:uid="{CF947C0E-EB7B-4EF1-B81B-E80797276C94}" name="Mês 8" dataDxfId="141"/>
    <tableColumn id="22" xr3:uid="{1B2A5806-BA91-4485-A997-B84DDAACA36F}" name="Mês 9" dataDxfId="140"/>
    <tableColumn id="21" xr3:uid="{0C2584D3-0A8D-431E-B82C-6F480CE9BB99}" name="Mês 10" dataDxfId="139"/>
    <tableColumn id="20" xr3:uid="{A9139E7C-2064-438E-9AF4-4D42C88FC0AC}" name="Mês 11" dataDxfId="138"/>
    <tableColumn id="19" xr3:uid="{5014C990-79A1-45EA-B58E-13013B87C1D6}" name="Mês 12" dataDxfId="13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7BF14-B3E7-45F2-BD3D-BE414636AB56}" name="Tabela1326453" displayName="Tabela1326453" ref="A1:AE18" totalsRowShown="0" headerRowDxfId="136" dataDxfId="135">
  <autoFilter ref="A1:AE18" xr:uid="{CB7702D1-87D3-4150-9F36-EFC9DA524CFD}"/>
  <tableColumns count="31">
    <tableColumn id="1" xr3:uid="{8EF8A598-496C-4127-84EA-25A805D7A64B}" name="Epic" dataDxfId="134"/>
    <tableColumn id="2" xr3:uid="{BD5D6160-BC67-4E4F-8C4E-663374AB8B55}" name="Ações" dataDxfId="133"/>
    <tableColumn id="16" xr3:uid="{680E4F1B-0627-440E-9333-FEE032AFB366}" name="Status" dataDxfId="132"/>
    <tableColumn id="3" xr3:uid="{54A7D12F-7FF9-434B-9CAD-8974F2770BE0}" name="Due Date" dataDxfId="131"/>
    <tableColumn id="4" xr3:uid="{3959B835-96DB-49AC-AB66-F8ACF31A6E75}" name="Assignee" dataDxfId="130"/>
    <tableColumn id="6" xr3:uid="{DD65ACF6-CA15-4F4C-B4BA-D1EFD5C094A0}" name="Estimated effort" dataDxfId="129"/>
    <tableColumn id="5" xr3:uid="{14E98BE5-8558-4D14-AB88-1E55FAB6D7B7}" name="Planned effort" dataDxfId="128">
      <calculatedColumnFormula>SUM(H2,I2:S2)</calculatedColumnFormula>
    </tableColumn>
    <tableColumn id="13" xr3:uid="{CFCB2836-9797-45BF-A328-487F21E09A48}" name="jan/25" dataDxfId="127"/>
    <tableColumn id="14" xr3:uid="{FEA9440B-512A-47A0-BAC3-24E10C561673}" name="fev/25" dataDxfId="126"/>
    <tableColumn id="15" xr3:uid="{573EB65B-D23C-4AF0-880B-94E7FC29C6EB}" name="mar/25" dataDxfId="125"/>
    <tableColumn id="22" xr3:uid="{0BF63AB8-D890-4E54-AD35-F40A53432F4F}" name="abr/25" dataDxfId="124"/>
    <tableColumn id="21" xr3:uid="{CFB075D9-15C4-41D9-9205-62AA47E0F8F8}" name="mai/25" dataDxfId="123"/>
    <tableColumn id="20" xr3:uid="{B11EFA16-7E89-4D3E-B0C7-E268D29AA2C7}" name="jun/25" dataDxfId="122"/>
    <tableColumn id="19" xr3:uid="{76A38D4F-DB4E-4DA5-BC41-1EE81D2FC369}" name="jul/25" dataDxfId="121"/>
    <tableColumn id="7" xr3:uid="{E4F9B9A8-7F9D-440E-B75F-BB5AAD2F96C9}" name="ago/25" dataDxfId="120"/>
    <tableColumn id="17" xr3:uid="{DEA31174-FB24-402E-BF1F-468B18DA5CD5}" name="set/25" dataDxfId="119"/>
    <tableColumn id="23" xr3:uid="{7BCDB28C-FBEC-4380-AD17-E8827956BC28}" name="out/25" dataDxfId="118"/>
    <tableColumn id="24" xr3:uid="{6DEB3458-2B75-4B9F-B640-DA88BC43863A}" name="nov/25" dataDxfId="117"/>
    <tableColumn id="18" xr3:uid="{7BBF7E8D-492C-4D59-925D-0D1B7A9B6061}" name="dez/25" dataDxfId="116"/>
    <tableColumn id="8" xr3:uid="{6D80AE94-D220-49F4-8BC2-F5C3E025EF6A}" name="jan/26" dataDxfId="115"/>
    <tableColumn id="9" xr3:uid="{AE33B31E-89BC-4AA0-9457-4C5B892DB33D}" name="fev/26" dataDxfId="114"/>
    <tableColumn id="10" xr3:uid="{4A7938EC-E34F-4175-8978-FFDE8A949806}" name="mar/26" dataDxfId="113"/>
    <tableColumn id="11" xr3:uid="{9ED9A2DF-7E0E-45A7-8E36-A897E461742D}" name="abr/26" dataDxfId="112"/>
    <tableColumn id="12" xr3:uid="{393EB673-8088-4ECF-A193-564306E409D8}" name="mai/26" dataDxfId="111"/>
    <tableColumn id="25" xr3:uid="{46E091C5-C0B6-4E0C-92BF-8DF56FF0E9B5}" name="jun/26" dataDxfId="110"/>
    <tableColumn id="26" xr3:uid="{9380101F-8B94-4F89-B6EC-389F1E1F3EEB}" name="jul/26" dataDxfId="109"/>
    <tableColumn id="27" xr3:uid="{1A62C9C0-38DA-44F2-AC26-7E566A11C099}" name="ago/26" dataDxfId="108"/>
    <tableColumn id="28" xr3:uid="{80F8CD75-6061-487F-B5B4-22DE223F0153}" name="set/26" dataDxfId="107"/>
    <tableColumn id="29" xr3:uid="{4B81D7A8-B077-4B90-85BB-B5B79B2A9F1C}" name="out/26" dataDxfId="106"/>
    <tableColumn id="30" xr3:uid="{CBF6F5B7-8349-42E4-A849-26BC3A778B5F}" name="nov/26" dataDxfId="105"/>
    <tableColumn id="31" xr3:uid="{EFFCE330-B96C-49E9-BE0E-F0A89FAF36CB}" name="dez/26" dataDxfId="10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7702D1-87D3-4150-9F36-EFC9DA524CFD}" name="Tabela132645" displayName="Tabela132645" ref="A1:AH62" totalsRowShown="0" headerRowDxfId="103" dataDxfId="102">
  <autoFilter ref="A1:AH62" xr:uid="{CB7702D1-87D3-4150-9F36-EFC9DA524CFD}">
    <filterColumn colId="2">
      <filters blank="1">
        <filter val="Backlog"/>
        <filter val="Em andamento"/>
        <filter val="Parado"/>
      </filters>
    </filterColumn>
  </autoFilter>
  <tableColumns count="34">
    <tableColumn id="1" xr3:uid="{71EEA82D-82D2-4BB3-87F5-87862B10795C}" name="Epic" dataDxfId="101"/>
    <tableColumn id="2" xr3:uid="{1F2AD6E5-AE0A-4B62-9DD0-BF896E68455F}" name="Ações" dataDxfId="100"/>
    <tableColumn id="16" xr3:uid="{5967D219-BFBA-436C-8490-74C3DE54BE94}" name="Status" dataDxfId="99"/>
    <tableColumn id="3" xr3:uid="{F99503F3-CFD5-43A4-8123-CB3058FEC834}" name="Due Date" dataDxfId="98"/>
    <tableColumn id="4" xr3:uid="{C07CEA13-4038-4155-A353-AA28FCB7673D}" name="Assignee" dataDxfId="97"/>
    <tableColumn id="6" xr3:uid="{FA481167-75CA-41C9-B933-DEC1A9858C95}" name="Estimated effort" dataDxfId="96"/>
    <tableColumn id="5" xr3:uid="{4DBD7F07-C727-48D4-AC0E-EC0B871C2479}" name="Planned effort" dataDxfId="95">
      <calculatedColumnFormula>SUM(#REF!)</calculatedColumnFormula>
    </tableColumn>
    <tableColumn id="10" xr3:uid="{7408ACFB-20A6-4094-B592-9D75C9E4A1CE}" name="out/24" dataDxfId="94"/>
    <tableColumn id="11" xr3:uid="{33656682-46CD-487B-8AE4-63F3DB847970}" name="nov/24" dataDxfId="93"/>
    <tableColumn id="12" xr3:uid="{B894F7E2-3EF5-4B82-9C19-2C03D42DC2F6}" name="dez/24" dataDxfId="92"/>
    <tableColumn id="13" xr3:uid="{142499E4-2B5A-481B-A2FC-949C9D81C7D8}" name="jan/25" dataDxfId="91"/>
    <tableColumn id="14" xr3:uid="{2182D003-4982-4E64-8CA7-D4C44EA34923}" name="fev/25" dataDxfId="90"/>
    <tableColumn id="15" xr3:uid="{18C64C18-5E1E-4832-BAFA-0F8B50E8DDC2}" name="mar/25" dataDxfId="89"/>
    <tableColumn id="22" xr3:uid="{ECF8AC95-CED8-44D2-B2DF-052D70D6C65E}" name="abr/25" dataDxfId="88"/>
    <tableColumn id="21" xr3:uid="{4A243463-1223-43B6-81EF-D5EB9326D665}" name="mai/25" dataDxfId="87"/>
    <tableColumn id="20" xr3:uid="{B6EEE3F8-59CA-415E-AC4F-DFB7870C9C58}" name="jun/25" dataDxfId="86"/>
    <tableColumn id="19" xr3:uid="{D2A3F0C6-EF45-4A5E-906B-9E072774D13C}" name="jul/25" dataDxfId="85"/>
    <tableColumn id="7" xr3:uid="{8DF42FBD-073F-4175-AF91-08B59BB16FFF}" name="ago/25" dataDxfId="84"/>
    <tableColumn id="17" xr3:uid="{B17649D7-B5FB-439C-875D-763528ADBC4D}" name="set/25" dataDxfId="83"/>
    <tableColumn id="23" xr3:uid="{B0BDCFF1-BD05-426E-99F4-8EB7B767F8EF}" name="out/25" dataDxfId="82"/>
    <tableColumn id="24" xr3:uid="{80C786A0-DAE5-4F15-BB88-1D574AFFD7EC}" name="nov/25" dataDxfId="81"/>
    <tableColumn id="18" xr3:uid="{9987B1EE-934F-477A-A06C-A1479F2F168F}" name="dez/25" dataDxfId="80"/>
    <tableColumn id="8" xr3:uid="{13F93822-23D6-440F-B5B6-5714CED1E1AC}" name="jan/262" dataDxfId="79"/>
    <tableColumn id="9" xr3:uid="{AC1CC0B6-C5CC-4839-B5D5-0FB065DE409B}" name="fev/26" dataDxfId="78"/>
    <tableColumn id="25" xr3:uid="{02F1A28D-469E-4890-9F72-33E7210EE3BB}" name="mar/26" dataDxfId="77"/>
    <tableColumn id="26" xr3:uid="{C64D701B-E69F-430C-9241-AE80CA1106B1}" name="abr/26" dataDxfId="76"/>
    <tableColumn id="27" xr3:uid="{9B8716AA-280C-4920-8B04-2830EC93C424}" name="mai/26" dataDxfId="75"/>
    <tableColumn id="28" xr3:uid="{7292A232-A1FB-495C-8CCC-A36E94B741F7}" name="jun/26" dataDxfId="74"/>
    <tableColumn id="29" xr3:uid="{70DCB6E5-EBC1-4E24-AB07-52825E81B043}" name="jul/26" dataDxfId="73"/>
    <tableColumn id="30" xr3:uid="{5F7758A9-EE50-4968-994A-5030C5EF0D2D}" name="ago/26" dataDxfId="72"/>
    <tableColumn id="31" xr3:uid="{BB91E37C-D607-42B0-80A1-9320C8509601}" name="set/26" dataDxfId="71"/>
    <tableColumn id="32" xr3:uid="{AA4F14D6-2B26-4C13-B8C5-8CA366403CFB}" name="out/26" dataDxfId="70"/>
    <tableColumn id="33" xr3:uid="{0943C6D6-E285-4349-B014-E80E15C98346}" name="nov/26" dataDxfId="69"/>
    <tableColumn id="34" xr3:uid="{B738C047-608E-404C-93FE-FA440BE92D8E}" name="dez/26" dataDxfId="6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A2C-7F20-4E49-A15E-F459054B6CCE}">
  <sheetPr codeName="Planilha6"/>
  <dimension ref="A1:S52"/>
  <sheetViews>
    <sheetView zoomScale="90" zoomScaleNormal="90" workbookViewId="0">
      <pane ySplit="4" topLeftCell="A5" activePane="bottomLeft" state="frozen"/>
      <selection pane="bottomLeft" activeCell="F8" sqref="F8"/>
    </sheetView>
  </sheetViews>
  <sheetFormatPr defaultRowHeight="15" x14ac:dyDescent="0.25"/>
  <cols>
    <col min="1" max="1" width="61.7109375" style="1" bestFit="1" customWidth="1"/>
    <col min="2" max="2" width="25.5703125" style="1" bestFit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8.140625" style="1" bestFit="1" customWidth="1"/>
    <col min="7" max="7" width="14" style="1" bestFit="1" customWidth="1"/>
    <col min="8" max="9" width="10.42578125" style="1" customWidth="1"/>
    <col min="10" max="19" width="11.5703125" style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19" x14ac:dyDescent="0.25">
      <c r="A2" s="1" t="s">
        <v>19</v>
      </c>
      <c r="G2" s="10">
        <f>SUM(Tabela13264272[[#This Row],[Mês 1]:[Mês 12]])</f>
        <v>1984</v>
      </c>
      <c r="H2" s="6">
        <f t="shared" ref="H2:S2" si="0">H3-H4</f>
        <v>128</v>
      </c>
      <c r="I2" s="6">
        <f t="shared" si="0"/>
        <v>160</v>
      </c>
      <c r="J2" s="6">
        <f t="shared" si="0"/>
        <v>168</v>
      </c>
      <c r="K2" s="6">
        <f t="shared" si="0"/>
        <v>160</v>
      </c>
      <c r="L2" s="6">
        <f t="shared" si="0"/>
        <v>168</v>
      </c>
      <c r="M2" s="6">
        <f t="shared" si="0"/>
        <v>160</v>
      </c>
      <c r="N2" s="6">
        <f t="shared" si="0"/>
        <v>176</v>
      </c>
      <c r="O2" s="6">
        <f t="shared" si="0"/>
        <v>168</v>
      </c>
      <c r="P2" s="6">
        <f t="shared" si="0"/>
        <v>176</v>
      </c>
      <c r="Q2" s="6">
        <f t="shared" si="0"/>
        <v>184</v>
      </c>
      <c r="R2" s="6">
        <f t="shared" si="0"/>
        <v>160</v>
      </c>
      <c r="S2" s="6">
        <f t="shared" si="0"/>
        <v>176</v>
      </c>
    </row>
    <row r="3" spans="1:19" x14ac:dyDescent="0.25">
      <c r="A3" s="1" t="s">
        <v>20</v>
      </c>
      <c r="G3" s="10">
        <f>SUM(Tabela13264272[[#This Row],[Mês 1]:[Mês 12]])</f>
        <v>1984</v>
      </c>
      <c r="H3" s="10">
        <v>128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176</v>
      </c>
    </row>
    <row r="4" spans="1:19" x14ac:dyDescent="0.25">
      <c r="A4" s="4" t="s">
        <v>21</v>
      </c>
      <c r="B4" s="4"/>
      <c r="C4" s="4"/>
      <c r="D4" s="4"/>
      <c r="E4" s="4"/>
      <c r="F4" s="4"/>
      <c r="G4" s="23">
        <f>SUM(Tabela13264272[[#This Row],[Mês 1]:[Mês 12]])</f>
        <v>0</v>
      </c>
      <c r="H4" s="5">
        <f t="shared" ref="H4:S4" si="1">SUM(H7:H52)</f>
        <v>0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>
        <f t="shared" si="1"/>
        <v>0</v>
      </c>
      <c r="O4" s="5">
        <f t="shared" si="1"/>
        <v>0</v>
      </c>
      <c r="P4" s="5">
        <f t="shared" si="1"/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</row>
    <row r="5" spans="1:19" s="18" customFormat="1" x14ac:dyDescent="0.25">
      <c r="A5" s="15" t="s">
        <v>22</v>
      </c>
      <c r="B5" s="15"/>
      <c r="C5" s="15"/>
      <c r="D5" s="15"/>
      <c r="E5" s="15"/>
      <c r="F5" s="15"/>
      <c r="G5" s="21"/>
      <c r="H5" s="16"/>
      <c r="I5" s="16"/>
      <c r="J5" s="16"/>
      <c r="K5" s="16"/>
      <c r="L5" s="16"/>
      <c r="M5" s="16"/>
      <c r="N5" s="16"/>
      <c r="O5" s="16"/>
      <c r="P5" s="17"/>
      <c r="Q5" s="17"/>
      <c r="R5" s="17"/>
      <c r="S5" s="17"/>
    </row>
    <row r="6" spans="1:19" s="18" customFormat="1" x14ac:dyDescent="0.25">
      <c r="A6" s="15" t="s">
        <v>23</v>
      </c>
      <c r="B6" s="15"/>
      <c r="C6" s="15"/>
      <c r="D6" s="15"/>
      <c r="E6" s="15"/>
      <c r="F6" s="15"/>
      <c r="G6" s="21"/>
      <c r="H6" s="16"/>
      <c r="I6" s="16"/>
      <c r="J6" s="16"/>
      <c r="K6" s="16"/>
      <c r="L6" s="16"/>
      <c r="M6" s="16"/>
      <c r="N6" s="16"/>
      <c r="O6" s="16"/>
      <c r="P6" s="17"/>
      <c r="Q6" s="17"/>
      <c r="R6" s="17"/>
      <c r="S6" s="17"/>
    </row>
    <row r="7" spans="1:19" x14ac:dyDescent="0.25">
      <c r="A7" s="1" t="s">
        <v>24</v>
      </c>
      <c r="C7" s="1" t="s">
        <v>25</v>
      </c>
      <c r="D7" s="1">
        <v>2025</v>
      </c>
      <c r="E7" s="1" t="s">
        <v>26</v>
      </c>
      <c r="F7" s="6">
        <v>53</v>
      </c>
      <c r="G7" s="6">
        <f>SUM(Tabela13264272[[#This Row],[Mês 1]:[Mês 12]])</f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ht="30" x14ac:dyDescent="0.25">
      <c r="A8" s="1" t="s">
        <v>27</v>
      </c>
      <c r="C8" s="1" t="s">
        <v>25</v>
      </c>
      <c r="D8" s="1">
        <v>2025</v>
      </c>
      <c r="E8" s="1" t="s">
        <v>26</v>
      </c>
      <c r="F8" s="6"/>
      <c r="G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F9" s="6"/>
      <c r="G9" s="6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14"/>
      <c r="F10" s="6"/>
      <c r="G10" s="6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14"/>
      <c r="F11" s="6"/>
      <c r="G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14"/>
      <c r="F12" s="6"/>
      <c r="G12" s="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.75" customHeight="1" x14ac:dyDescent="0.25">
      <c r="A13" s="14"/>
      <c r="F13" s="6"/>
      <c r="G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14"/>
      <c r="F14" s="6"/>
      <c r="G14" s="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14"/>
      <c r="F15" s="6"/>
      <c r="G15" s="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F16" s="6"/>
      <c r="G16" s="6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6:19" x14ac:dyDescent="0.25">
      <c r="F17" s="6"/>
      <c r="G17" s="6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6:19" x14ac:dyDescent="0.25">
      <c r="F18" s="6"/>
      <c r="G18" s="6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6:19" x14ac:dyDescent="0.25">
      <c r="F19" s="6"/>
      <c r="G19" s="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6:19" x14ac:dyDescent="0.25">
      <c r="F20" s="6"/>
      <c r="G20" s="6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6:19" x14ac:dyDescent="0.25">
      <c r="F21" s="6"/>
      <c r="G21" s="6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6:19" x14ac:dyDescent="0.25">
      <c r="F22" s="6"/>
      <c r="G22" s="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6:19" x14ac:dyDescent="0.25">
      <c r="F23" s="6"/>
      <c r="G23" s="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6:19" x14ac:dyDescent="0.25">
      <c r="F24" s="6"/>
      <c r="G24" s="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6:19" x14ac:dyDescent="0.25">
      <c r="F25" s="6"/>
      <c r="G25" s="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6:19" x14ac:dyDescent="0.25">
      <c r="F26" s="6"/>
      <c r="G26" s="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6:19" x14ac:dyDescent="0.25">
      <c r="F27" s="6"/>
      <c r="G27" s="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6:19" x14ac:dyDescent="0.25">
      <c r="F28" s="6"/>
      <c r="G28" s="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6:19" x14ac:dyDescent="0.25">
      <c r="F29" s="6"/>
      <c r="G29" s="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6:19" x14ac:dyDescent="0.25">
      <c r="F30" s="6"/>
      <c r="G30" s="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6:19" x14ac:dyDescent="0.25">
      <c r="F31" s="6"/>
      <c r="G31" s="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6:19" x14ac:dyDescent="0.25">
      <c r="F32" s="6"/>
      <c r="G32" s="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6:19" x14ac:dyDescent="0.25">
      <c r="F33" s="6"/>
      <c r="G33" s="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6:19" x14ac:dyDescent="0.25">
      <c r="F34" s="6"/>
      <c r="G34" s="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6:19" x14ac:dyDescent="0.25">
      <c r="F35" s="6"/>
      <c r="G35" s="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6:19" x14ac:dyDescent="0.25">
      <c r="F36" s="6"/>
      <c r="G36" s="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6:19" x14ac:dyDescent="0.25">
      <c r="F37" s="6"/>
      <c r="G37" s="6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6:19" x14ac:dyDescent="0.25">
      <c r="F38" s="6"/>
      <c r="G38" s="6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6:19" x14ac:dyDescent="0.25">
      <c r="F39" s="6"/>
      <c r="G39" s="6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6:19" x14ac:dyDescent="0.25">
      <c r="F40" s="6"/>
      <c r="G40" s="6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6:19" x14ac:dyDescent="0.25">
      <c r="F41" s="6"/>
      <c r="G41" s="6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6:19" x14ac:dyDescent="0.25">
      <c r="F42" s="6"/>
      <c r="G42" s="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6:19" x14ac:dyDescent="0.25">
      <c r="G43" s="3"/>
      <c r="H43" s="28"/>
      <c r="I43" s="28"/>
      <c r="J43" s="28"/>
      <c r="K43" s="28"/>
      <c r="L43" s="28"/>
      <c r="M43" s="28"/>
      <c r="N43" s="28"/>
      <c r="O43" s="28"/>
      <c r="P43" s="29"/>
      <c r="Q43" s="29"/>
      <c r="R43" s="29"/>
      <c r="S43" s="29"/>
    </row>
    <row r="44" spans="6:19" x14ac:dyDescent="0.25">
      <c r="G44" s="3"/>
      <c r="H44" s="28"/>
      <c r="I44" s="28"/>
      <c r="J44" s="28"/>
      <c r="K44" s="28"/>
      <c r="L44" s="28"/>
      <c r="M44" s="28"/>
      <c r="N44" s="28"/>
      <c r="O44" s="28"/>
      <c r="P44" s="29"/>
      <c r="Q44" s="29"/>
      <c r="R44" s="29"/>
      <c r="S44" s="29"/>
    </row>
    <row r="45" spans="6:19" x14ac:dyDescent="0.25">
      <c r="G45" s="3"/>
      <c r="H45" s="28"/>
      <c r="I45" s="28"/>
      <c r="J45" s="28"/>
      <c r="K45" s="28"/>
      <c r="L45" s="28"/>
      <c r="M45" s="28"/>
      <c r="N45" s="28"/>
      <c r="O45" s="28"/>
      <c r="P45" s="29"/>
      <c r="Q45" s="29"/>
      <c r="R45" s="29"/>
      <c r="S45" s="29"/>
    </row>
    <row r="46" spans="6:19" x14ac:dyDescent="0.25">
      <c r="G46" s="3"/>
      <c r="H46" s="28"/>
      <c r="I46" s="28"/>
      <c r="J46" s="28"/>
      <c r="K46" s="28"/>
      <c r="L46" s="28"/>
      <c r="M46" s="28"/>
      <c r="N46" s="28"/>
      <c r="O46" s="28"/>
      <c r="P46" s="29"/>
      <c r="Q46" s="29"/>
      <c r="R46" s="29"/>
      <c r="S46" s="29"/>
    </row>
    <row r="47" spans="6:19" x14ac:dyDescent="0.25">
      <c r="G47" s="3"/>
      <c r="H47" s="28"/>
      <c r="I47" s="28"/>
      <c r="J47" s="28"/>
      <c r="K47" s="28"/>
      <c r="L47" s="28"/>
      <c r="M47" s="28"/>
      <c r="N47" s="28"/>
      <c r="O47" s="28"/>
      <c r="P47" s="29"/>
      <c r="Q47" s="29"/>
      <c r="R47" s="29"/>
      <c r="S47" s="29"/>
    </row>
    <row r="48" spans="6:19" x14ac:dyDescent="0.25">
      <c r="G48" s="3"/>
      <c r="H48" s="28"/>
      <c r="I48" s="28"/>
      <c r="J48" s="28"/>
      <c r="K48" s="28"/>
      <c r="L48" s="28"/>
      <c r="M48" s="28"/>
      <c r="N48" s="28"/>
      <c r="O48" s="28"/>
      <c r="P48" s="29"/>
      <c r="Q48" s="29"/>
      <c r="R48" s="29"/>
      <c r="S48" s="29"/>
    </row>
    <row r="49" spans="7:19" x14ac:dyDescent="0.25">
      <c r="G49" s="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7:19" x14ac:dyDescent="0.25"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7:19" x14ac:dyDescent="0.25"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7:19" x14ac:dyDescent="0.25">
      <c r="G52" s="3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</sheetData>
  <conditionalFormatting sqref="G2:G4">
    <cfRule type="expression" dxfId="67" priority="9">
      <formula>IF($A2="Esforço total atribuído",1)</formula>
    </cfRule>
    <cfRule type="expression" dxfId="66" priority="10">
      <formula>IF($A2="Disponibilidade restante",1)</formula>
    </cfRule>
    <cfRule type="expression" dxfId="65" priority="11">
      <formula>IF($A2="Disponibil.total",1)</formula>
    </cfRule>
    <cfRule type="expression" dxfId="64" priority="12">
      <formula>IF($B2=1,1)</formula>
    </cfRule>
  </conditionalFormatting>
  <conditionalFormatting sqref="H3:K3">
    <cfRule type="expression" dxfId="63" priority="5">
      <formula>IF($A3="Esforço total atribuído",1)</formula>
    </cfRule>
    <cfRule type="expression" dxfId="62" priority="6">
      <formula>IF($A3="Disponibilidade restante",1)</formula>
    </cfRule>
    <cfRule type="expression" dxfId="61" priority="7">
      <formula>IF($A3="Disponibil.total",1)</formula>
    </cfRule>
    <cfRule type="expression" dxfId="60" priority="8">
      <formula>IF($B3=1,1)</formula>
    </cfRule>
  </conditionalFormatting>
  <conditionalFormatting sqref="H43:S48 H50:S51">
    <cfRule type="expression" dxfId="59" priority="13">
      <formula>IF(#REF!="Esforço total atribuído",1)</formula>
    </cfRule>
    <cfRule type="expression" dxfId="58" priority="14">
      <formula>IF(#REF!="Disponibilidade restante",1)</formula>
    </cfRule>
    <cfRule type="expression" dxfId="57" priority="15">
      <formula>IF(#REF!="Disponibil.total",1)</formula>
    </cfRule>
    <cfRule type="expression" dxfId="56" priority="16">
      <formula>IF(#REF!=1,1)</formula>
    </cfRule>
  </conditionalFormatting>
  <conditionalFormatting sqref="O3:S3">
    <cfRule type="expression" dxfId="55" priority="1">
      <formula>IF($A3="Esforço total atribuído",1)</formula>
    </cfRule>
    <cfRule type="expression" dxfId="54" priority="2">
      <formula>IF($A3="Disponibilidade restante",1)</formula>
    </cfRule>
    <cfRule type="expression" dxfId="53" priority="3">
      <formula>IF($A3="Disponibil.total",1)</formula>
    </cfRule>
    <cfRule type="expression" dxfId="5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5F1-0B30-415F-A22E-3A02614B8C8B}">
  <dimension ref="A1:AE18"/>
  <sheetViews>
    <sheetView zoomScale="90" zoomScaleNormal="90" workbookViewId="0">
      <pane ySplit="4" topLeftCell="A5" activePane="bottomLeft" state="frozen"/>
      <selection pane="bottomLeft" activeCell="M17" sqref="M17"/>
    </sheetView>
  </sheetViews>
  <sheetFormatPr defaultRowHeight="15" x14ac:dyDescent="0.25"/>
  <cols>
    <col min="1" max="1" width="43.42578125" style="1" bestFit="1" customWidth="1"/>
    <col min="2" max="2" width="16.1406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customWidth="1"/>
    <col min="7" max="7" width="13.5703125" style="1" customWidth="1"/>
    <col min="8" max="8" width="11.5703125" style="1" customWidth="1"/>
    <col min="9" max="9" width="9.5703125" style="1" customWidth="1"/>
    <col min="10" max="10" width="9.85546875" style="1" customWidth="1"/>
    <col min="11" max="11" width="9.7109375" style="1" customWidth="1"/>
    <col min="12" max="12" width="10" style="1" customWidth="1"/>
    <col min="13" max="13" width="9.5703125" style="1" customWidth="1"/>
    <col min="14" max="14" width="8.85546875" style="1" bestFit="1" customWidth="1"/>
    <col min="15" max="15" width="9.85546875" style="1" bestFit="1" customWidth="1"/>
    <col min="16" max="16" width="9.5703125" style="1" bestFit="1" customWidth="1"/>
    <col min="17" max="17" width="9.85546875" style="1" bestFit="1" customWidth="1"/>
    <col min="18" max="18" width="10" style="1" bestFit="1" customWidth="1"/>
    <col min="19" max="19" width="9.85546875" style="1" bestFit="1" customWidth="1"/>
    <col min="20" max="20" width="13.7109375" customWidth="1"/>
    <col min="21" max="30" width="9.85546875" bestFit="1" customWidth="1"/>
  </cols>
  <sheetData>
    <row r="1" spans="1:3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0" t="s">
        <v>40</v>
      </c>
      <c r="U1" s="20" t="s">
        <v>41</v>
      </c>
      <c r="V1" s="20" t="s">
        <v>42</v>
      </c>
      <c r="W1" s="20" t="s">
        <v>43</v>
      </c>
      <c r="X1" s="20" t="s">
        <v>44</v>
      </c>
      <c r="Y1" s="42" t="s">
        <v>45</v>
      </c>
      <c r="Z1" s="42" t="s">
        <v>46</v>
      </c>
      <c r="AA1" s="42" t="s">
        <v>47</v>
      </c>
      <c r="AB1" s="42" t="s">
        <v>48</v>
      </c>
      <c r="AC1" s="42" t="s">
        <v>49</v>
      </c>
      <c r="AD1" s="42" t="s">
        <v>50</v>
      </c>
      <c r="AE1" s="42" t="s">
        <v>51</v>
      </c>
    </row>
    <row r="2" spans="1:31" x14ac:dyDescent="0.25">
      <c r="A2" s="1" t="s">
        <v>19</v>
      </c>
      <c r="G2" s="10">
        <f t="shared" ref="G2:G12" si="0">SUM(H2,I2:S2)</f>
        <v>-2.8000000000000114</v>
      </c>
      <c r="H2" s="6">
        <f t="shared" ref="H2:AE2" si="1">H3-H4</f>
        <v>-0.40000000000000568</v>
      </c>
      <c r="I2" s="6">
        <f t="shared" si="1"/>
        <v>7.9000000000000057</v>
      </c>
      <c r="J2" s="6">
        <f t="shared" si="1"/>
        <v>0</v>
      </c>
      <c r="K2" s="6">
        <f t="shared" si="1"/>
        <v>-0.30000000000001137</v>
      </c>
      <c r="L2" s="6">
        <f t="shared" si="1"/>
        <v>0</v>
      </c>
      <c r="M2" s="6">
        <f t="shared" si="1"/>
        <v>-6</v>
      </c>
      <c r="N2" s="6">
        <f t="shared" si="1"/>
        <v>0</v>
      </c>
      <c r="O2" s="6">
        <f t="shared" si="1"/>
        <v>2</v>
      </c>
      <c r="P2" s="6">
        <f t="shared" si="1"/>
        <v>0</v>
      </c>
      <c r="Q2" s="6">
        <f t="shared" si="1"/>
        <v>0</v>
      </c>
      <c r="R2" s="6">
        <f t="shared" si="1"/>
        <v>-6</v>
      </c>
      <c r="S2" s="6">
        <f t="shared" si="1"/>
        <v>0</v>
      </c>
      <c r="T2" s="6">
        <f t="shared" si="1"/>
        <v>144</v>
      </c>
      <c r="U2" s="6">
        <f t="shared" si="1"/>
        <v>160</v>
      </c>
      <c r="V2" s="6">
        <f t="shared" si="1"/>
        <v>168</v>
      </c>
      <c r="W2" s="6">
        <f t="shared" si="1"/>
        <v>160</v>
      </c>
      <c r="X2" s="6">
        <f t="shared" si="1"/>
        <v>168</v>
      </c>
      <c r="Y2" s="6">
        <f t="shared" si="1"/>
        <v>160</v>
      </c>
      <c r="Z2" s="6">
        <f t="shared" si="1"/>
        <v>176</v>
      </c>
      <c r="AA2" s="6">
        <f t="shared" si="1"/>
        <v>168</v>
      </c>
      <c r="AB2" s="6">
        <f t="shared" si="1"/>
        <v>176</v>
      </c>
      <c r="AC2" s="6">
        <f t="shared" si="1"/>
        <v>184</v>
      </c>
      <c r="AD2" s="6">
        <f t="shared" si="1"/>
        <v>160</v>
      </c>
      <c r="AE2" s="6">
        <f t="shared" si="1"/>
        <v>128</v>
      </c>
    </row>
    <row r="3" spans="1:31" x14ac:dyDescent="0.25">
      <c r="A3" s="1" t="s">
        <v>20</v>
      </c>
      <c r="G3" s="10">
        <f t="shared" si="0"/>
        <v>1952</v>
      </c>
      <c r="H3" s="10">
        <v>144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128</v>
      </c>
      <c r="T3" s="10">
        <v>144</v>
      </c>
      <c r="U3" s="10">
        <v>160</v>
      </c>
      <c r="V3" s="10">
        <v>168</v>
      </c>
      <c r="W3" s="10">
        <v>160</v>
      </c>
      <c r="X3" s="10">
        <v>168</v>
      </c>
      <c r="Y3" s="10">
        <v>160</v>
      </c>
      <c r="Z3" s="10">
        <v>176</v>
      </c>
      <c r="AA3" s="10">
        <v>168</v>
      </c>
      <c r="AB3" s="10">
        <v>176</v>
      </c>
      <c r="AC3" s="10">
        <v>184</v>
      </c>
      <c r="AD3" s="10">
        <v>160</v>
      </c>
      <c r="AE3" s="10">
        <v>128</v>
      </c>
    </row>
    <row r="4" spans="1:31" x14ac:dyDescent="0.25">
      <c r="A4" s="4" t="s">
        <v>21</v>
      </c>
      <c r="B4" s="4"/>
      <c r="C4" s="4"/>
      <c r="D4" s="4"/>
      <c r="E4" s="4"/>
      <c r="F4" s="4"/>
      <c r="G4" s="23">
        <f t="shared" si="0"/>
        <v>1954.8</v>
      </c>
      <c r="H4" s="5">
        <f>SUM(H7:H18)</f>
        <v>144.4</v>
      </c>
      <c r="I4" s="5">
        <f t="shared" ref="I4:AE4" si="2">SUM(I7:I18)</f>
        <v>152.1</v>
      </c>
      <c r="J4" s="5">
        <f t="shared" si="2"/>
        <v>168</v>
      </c>
      <c r="K4" s="5">
        <f t="shared" si="2"/>
        <v>160.30000000000001</v>
      </c>
      <c r="L4" s="5">
        <f t="shared" si="2"/>
        <v>168</v>
      </c>
      <c r="M4" s="5">
        <f t="shared" si="2"/>
        <v>166</v>
      </c>
      <c r="N4" s="5">
        <f t="shared" si="2"/>
        <v>176</v>
      </c>
      <c r="O4" s="5">
        <f t="shared" si="2"/>
        <v>166</v>
      </c>
      <c r="P4" s="5">
        <f t="shared" si="2"/>
        <v>176</v>
      </c>
      <c r="Q4" s="5">
        <f t="shared" si="2"/>
        <v>184</v>
      </c>
      <c r="R4" s="5">
        <f t="shared" si="2"/>
        <v>166</v>
      </c>
      <c r="S4" s="5">
        <f t="shared" si="2"/>
        <v>128</v>
      </c>
      <c r="T4" s="5">
        <f t="shared" si="2"/>
        <v>0</v>
      </c>
      <c r="U4" s="5">
        <f t="shared" si="2"/>
        <v>0</v>
      </c>
      <c r="V4" s="5">
        <f t="shared" si="2"/>
        <v>0</v>
      </c>
      <c r="W4" s="5">
        <f t="shared" si="2"/>
        <v>0</v>
      </c>
      <c r="X4" s="5">
        <f t="shared" si="2"/>
        <v>0</v>
      </c>
      <c r="Y4" s="5">
        <f t="shared" si="2"/>
        <v>0</v>
      </c>
      <c r="Z4" s="5">
        <f t="shared" si="2"/>
        <v>0</v>
      </c>
      <c r="AA4" s="5">
        <f t="shared" si="2"/>
        <v>0</v>
      </c>
      <c r="AB4" s="5">
        <f t="shared" si="2"/>
        <v>0</v>
      </c>
      <c r="AC4" s="5">
        <f t="shared" si="2"/>
        <v>0</v>
      </c>
      <c r="AD4" s="5">
        <f t="shared" si="2"/>
        <v>0</v>
      </c>
      <c r="AE4" s="5">
        <f t="shared" si="2"/>
        <v>0</v>
      </c>
    </row>
    <row r="5" spans="1:31" s="18" customFormat="1" x14ac:dyDescent="0.25">
      <c r="A5" s="15" t="s">
        <v>22</v>
      </c>
      <c r="B5" s="15"/>
      <c r="C5" s="15"/>
      <c r="D5" s="15"/>
      <c r="E5" s="15"/>
      <c r="F5" s="15"/>
      <c r="G5" s="24">
        <f t="shared" si="0"/>
        <v>0</v>
      </c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31" s="18" customFormat="1" x14ac:dyDescent="0.25">
      <c r="A6" s="15" t="s">
        <v>52</v>
      </c>
      <c r="B6" s="15"/>
      <c r="C6" s="15"/>
      <c r="D6" s="15"/>
      <c r="E6" s="15"/>
      <c r="F6" s="15"/>
      <c r="G6" s="24">
        <f t="shared" si="0"/>
        <v>0</v>
      </c>
      <c r="H6" s="16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</row>
    <row r="7" spans="1:31" ht="30" x14ac:dyDescent="0.25">
      <c r="A7" s="1" t="s">
        <v>53</v>
      </c>
      <c r="B7" s="1" t="s">
        <v>54</v>
      </c>
      <c r="C7" s="1" t="s">
        <v>55</v>
      </c>
      <c r="D7" s="22" t="s">
        <v>56</v>
      </c>
      <c r="E7" s="1" t="s">
        <v>57</v>
      </c>
      <c r="F7" s="30">
        <v>406</v>
      </c>
      <c r="G7" s="10">
        <f t="shared" si="0"/>
        <v>265.89999999999998</v>
      </c>
      <c r="H7" s="33">
        <v>15.7</v>
      </c>
      <c r="I7" s="8">
        <v>17.8</v>
      </c>
      <c r="J7" s="8">
        <v>22.8</v>
      </c>
      <c r="K7" s="8">
        <v>26.3</v>
      </c>
      <c r="L7" s="8">
        <v>43.3</v>
      </c>
      <c r="M7" s="8">
        <v>20</v>
      </c>
      <c r="N7" s="8">
        <v>20</v>
      </c>
      <c r="O7" s="8">
        <v>20</v>
      </c>
      <c r="P7" s="8">
        <v>20</v>
      </c>
      <c r="Q7" s="8">
        <v>20</v>
      </c>
      <c r="R7" s="8">
        <v>20</v>
      </c>
      <c r="S7" s="8">
        <v>20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</row>
    <row r="8" spans="1:31" ht="19.5" customHeight="1" x14ac:dyDescent="0.25">
      <c r="A8" s="14" t="s">
        <v>58</v>
      </c>
      <c r="C8" s="1" t="s">
        <v>55</v>
      </c>
      <c r="D8" s="22" t="s">
        <v>56</v>
      </c>
      <c r="E8" s="1" t="s">
        <v>57</v>
      </c>
      <c r="F8" s="29"/>
      <c r="G8" s="10">
        <f t="shared" si="0"/>
        <v>0</v>
      </c>
      <c r="H8" s="33"/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</row>
    <row r="9" spans="1:31" ht="19.5" customHeight="1" x14ac:dyDescent="0.25">
      <c r="A9" s="1" t="s">
        <v>59</v>
      </c>
      <c r="D9" s="22"/>
      <c r="F9" s="29"/>
      <c r="G9" s="10">
        <f t="shared" si="0"/>
        <v>80</v>
      </c>
      <c r="H9" s="33">
        <v>80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</row>
    <row r="10" spans="1:31" x14ac:dyDescent="0.25">
      <c r="A10" s="1" t="s">
        <v>60</v>
      </c>
      <c r="C10" s="1" t="s">
        <v>55</v>
      </c>
      <c r="D10" s="22" t="s">
        <v>56</v>
      </c>
      <c r="E10" s="1" t="s">
        <v>57</v>
      </c>
      <c r="G10" s="10">
        <f t="shared" si="0"/>
        <v>524.20000000000005</v>
      </c>
      <c r="H10" s="33">
        <v>47.7</v>
      </c>
      <c r="I10" s="8">
        <v>109.8</v>
      </c>
      <c r="J10" s="8">
        <v>142.69999999999999</v>
      </c>
      <c r="K10" s="8">
        <v>90</v>
      </c>
      <c r="L10" s="8">
        <v>32</v>
      </c>
      <c r="M10" s="8">
        <v>0</v>
      </c>
      <c r="N10" s="8">
        <v>10</v>
      </c>
      <c r="O10" s="8">
        <v>0</v>
      </c>
      <c r="P10" s="8">
        <v>10</v>
      </c>
      <c r="Q10" s="8">
        <v>18</v>
      </c>
      <c r="R10" s="8">
        <v>0</v>
      </c>
      <c r="S10" s="8">
        <v>64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</row>
    <row r="11" spans="1:31" x14ac:dyDescent="0.25">
      <c r="A11" s="1" t="s">
        <v>61</v>
      </c>
      <c r="C11" s="1" t="s">
        <v>55</v>
      </c>
      <c r="D11" s="22" t="s">
        <v>56</v>
      </c>
      <c r="E11" s="1" t="s">
        <v>57</v>
      </c>
      <c r="G11" s="10">
        <f t="shared" si="0"/>
        <v>193.5</v>
      </c>
      <c r="H11" s="33">
        <v>1</v>
      </c>
      <c r="I11" s="8">
        <v>24.5</v>
      </c>
      <c r="J11" s="8">
        <v>0</v>
      </c>
      <c r="K11" s="8">
        <v>0</v>
      </c>
      <c r="L11" s="8">
        <v>0</v>
      </c>
      <c r="M11" s="8">
        <v>24</v>
      </c>
      <c r="N11" s="8">
        <v>24</v>
      </c>
      <c r="O11" s="8">
        <v>24</v>
      </c>
      <c r="P11" s="8">
        <v>24</v>
      </c>
      <c r="Q11" s="8">
        <v>24</v>
      </c>
      <c r="R11" s="8">
        <v>24</v>
      </c>
      <c r="S11" s="8">
        <v>24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1:31" x14ac:dyDescent="0.25">
      <c r="A12" s="1" t="s">
        <v>62</v>
      </c>
      <c r="C12" s="1" t="s">
        <v>55</v>
      </c>
      <c r="D12" s="22" t="s">
        <v>56</v>
      </c>
      <c r="E12" s="1" t="s">
        <v>57</v>
      </c>
      <c r="G12" s="10">
        <f t="shared" si="0"/>
        <v>891.2</v>
      </c>
      <c r="H12" s="33"/>
      <c r="I12" s="8">
        <v>0</v>
      </c>
      <c r="J12" s="8">
        <v>2.5</v>
      </c>
      <c r="K12" s="8">
        <v>44</v>
      </c>
      <c r="L12" s="8">
        <v>92.7</v>
      </c>
      <c r="M12" s="8">
        <v>122</v>
      </c>
      <c r="N12" s="8">
        <v>122</v>
      </c>
      <c r="O12" s="8">
        <v>122</v>
      </c>
      <c r="P12" s="8">
        <v>122</v>
      </c>
      <c r="Q12" s="8">
        <v>122</v>
      </c>
      <c r="R12" s="8">
        <v>122</v>
      </c>
      <c r="S12" s="8">
        <v>20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</row>
    <row r="13" spans="1:31" x14ac:dyDescent="0.25">
      <c r="D13" s="22"/>
      <c r="G13" s="10"/>
      <c r="H13" s="33"/>
      <c r="I13" s="28"/>
      <c r="J13" s="28"/>
      <c r="K13" s="29"/>
      <c r="L13" s="29"/>
      <c r="M13" s="29"/>
      <c r="N13" s="29"/>
      <c r="O13" s="7"/>
      <c r="P13" s="7"/>
      <c r="Q13" s="7"/>
      <c r="R13" s="7"/>
      <c r="S13" s="29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 x14ac:dyDescent="0.25">
      <c r="D14" s="22"/>
      <c r="G14" s="10"/>
      <c r="H14" s="28"/>
      <c r="I14" s="28"/>
      <c r="J14" s="28"/>
      <c r="K14" s="29"/>
      <c r="L14" s="29"/>
      <c r="M14" s="29"/>
      <c r="N14" s="29"/>
      <c r="O14" s="7"/>
      <c r="P14" s="7"/>
      <c r="Q14" s="7"/>
      <c r="R14" s="7"/>
      <c r="S14" s="29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5">
      <c r="D15" s="22"/>
      <c r="G15" s="10"/>
      <c r="H15" s="28"/>
      <c r="I15" s="28"/>
      <c r="J15" s="28"/>
      <c r="K15" s="29"/>
      <c r="L15" s="29"/>
      <c r="M15" s="29"/>
      <c r="N15" s="29"/>
      <c r="O15" s="7"/>
      <c r="P15" s="7"/>
      <c r="Q15" s="7"/>
      <c r="R15" s="7"/>
      <c r="S15" s="29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 x14ac:dyDescent="0.25">
      <c r="D16" s="22"/>
      <c r="G16" s="10"/>
      <c r="H16" s="28"/>
      <c r="I16" s="28"/>
      <c r="J16" s="28"/>
      <c r="K16" s="29"/>
      <c r="L16" s="29"/>
      <c r="M16" s="29"/>
      <c r="N16" s="29"/>
      <c r="O16" s="7"/>
      <c r="P16" s="7"/>
      <c r="Q16" s="7"/>
      <c r="R16" s="7"/>
      <c r="S16" s="29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1" x14ac:dyDescent="0.25">
      <c r="D17" s="22"/>
      <c r="G17" s="10"/>
      <c r="H17" s="28"/>
      <c r="I17" s="28"/>
      <c r="J17" s="28"/>
      <c r="K17" s="29"/>
      <c r="L17" s="29"/>
      <c r="M17" s="29"/>
      <c r="N17" s="29"/>
      <c r="O17" s="7"/>
      <c r="P17" s="7"/>
      <c r="Q17" s="7"/>
      <c r="R17" s="7"/>
      <c r="S17" s="29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4:31" x14ac:dyDescent="0.25"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</sheetData>
  <phoneticPr fontId="18" type="noConversion"/>
  <conditionalFormatting sqref="A10:A17">
    <cfRule type="expression" dxfId="51" priority="33">
      <formula>IF(#REF!="Esforço total atribuído",1)</formula>
    </cfRule>
    <cfRule type="expression" dxfId="50" priority="34">
      <formula>IF(#REF!="Disponibilidade restante",1)</formula>
    </cfRule>
    <cfRule type="expression" dxfId="49" priority="35">
      <formula>IF(#REF!="Disponibil.total",1)</formula>
    </cfRule>
    <cfRule type="expression" dxfId="48" priority="36">
      <formula>IF($A10=1,1)</formula>
    </cfRule>
  </conditionalFormatting>
  <conditionalFormatting sqref="F7:F9">
    <cfRule type="expression" dxfId="47" priority="29">
      <formula>IF(#REF!="Esforço total atribuído",1)</formula>
    </cfRule>
    <cfRule type="expression" dxfId="46" priority="30">
      <formula>IF(#REF!="Disponibilidade restante",1)</formula>
    </cfRule>
    <cfRule type="expression" dxfId="45" priority="31">
      <formula>IF(#REF!="Disponibil.total",1)</formula>
    </cfRule>
    <cfRule type="expression" dxfId="44" priority="32">
      <formula>IF($A7=1,1)</formula>
    </cfRule>
  </conditionalFormatting>
  <conditionalFormatting sqref="G2:G18">
    <cfRule type="expression" dxfId="43" priority="13">
      <formula>IF(#REF!="Esforço total atribuído",1)</formula>
    </cfRule>
    <cfRule type="expression" dxfId="42" priority="14">
      <formula>IF(#REF!="Disponibilidade restante",1)</formula>
    </cfRule>
    <cfRule type="expression" dxfId="41" priority="15">
      <formula>IF(#REF!="Disponibil.total",1)</formula>
    </cfRule>
    <cfRule type="expression" dxfId="40" priority="16">
      <formula>IF($A2=1,1)</formula>
    </cfRule>
  </conditionalFormatting>
  <conditionalFormatting sqref="H3:K3">
    <cfRule type="expression" dxfId="39" priority="21">
      <formula>IF($A3="Esforço total atribuído",1)</formula>
    </cfRule>
    <cfRule type="expression" dxfId="38" priority="22">
      <formula>IF($A3="Disponibilidade restante",1)</formula>
    </cfRule>
    <cfRule type="expression" dxfId="37" priority="23">
      <formula>IF($A3="Disponibil.total",1)</formula>
    </cfRule>
    <cfRule type="expression" dxfId="36" priority="24">
      <formula>IF($B3=1,1)</formula>
    </cfRule>
  </conditionalFormatting>
  <conditionalFormatting sqref="O3:S3">
    <cfRule type="expression" dxfId="35" priority="17">
      <formula>IF($A3="Esforço total atribuído",1)</formula>
    </cfRule>
    <cfRule type="expression" dxfId="34" priority="18">
      <formula>IF($A3="Disponibilidade restante",1)</formula>
    </cfRule>
    <cfRule type="expression" dxfId="33" priority="19">
      <formula>IF($A3="Disponibil.total",1)</formula>
    </cfRule>
    <cfRule type="expression" dxfId="32" priority="20">
      <formula>IF($B3=1,1)</formula>
    </cfRule>
  </conditionalFormatting>
  <conditionalFormatting sqref="T3:AE3">
    <cfRule type="expression" dxfId="31" priority="1">
      <formula>IF($A3="Esforço total atribuído",1)</formula>
    </cfRule>
    <cfRule type="expression" dxfId="30" priority="2">
      <formula>IF($A3="Disponibilidade restante",1)</formula>
    </cfRule>
    <cfRule type="expression" dxfId="29" priority="3">
      <formula>IF($A3="Disponibil.total",1)</formula>
    </cfRule>
    <cfRule type="expression" dxfId="28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A5E9-EFC8-4905-A438-341180A1B983}">
  <sheetPr codeName="Planilha5"/>
  <dimension ref="A1:AH62"/>
  <sheetViews>
    <sheetView tabSelected="1" zoomScale="90" zoomScaleNormal="90" workbookViewId="0">
      <pane ySplit="4" topLeftCell="A5" activePane="bottomLeft" state="frozen"/>
      <selection pane="bottomLeft" activeCell="A65" sqref="A65"/>
    </sheetView>
  </sheetViews>
  <sheetFormatPr defaultRowHeight="15" x14ac:dyDescent="0.25"/>
  <cols>
    <col min="1" max="1" width="64.42578125" style="1" customWidth="1"/>
    <col min="2" max="2" width="21.57031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hidden="1" customWidth="1"/>
    <col min="7" max="7" width="13.5703125" style="1" customWidth="1"/>
    <col min="8" max="8" width="11.5703125" style="1" hidden="1" customWidth="1"/>
    <col min="9" max="9" width="11.28515625" style="1" hidden="1" customWidth="1"/>
    <col min="10" max="10" width="11.5703125" style="1" hidden="1" customWidth="1"/>
    <col min="11" max="11" width="11.5703125" style="19" hidden="1" customWidth="1"/>
    <col min="12" max="12" width="10.28515625" style="1" hidden="1" customWidth="1"/>
    <col min="13" max="13" width="9.42578125" style="1" hidden="1" customWidth="1"/>
    <col min="14" max="14" width="8.85546875" style="1" hidden="1" customWidth="1"/>
    <col min="15" max="15" width="10" style="1" hidden="1" customWidth="1"/>
    <col min="16" max="16" width="9.5703125" style="1" hidden="1" customWidth="1"/>
    <col min="17" max="17" width="8.85546875" style="1" bestFit="1" customWidth="1"/>
    <col min="18" max="18" width="9.85546875" style="1" bestFit="1" customWidth="1"/>
    <col min="19" max="19" width="9.5703125" style="1" bestFit="1" customWidth="1"/>
    <col min="20" max="20" width="9.85546875" style="1" bestFit="1" customWidth="1"/>
    <col min="21" max="21" width="10" style="1" bestFit="1" customWidth="1"/>
    <col min="22" max="22" width="9.85546875" style="1" bestFit="1" customWidth="1"/>
  </cols>
  <sheetData>
    <row r="1" spans="1:3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63</v>
      </c>
      <c r="I1" s="2" t="s">
        <v>64</v>
      </c>
      <c r="J1" s="2" t="s">
        <v>65</v>
      </c>
      <c r="K1" s="36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0" t="s">
        <v>66</v>
      </c>
      <c r="X1" s="20" t="s">
        <v>41</v>
      </c>
      <c r="Y1" s="20" t="s">
        <v>42</v>
      </c>
      <c r="Z1" s="20" t="s">
        <v>43</v>
      </c>
      <c r="AA1" s="20" t="s">
        <v>44</v>
      </c>
      <c r="AB1" s="42" t="s">
        <v>45</v>
      </c>
      <c r="AC1" s="42" t="s">
        <v>46</v>
      </c>
      <c r="AD1" s="42" t="s">
        <v>47</v>
      </c>
      <c r="AE1" s="42" t="s">
        <v>48</v>
      </c>
      <c r="AF1" s="42" t="s">
        <v>49</v>
      </c>
      <c r="AG1" s="42" t="s">
        <v>50</v>
      </c>
      <c r="AH1" s="42" t="s">
        <v>51</v>
      </c>
    </row>
    <row r="2" spans="1:34" x14ac:dyDescent="0.25">
      <c r="A2" s="1" t="s">
        <v>19</v>
      </c>
      <c r="G2" s="10"/>
      <c r="H2" s="6">
        <f t="shared" ref="H2:AH2" ca="1" si="0">H3-H4</f>
        <v>-21</v>
      </c>
      <c r="I2" s="6">
        <f t="shared" ca="1" si="0"/>
        <v>-47</v>
      </c>
      <c r="J2" s="6">
        <f t="shared" ca="1" si="0"/>
        <v>-26</v>
      </c>
      <c r="K2" s="8">
        <f t="shared" si="0"/>
        <v>-8.5</v>
      </c>
      <c r="L2" s="6">
        <f t="shared" si="0"/>
        <v>22</v>
      </c>
      <c r="M2" s="6">
        <f t="shared" si="0"/>
        <v>56</v>
      </c>
      <c r="N2" s="6">
        <f t="shared" si="0"/>
        <v>-5</v>
      </c>
      <c r="O2" s="6">
        <f t="shared" si="0"/>
        <v>-32.400000000000006</v>
      </c>
      <c r="P2" s="6">
        <f t="shared" si="0"/>
        <v>-17</v>
      </c>
      <c r="Q2" s="6">
        <f t="shared" si="0"/>
        <v>-7</v>
      </c>
      <c r="R2" s="6">
        <f t="shared" si="0"/>
        <v>-16</v>
      </c>
      <c r="S2" s="6">
        <f t="shared" si="0"/>
        <v>14</v>
      </c>
      <c r="T2" s="6">
        <f t="shared" si="0"/>
        <v>-4</v>
      </c>
      <c r="U2" s="6">
        <f t="shared" si="0"/>
        <v>2</v>
      </c>
      <c r="V2" s="6">
        <f t="shared" si="0"/>
        <v>12</v>
      </c>
      <c r="W2" s="6">
        <f t="shared" si="0"/>
        <v>42</v>
      </c>
      <c r="X2" s="6">
        <f t="shared" si="0"/>
        <v>49</v>
      </c>
      <c r="Y2" s="6">
        <f t="shared" si="0"/>
        <v>48</v>
      </c>
      <c r="Z2" s="6">
        <f t="shared" si="0"/>
        <v>32</v>
      </c>
      <c r="AA2" s="6">
        <f t="shared" si="0"/>
        <v>40</v>
      </c>
      <c r="AB2" s="6">
        <f t="shared" si="0"/>
        <v>32</v>
      </c>
      <c r="AC2" s="6">
        <f t="shared" si="0"/>
        <v>48</v>
      </c>
      <c r="AD2" s="6">
        <f t="shared" si="0"/>
        <v>55</v>
      </c>
      <c r="AE2" s="6">
        <f t="shared" si="0"/>
        <v>88</v>
      </c>
      <c r="AF2" s="6">
        <f t="shared" si="0"/>
        <v>96</v>
      </c>
      <c r="AG2" s="6">
        <f t="shared" si="0"/>
        <v>72</v>
      </c>
      <c r="AH2" s="6">
        <f t="shared" si="0"/>
        <v>40</v>
      </c>
    </row>
    <row r="3" spans="1:34" x14ac:dyDescent="0.25">
      <c r="A3" s="1" t="s">
        <v>20</v>
      </c>
      <c r="G3" s="10"/>
      <c r="H3" s="10">
        <v>184</v>
      </c>
      <c r="I3" s="10">
        <v>160</v>
      </c>
      <c r="J3" s="10">
        <v>120</v>
      </c>
      <c r="K3" s="37">
        <v>120</v>
      </c>
      <c r="L3" s="10">
        <v>160</v>
      </c>
      <c r="M3" s="10">
        <v>168</v>
      </c>
      <c r="N3" s="10">
        <v>160</v>
      </c>
      <c r="O3" s="13">
        <v>168</v>
      </c>
      <c r="P3" s="13">
        <v>160</v>
      </c>
      <c r="Q3" s="13">
        <v>176</v>
      </c>
      <c r="R3" s="10">
        <v>168</v>
      </c>
      <c r="S3" s="10">
        <v>176</v>
      </c>
      <c r="T3" s="10">
        <v>184</v>
      </c>
      <c r="U3" s="10">
        <v>160</v>
      </c>
      <c r="V3" s="10">
        <v>128</v>
      </c>
      <c r="W3" s="10">
        <v>144</v>
      </c>
      <c r="X3" s="10">
        <v>160</v>
      </c>
      <c r="Y3" s="10">
        <v>168</v>
      </c>
      <c r="Z3" s="10">
        <v>160</v>
      </c>
      <c r="AA3" s="10">
        <v>168</v>
      </c>
      <c r="AB3" s="10">
        <v>160</v>
      </c>
      <c r="AC3" s="10">
        <v>176</v>
      </c>
      <c r="AD3" s="10">
        <v>168</v>
      </c>
      <c r="AE3" s="10">
        <v>176</v>
      </c>
      <c r="AF3" s="10">
        <v>184</v>
      </c>
      <c r="AG3" s="10">
        <v>160</v>
      </c>
      <c r="AH3" s="10">
        <v>128</v>
      </c>
    </row>
    <row r="4" spans="1:34" x14ac:dyDescent="0.25">
      <c r="A4" s="4" t="s">
        <v>21</v>
      </c>
      <c r="B4" s="4"/>
      <c r="C4" s="4"/>
      <c r="D4" s="4"/>
      <c r="E4" s="4"/>
      <c r="F4" s="4"/>
      <c r="G4" s="4"/>
      <c r="H4" s="5">
        <f t="shared" ref="H4:AH4" ca="1" si="1">SUM(H7:H62)</f>
        <v>205</v>
      </c>
      <c r="I4" s="5">
        <f t="shared" ca="1" si="1"/>
        <v>207</v>
      </c>
      <c r="J4" s="5">
        <f t="shared" ca="1" si="1"/>
        <v>146</v>
      </c>
      <c r="K4" s="38">
        <f t="shared" si="1"/>
        <v>128.5</v>
      </c>
      <c r="L4" s="5">
        <f t="shared" si="1"/>
        <v>138</v>
      </c>
      <c r="M4" s="5">
        <f t="shared" si="1"/>
        <v>112</v>
      </c>
      <c r="N4" s="5">
        <f t="shared" si="1"/>
        <v>165</v>
      </c>
      <c r="O4" s="5">
        <f t="shared" si="1"/>
        <v>200.4</v>
      </c>
      <c r="P4" s="5">
        <f t="shared" si="1"/>
        <v>177</v>
      </c>
      <c r="Q4" s="5">
        <f t="shared" si="1"/>
        <v>183</v>
      </c>
      <c r="R4" s="5">
        <f t="shared" si="1"/>
        <v>184</v>
      </c>
      <c r="S4" s="5">
        <f t="shared" si="1"/>
        <v>162</v>
      </c>
      <c r="T4" s="5">
        <f t="shared" si="1"/>
        <v>188</v>
      </c>
      <c r="U4" s="5">
        <f t="shared" si="1"/>
        <v>158</v>
      </c>
      <c r="V4" s="5">
        <f t="shared" si="1"/>
        <v>116</v>
      </c>
      <c r="W4" s="5">
        <f t="shared" si="1"/>
        <v>102</v>
      </c>
      <c r="X4" s="5">
        <f t="shared" si="1"/>
        <v>111</v>
      </c>
      <c r="Y4" s="5">
        <f t="shared" si="1"/>
        <v>120</v>
      </c>
      <c r="Z4" s="5">
        <f t="shared" si="1"/>
        <v>128</v>
      </c>
      <c r="AA4" s="5">
        <f t="shared" si="1"/>
        <v>128</v>
      </c>
      <c r="AB4" s="5">
        <f t="shared" si="1"/>
        <v>128</v>
      </c>
      <c r="AC4" s="5">
        <f t="shared" si="1"/>
        <v>128</v>
      </c>
      <c r="AD4" s="5">
        <f t="shared" si="1"/>
        <v>113</v>
      </c>
      <c r="AE4" s="5">
        <f t="shared" si="1"/>
        <v>88</v>
      </c>
      <c r="AF4" s="5">
        <f t="shared" si="1"/>
        <v>88</v>
      </c>
      <c r="AG4" s="5">
        <f t="shared" si="1"/>
        <v>88</v>
      </c>
      <c r="AH4" s="5">
        <f t="shared" si="1"/>
        <v>88</v>
      </c>
    </row>
    <row r="5" spans="1:34" s="18" customFormat="1" x14ac:dyDescent="0.25">
      <c r="A5" s="15" t="s">
        <v>22</v>
      </c>
      <c r="B5" s="15"/>
      <c r="C5" s="15"/>
      <c r="D5" s="15"/>
      <c r="E5" s="15"/>
      <c r="F5" s="15"/>
      <c r="G5" s="24"/>
      <c r="H5" s="16"/>
      <c r="I5" s="16"/>
      <c r="J5" s="16"/>
      <c r="K5" s="39"/>
      <c r="L5" s="16"/>
      <c r="M5" s="16"/>
      <c r="N5" s="17"/>
      <c r="O5" s="17"/>
      <c r="P5" s="17"/>
      <c r="Q5" s="17"/>
      <c r="R5" s="17"/>
      <c r="S5" s="17"/>
      <c r="T5" s="17"/>
      <c r="U5" s="17"/>
      <c r="V5" s="17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s="18" customFormat="1" x14ac:dyDescent="0.25">
      <c r="A6" s="15" t="s">
        <v>52</v>
      </c>
      <c r="B6" s="15"/>
      <c r="C6" s="15"/>
      <c r="D6" s="15"/>
      <c r="E6" s="15"/>
      <c r="F6" s="15"/>
      <c r="G6" s="24"/>
      <c r="H6" s="16"/>
      <c r="I6" s="16"/>
      <c r="J6" s="16"/>
      <c r="K6" s="39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</row>
    <row r="7" spans="1:34" x14ac:dyDescent="0.25">
      <c r="A7" s="1" t="s">
        <v>53</v>
      </c>
      <c r="C7" s="1" t="s">
        <v>55</v>
      </c>
      <c r="D7" s="22" t="s">
        <v>67</v>
      </c>
      <c r="E7" s="1" t="s">
        <v>26</v>
      </c>
      <c r="F7" s="30"/>
      <c r="G7" s="30">
        <f>SUM(Tabela132645[[#This Row],[out/24]:[dez/25]])</f>
        <v>291.5</v>
      </c>
      <c r="H7" s="8">
        <v>28</v>
      </c>
      <c r="I7" s="8">
        <v>27</v>
      </c>
      <c r="J7" s="8">
        <v>27</v>
      </c>
      <c r="K7" s="8">
        <v>18.5</v>
      </c>
      <c r="L7" s="8">
        <v>27</v>
      </c>
      <c r="M7" s="8">
        <v>27</v>
      </c>
      <c r="N7" s="53">
        <v>0</v>
      </c>
      <c r="O7" s="8">
        <v>28</v>
      </c>
      <c r="P7" s="64">
        <v>17</v>
      </c>
      <c r="Q7" s="8">
        <v>12</v>
      </c>
      <c r="R7" s="8">
        <v>12</v>
      </c>
      <c r="S7" s="8">
        <v>17</v>
      </c>
      <c r="T7" s="8">
        <v>17</v>
      </c>
      <c r="U7" s="8">
        <v>17</v>
      </c>
      <c r="V7" s="8">
        <v>17</v>
      </c>
      <c r="W7" s="8">
        <v>17</v>
      </c>
      <c r="X7" s="8">
        <v>17</v>
      </c>
      <c r="Y7" s="8">
        <v>17</v>
      </c>
      <c r="Z7" s="8">
        <v>17</v>
      </c>
      <c r="AA7" s="8">
        <v>17</v>
      </c>
      <c r="AB7" s="8">
        <v>17</v>
      </c>
      <c r="AC7" s="8">
        <v>17</v>
      </c>
      <c r="AD7" s="8">
        <v>17</v>
      </c>
      <c r="AE7" s="8">
        <v>17</v>
      </c>
      <c r="AF7" s="8">
        <v>17</v>
      </c>
      <c r="AG7" s="8">
        <v>17</v>
      </c>
      <c r="AH7" s="8">
        <v>17</v>
      </c>
    </row>
    <row r="8" spans="1:34" x14ac:dyDescent="0.25">
      <c r="A8" s="14" t="s">
        <v>68</v>
      </c>
      <c r="C8" s="1" t="s">
        <v>55</v>
      </c>
      <c r="D8" s="22" t="s">
        <v>67</v>
      </c>
      <c r="E8" s="1" t="s">
        <v>26</v>
      </c>
      <c r="F8" s="30"/>
      <c r="G8" s="30">
        <f>SUM(Tabela132645[[#This Row],[out/24]:[dez/25]])</f>
        <v>159.5</v>
      </c>
      <c r="H8" s="8">
        <v>10</v>
      </c>
      <c r="I8" s="8">
        <v>16</v>
      </c>
      <c r="J8" s="8">
        <v>16</v>
      </c>
      <c r="K8" s="8">
        <v>30.5</v>
      </c>
      <c r="L8" s="8">
        <v>16</v>
      </c>
      <c r="M8" s="8">
        <v>16</v>
      </c>
      <c r="N8" s="53">
        <v>0</v>
      </c>
      <c r="O8" s="8">
        <v>3</v>
      </c>
      <c r="P8" s="64">
        <v>8</v>
      </c>
      <c r="Q8" s="8">
        <v>8</v>
      </c>
      <c r="R8" s="8">
        <v>4</v>
      </c>
      <c r="S8" s="8">
        <v>8</v>
      </c>
      <c r="T8" s="8">
        <v>8</v>
      </c>
      <c r="U8" s="8">
        <v>8</v>
      </c>
      <c r="V8" s="8">
        <v>8</v>
      </c>
      <c r="W8" s="8">
        <v>8</v>
      </c>
      <c r="X8" s="8">
        <v>8</v>
      </c>
      <c r="Y8" s="8">
        <v>8</v>
      </c>
      <c r="Z8" s="8">
        <v>8</v>
      </c>
      <c r="AA8" s="8">
        <v>8</v>
      </c>
      <c r="AB8" s="8">
        <v>8</v>
      </c>
      <c r="AC8" s="8">
        <v>8</v>
      </c>
      <c r="AD8" s="8">
        <v>8</v>
      </c>
      <c r="AE8" s="8">
        <v>8</v>
      </c>
      <c r="AF8" s="8">
        <v>8</v>
      </c>
      <c r="AG8" s="8">
        <v>8</v>
      </c>
      <c r="AH8" s="8">
        <v>8</v>
      </c>
    </row>
    <row r="9" spans="1:34" ht="30" hidden="1" x14ac:dyDescent="0.25">
      <c r="A9" s="1" t="s">
        <v>69</v>
      </c>
      <c r="B9" s="1" t="s">
        <v>70</v>
      </c>
      <c r="C9" s="1" t="s">
        <v>71</v>
      </c>
      <c r="D9" s="22" t="s">
        <v>67</v>
      </c>
      <c r="E9" s="1" t="s">
        <v>26</v>
      </c>
      <c r="F9" s="30">
        <v>120</v>
      </c>
      <c r="G9" s="30">
        <f>SUM(Tabela132645[[#This Row],[out/24]:[dez/25]])</f>
        <v>24</v>
      </c>
      <c r="H9" s="8">
        <v>8</v>
      </c>
      <c r="I9" s="8">
        <v>8</v>
      </c>
      <c r="J9" s="8">
        <v>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 x14ac:dyDescent="0.25">
      <c r="A10" s="14" t="s">
        <v>58</v>
      </c>
      <c r="C10" s="1" t="s">
        <v>55</v>
      </c>
      <c r="D10" s="22" t="s">
        <v>67</v>
      </c>
      <c r="E10" s="1" t="s">
        <v>26</v>
      </c>
      <c r="F10" s="29"/>
      <c r="G10" s="30">
        <f>SUM(Tabela132645[[#This Row],[out/24]:[dez/25]])</f>
        <v>51.3</v>
      </c>
      <c r="H10" s="28"/>
      <c r="I10" s="28"/>
      <c r="J10" s="28"/>
      <c r="K10" s="8">
        <v>25.3</v>
      </c>
      <c r="L10" s="28"/>
      <c r="M10" s="28"/>
      <c r="N10" s="54">
        <v>18</v>
      </c>
      <c r="O10" s="40">
        <v>8</v>
      </c>
      <c r="P10" s="65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</row>
    <row r="11" spans="1:34" x14ac:dyDescent="0.25">
      <c r="A11" s="1" t="s">
        <v>59</v>
      </c>
      <c r="C11" s="1" t="s">
        <v>55</v>
      </c>
      <c r="D11" s="22" t="s">
        <v>67</v>
      </c>
      <c r="E11" s="1" t="s">
        <v>26</v>
      </c>
      <c r="F11" s="29"/>
      <c r="G11" s="30">
        <f>SUM(Tabela132645[[#This Row],[out/24]:[dez/25]])</f>
        <v>72</v>
      </c>
      <c r="H11" s="28"/>
      <c r="I11" s="28"/>
      <c r="J11" s="28"/>
      <c r="K11" s="28"/>
      <c r="L11" s="28"/>
      <c r="M11" s="28"/>
      <c r="N11" s="56"/>
      <c r="O11" s="40">
        <v>0</v>
      </c>
      <c r="P11" s="65">
        <v>0</v>
      </c>
      <c r="Q11" s="40">
        <v>32</v>
      </c>
      <c r="R11" s="57">
        <v>40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</row>
    <row r="12" spans="1:34" ht="15.75" customHeight="1" x14ac:dyDescent="0.25">
      <c r="A12" s="59" t="s">
        <v>72</v>
      </c>
      <c r="B12" s="1" t="s">
        <v>73</v>
      </c>
      <c r="C12" s="1" t="s">
        <v>55</v>
      </c>
      <c r="D12" s="22" t="s">
        <v>67</v>
      </c>
      <c r="E12" s="1" t="s">
        <v>26</v>
      </c>
      <c r="F12" s="29"/>
      <c r="G12" s="30">
        <f>SUM(Tabela132645[[#This Row],[out/24]:[dez/25]])</f>
        <v>294</v>
      </c>
      <c r="H12" s="28"/>
      <c r="I12" s="28"/>
      <c r="J12" s="28"/>
      <c r="K12" s="28"/>
      <c r="L12" s="28"/>
      <c r="M12" s="28"/>
      <c r="N12" s="54">
        <v>63</v>
      </c>
      <c r="O12" s="40">
        <v>31</v>
      </c>
      <c r="P12" s="65">
        <v>30</v>
      </c>
      <c r="Q12" s="40">
        <v>30</v>
      </c>
      <c r="R12" s="40">
        <v>20</v>
      </c>
      <c r="S12" s="40">
        <v>30</v>
      </c>
      <c r="T12" s="40">
        <v>30</v>
      </c>
      <c r="U12" s="40">
        <v>30</v>
      </c>
      <c r="V12" s="40">
        <v>30</v>
      </c>
      <c r="W12" s="40">
        <v>30</v>
      </c>
      <c r="X12" s="40">
        <v>30</v>
      </c>
      <c r="Y12" s="40">
        <v>30</v>
      </c>
      <c r="Z12" s="40">
        <v>30</v>
      </c>
      <c r="AA12" s="40">
        <v>30</v>
      </c>
      <c r="AB12" s="40">
        <v>30</v>
      </c>
      <c r="AC12" s="40">
        <v>30</v>
      </c>
      <c r="AD12" s="40">
        <v>30</v>
      </c>
      <c r="AE12" s="40">
        <v>30</v>
      </c>
      <c r="AF12" s="40">
        <v>30</v>
      </c>
      <c r="AG12" s="40">
        <v>30</v>
      </c>
      <c r="AH12" s="40">
        <v>30</v>
      </c>
    </row>
    <row r="13" spans="1:34" x14ac:dyDescent="0.25">
      <c r="A13" s="59" t="s">
        <v>60</v>
      </c>
      <c r="B13" s="1" t="s">
        <v>73</v>
      </c>
      <c r="C13" s="1" t="s">
        <v>55</v>
      </c>
      <c r="D13" s="22" t="s">
        <v>67</v>
      </c>
      <c r="E13" s="1" t="s">
        <v>26</v>
      </c>
      <c r="F13" s="29"/>
      <c r="G13" s="30">
        <f>SUM(Tabela132645[[#This Row],[out/24]:[dez/25]])</f>
        <v>220.9</v>
      </c>
      <c r="H13" s="28"/>
      <c r="I13" s="28"/>
      <c r="J13" s="28"/>
      <c r="K13" s="28"/>
      <c r="L13" s="28"/>
      <c r="M13" s="28"/>
      <c r="N13" s="54">
        <v>24.5</v>
      </c>
      <c r="O13" s="40">
        <v>31.4</v>
      </c>
      <c r="P13" s="65">
        <v>25</v>
      </c>
      <c r="Q13" s="40">
        <v>25</v>
      </c>
      <c r="R13" s="40">
        <v>15</v>
      </c>
      <c r="S13" s="40">
        <v>25</v>
      </c>
      <c r="T13" s="40">
        <v>25</v>
      </c>
      <c r="U13" s="40">
        <v>25</v>
      </c>
      <c r="V13" s="40">
        <v>25</v>
      </c>
      <c r="W13" s="40">
        <v>25</v>
      </c>
      <c r="X13" s="40">
        <v>25</v>
      </c>
      <c r="Y13" s="40">
        <v>25</v>
      </c>
      <c r="Z13" s="40">
        <v>25</v>
      </c>
      <c r="AA13" s="40">
        <v>25</v>
      </c>
      <c r="AB13" s="40">
        <v>25</v>
      </c>
      <c r="AC13" s="40">
        <v>25</v>
      </c>
      <c r="AD13" s="40">
        <v>25</v>
      </c>
      <c r="AE13" s="40">
        <v>25</v>
      </c>
      <c r="AF13" s="40">
        <v>25</v>
      </c>
      <c r="AG13" s="40">
        <v>25</v>
      </c>
      <c r="AH13" s="40">
        <v>25</v>
      </c>
    </row>
    <row r="14" spans="1:34" x14ac:dyDescent="0.25">
      <c r="A14" s="59" t="s">
        <v>74</v>
      </c>
      <c r="B14" s="1" t="s">
        <v>73</v>
      </c>
      <c r="C14" s="1" t="s">
        <v>55</v>
      </c>
      <c r="D14" s="22" t="s">
        <v>67</v>
      </c>
      <c r="E14" s="1" t="s">
        <v>26</v>
      </c>
      <c r="F14" s="30"/>
      <c r="G14" s="30">
        <f>SUM(Tabela132645[[#This Row],[out/24]:[dez/26]])</f>
        <v>177</v>
      </c>
      <c r="H14" s="8">
        <v>6</v>
      </c>
      <c r="I14" s="8">
        <v>6</v>
      </c>
      <c r="J14" s="8">
        <v>2</v>
      </c>
      <c r="K14" s="8">
        <v>0</v>
      </c>
      <c r="L14" s="8">
        <v>4</v>
      </c>
      <c r="M14" s="8">
        <v>4</v>
      </c>
      <c r="N14" s="53">
        <v>0</v>
      </c>
      <c r="O14" s="8">
        <v>3</v>
      </c>
      <c r="P14" s="64">
        <v>8</v>
      </c>
      <c r="Q14" s="8">
        <v>8</v>
      </c>
      <c r="R14" s="8">
        <v>8</v>
      </c>
      <c r="S14" s="8">
        <v>8</v>
      </c>
      <c r="T14" s="8">
        <v>8</v>
      </c>
      <c r="U14" s="8">
        <v>8</v>
      </c>
      <c r="V14" s="8">
        <v>8</v>
      </c>
      <c r="W14" s="8">
        <v>8</v>
      </c>
      <c r="X14" s="8">
        <v>8</v>
      </c>
      <c r="Y14" s="8">
        <v>8</v>
      </c>
      <c r="Z14" s="8">
        <v>8</v>
      </c>
      <c r="AA14" s="8">
        <v>8</v>
      </c>
      <c r="AB14" s="8">
        <v>8</v>
      </c>
      <c r="AC14" s="8">
        <v>8</v>
      </c>
      <c r="AD14" s="8">
        <v>8</v>
      </c>
      <c r="AE14" s="8">
        <v>8</v>
      </c>
      <c r="AF14" s="8">
        <v>8</v>
      </c>
      <c r="AG14" s="8">
        <v>8</v>
      </c>
      <c r="AH14" s="8">
        <v>8</v>
      </c>
    </row>
    <row r="15" spans="1:34" hidden="1" x14ac:dyDescent="0.25">
      <c r="A15" s="1" t="s">
        <v>75</v>
      </c>
      <c r="C15" s="1" t="s">
        <v>71</v>
      </c>
      <c r="D15" s="22" t="s">
        <v>67</v>
      </c>
      <c r="E15" s="1" t="s">
        <v>26</v>
      </c>
      <c r="F15" s="30">
        <v>32</v>
      </c>
      <c r="G15" s="30">
        <f>SUM(Tabela132645[[#This Row],[out/24]:[dez/26]])</f>
        <v>32</v>
      </c>
      <c r="H15" s="8">
        <v>8</v>
      </c>
      <c r="I15" s="8">
        <v>8</v>
      </c>
      <c r="J15" s="8">
        <v>8</v>
      </c>
      <c r="K15" s="8">
        <v>0</v>
      </c>
      <c r="L15" s="8">
        <v>0</v>
      </c>
      <c r="M15" s="8">
        <v>8</v>
      </c>
      <c r="N15" s="53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hidden="1" x14ac:dyDescent="0.25">
      <c r="A16" s="1" t="s">
        <v>76</v>
      </c>
      <c r="C16" s="1" t="s">
        <v>71</v>
      </c>
      <c r="D16" s="22" t="s">
        <v>67</v>
      </c>
      <c r="E16" s="1" t="s">
        <v>26</v>
      </c>
      <c r="F16" s="30">
        <v>106</v>
      </c>
      <c r="G16" s="30">
        <f>SUM(Tabela132645[[#This Row],[out/24]:[dez/25]])</f>
        <v>106</v>
      </c>
      <c r="H16" s="8">
        <v>45</v>
      </c>
      <c r="I16" s="8">
        <v>37</v>
      </c>
      <c r="J16" s="8">
        <v>24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 x14ac:dyDescent="0.25">
      <c r="A17" s="60" t="s">
        <v>77</v>
      </c>
      <c r="B17" s="25"/>
      <c r="C17" s="12" t="s">
        <v>78</v>
      </c>
      <c r="D17" s="22" t="s">
        <v>67</v>
      </c>
      <c r="E17" s="1" t="s">
        <v>26</v>
      </c>
      <c r="F17" s="30">
        <v>0</v>
      </c>
      <c r="G17" s="30">
        <f>SUM(Tabela132645[[#This Row],[out/24]:[dez/26]])</f>
        <v>35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53">
        <v>0</v>
      </c>
      <c r="O17" s="8">
        <v>0</v>
      </c>
      <c r="P17" s="64">
        <v>0</v>
      </c>
      <c r="Q17" s="8">
        <v>4</v>
      </c>
      <c r="R17" s="8">
        <v>5</v>
      </c>
      <c r="S17" s="8">
        <v>8</v>
      </c>
      <c r="T17" s="8">
        <v>6</v>
      </c>
      <c r="U17" s="8">
        <v>9</v>
      </c>
      <c r="V17" s="8">
        <v>3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hidden="1" x14ac:dyDescent="0.25">
      <c r="A18" s="26" t="s">
        <v>79</v>
      </c>
      <c r="B18" s="25"/>
      <c r="C18" s="1" t="s">
        <v>71</v>
      </c>
      <c r="D18" s="1">
        <v>2024</v>
      </c>
      <c r="E18" s="1" t="s">
        <v>26</v>
      </c>
      <c r="F18" s="30">
        <v>10</v>
      </c>
      <c r="G18" s="30">
        <f>SUM(Tabela132645[[#This Row],[out/24]:[dez/25]])</f>
        <v>10</v>
      </c>
      <c r="H18" s="8">
        <v>5</v>
      </c>
      <c r="I18" s="8">
        <v>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hidden="1" x14ac:dyDescent="0.25">
      <c r="A19" s="26" t="s">
        <v>80</v>
      </c>
      <c r="B19" s="25"/>
      <c r="C19" s="1" t="s">
        <v>71</v>
      </c>
      <c r="D19" s="1">
        <v>2024</v>
      </c>
      <c r="E19" s="1" t="s">
        <v>26</v>
      </c>
      <c r="F19" s="30">
        <v>16</v>
      </c>
      <c r="G19" s="30">
        <f>SUM(Tabela132645[[#This Row],[out/24]:[dez/25]])</f>
        <v>16</v>
      </c>
      <c r="H19" s="8">
        <v>8</v>
      </c>
      <c r="I19" s="8">
        <v>8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idden="1" x14ac:dyDescent="0.25">
      <c r="A20" s="1" t="s">
        <v>81</v>
      </c>
      <c r="C20" s="1" t="s">
        <v>71</v>
      </c>
      <c r="D20" s="1">
        <v>2024</v>
      </c>
      <c r="E20" s="1" t="s">
        <v>26</v>
      </c>
      <c r="F20" s="30">
        <v>24</v>
      </c>
      <c r="G20" s="30">
        <f>SUM(Tabela132645[[#This Row],[out/24]:[dez/25]])</f>
        <v>24</v>
      </c>
      <c r="H20" s="8">
        <v>8</v>
      </c>
      <c r="I20" s="8">
        <v>8</v>
      </c>
      <c r="J20" s="8">
        <v>8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 spans="1:34" x14ac:dyDescent="0.25">
      <c r="A21" s="26" t="s">
        <v>82</v>
      </c>
      <c r="B21" s="25"/>
      <c r="C21" s="12" t="s">
        <v>78</v>
      </c>
      <c r="D21" s="1" t="s">
        <v>83</v>
      </c>
      <c r="E21" s="1" t="s">
        <v>26</v>
      </c>
      <c r="F21" s="30">
        <v>24</v>
      </c>
      <c r="G21" s="30">
        <f>SUM(Tabela132645[[#This Row],[out/24]:[dez/26]])</f>
        <v>24</v>
      </c>
      <c r="H21" s="8">
        <v>16</v>
      </c>
      <c r="I21" s="8">
        <v>8</v>
      </c>
      <c r="J21" s="8">
        <v>0</v>
      </c>
      <c r="K21" s="8">
        <v>0</v>
      </c>
      <c r="L21" s="8">
        <v>0</v>
      </c>
      <c r="M21" s="8">
        <v>0</v>
      </c>
      <c r="N21" s="53">
        <v>0</v>
      </c>
      <c r="O21" s="8">
        <v>0</v>
      </c>
      <c r="P21" s="64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hidden="1" x14ac:dyDescent="0.25">
      <c r="A22" s="1" t="s">
        <v>84</v>
      </c>
      <c r="B22" s="1" t="s">
        <v>85</v>
      </c>
      <c r="C22" s="1" t="s">
        <v>71</v>
      </c>
      <c r="D22" s="22" t="s">
        <v>67</v>
      </c>
      <c r="E22" s="1" t="s">
        <v>26</v>
      </c>
      <c r="F22" s="30">
        <v>4</v>
      </c>
      <c r="G22" s="30">
        <f>SUM(Tabela132645[[#This Row],[out/24]:[dez/26]])</f>
        <v>4</v>
      </c>
      <c r="H22" s="8">
        <v>2</v>
      </c>
      <c r="I22" s="8">
        <v>2</v>
      </c>
      <c r="J22" s="8">
        <v>0</v>
      </c>
      <c r="K22" s="8">
        <v>0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hidden="1" x14ac:dyDescent="0.25">
      <c r="A23" s="1" t="s">
        <v>86</v>
      </c>
      <c r="C23" s="1" t="s">
        <v>71</v>
      </c>
      <c r="D23" s="1">
        <v>2024</v>
      </c>
      <c r="E23" s="1" t="s">
        <v>26</v>
      </c>
      <c r="F23" s="30">
        <v>8</v>
      </c>
      <c r="G23" s="31">
        <f>SUM(Tabela132645[[#This Row],[out/24]:[dez/25]])</f>
        <v>8</v>
      </c>
      <c r="H23" s="8">
        <v>8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 hidden="1" x14ac:dyDescent="0.25">
      <c r="A24" t="s">
        <v>87</v>
      </c>
      <c r="C24" s="1" t="s">
        <v>71</v>
      </c>
      <c r="D24" s="1">
        <v>2024</v>
      </c>
      <c r="E24" s="1" t="s">
        <v>26</v>
      </c>
      <c r="F24" s="30">
        <v>8</v>
      </c>
      <c r="G24" s="31">
        <f>SUM(Tabela132645[[#This Row],[out/24]:[dez/25]])</f>
        <v>8</v>
      </c>
      <c r="H24" s="8">
        <v>8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34" hidden="1" x14ac:dyDescent="0.25">
      <c r="A25" s="1" t="s">
        <v>88</v>
      </c>
      <c r="C25" s="1" t="s">
        <v>71</v>
      </c>
      <c r="D25" s="1">
        <v>2024</v>
      </c>
      <c r="E25" s="1" t="s">
        <v>26</v>
      </c>
      <c r="F25" s="30">
        <v>20</v>
      </c>
      <c r="G25" s="31">
        <f>SUM(Tabela132645[[#This Row],[out/24]:[dez/25]])</f>
        <v>20</v>
      </c>
      <c r="H25" s="8">
        <v>4</v>
      </c>
      <c r="I25" s="8">
        <v>8</v>
      </c>
      <c r="J25" s="8">
        <v>8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34" hidden="1" x14ac:dyDescent="0.25">
      <c r="A26" s="1" t="s">
        <v>89</v>
      </c>
      <c r="C26" s="1" t="s">
        <v>71</v>
      </c>
      <c r="D26" s="1">
        <v>2024</v>
      </c>
      <c r="E26" s="1" t="s">
        <v>26</v>
      </c>
      <c r="F26" s="30">
        <v>6</v>
      </c>
      <c r="G26" s="31">
        <f>SUM(Tabela132645[[#This Row],[out/24]:[dez/25]])</f>
        <v>6</v>
      </c>
      <c r="H26" s="8">
        <v>2</v>
      </c>
      <c r="I26" s="8">
        <v>2</v>
      </c>
      <c r="J26" s="8">
        <v>2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34" x14ac:dyDescent="0.25">
      <c r="A27" s="1" t="s">
        <v>90</v>
      </c>
      <c r="C27" s="12" t="s">
        <v>78</v>
      </c>
      <c r="D27" s="22" t="s">
        <v>67</v>
      </c>
      <c r="E27" s="1" t="s">
        <v>26</v>
      </c>
      <c r="F27" s="30">
        <v>20</v>
      </c>
      <c r="G27" s="30">
        <f>SUM(Tabela132645[[#This Row],[out/24]:[dez/26]])</f>
        <v>20</v>
      </c>
      <c r="H27" s="11">
        <v>4</v>
      </c>
      <c r="I27" s="11">
        <v>8</v>
      </c>
      <c r="J27" s="11">
        <v>8</v>
      </c>
      <c r="K27" s="8">
        <v>0</v>
      </c>
      <c r="L27" s="8">
        <v>0</v>
      </c>
      <c r="M27" s="8">
        <v>0</v>
      </c>
      <c r="N27" s="53">
        <v>0</v>
      </c>
      <c r="O27" s="8">
        <v>0</v>
      </c>
      <c r="P27" s="64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1:34" hidden="1" x14ac:dyDescent="0.25">
      <c r="A28" s="1" t="s">
        <v>91</v>
      </c>
      <c r="C28" s="1" t="s">
        <v>71</v>
      </c>
      <c r="D28" s="1">
        <v>2024</v>
      </c>
      <c r="E28" s="1" t="s">
        <v>26</v>
      </c>
      <c r="F28" s="30">
        <v>20</v>
      </c>
      <c r="G28" s="30">
        <f>SUM(Tabela132645[[#This Row],[out/24]:[dez/25]])</f>
        <v>15</v>
      </c>
      <c r="H28" s="8">
        <v>5</v>
      </c>
      <c r="I28" s="8">
        <v>10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pans="1:34" hidden="1" x14ac:dyDescent="0.25">
      <c r="A29" s="1" t="s">
        <v>92</v>
      </c>
      <c r="C29" s="1" t="s">
        <v>71</v>
      </c>
      <c r="D29" s="22" t="s">
        <v>67</v>
      </c>
      <c r="E29" s="1" t="s">
        <v>26</v>
      </c>
      <c r="F29" s="30">
        <v>2</v>
      </c>
      <c r="G29" s="30">
        <f>SUM(Tabela132645[[#This Row],[out/24]:[dez/26]])</f>
        <v>2</v>
      </c>
      <c r="H29" s="27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53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ht="30" hidden="1" x14ac:dyDescent="0.25">
      <c r="A30" s="1" t="s">
        <v>93</v>
      </c>
      <c r="C30" s="1" t="s">
        <v>71</v>
      </c>
      <c r="D30" s="1">
        <v>2024</v>
      </c>
      <c r="E30" s="1" t="s">
        <v>26</v>
      </c>
      <c r="F30" s="30">
        <v>2</v>
      </c>
      <c r="G30" s="31">
        <f>SUM(Tabela132645[[#This Row],[out/24]:[dez/25]])</f>
        <v>2</v>
      </c>
      <c r="H30" s="11">
        <v>2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4" hidden="1" x14ac:dyDescent="0.25">
      <c r="A31" s="1" t="s">
        <v>94</v>
      </c>
      <c r="C31" s="1" t="s">
        <v>71</v>
      </c>
      <c r="D31" s="1">
        <v>2024</v>
      </c>
      <c r="E31" s="1" t="s">
        <v>26</v>
      </c>
      <c r="F31" s="30">
        <v>2</v>
      </c>
      <c r="G31" s="31">
        <f>SUM(Tabela132645[[#This Row],[out/24]:[dez/25]])</f>
        <v>2</v>
      </c>
      <c r="H31" s="8">
        <v>2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34" hidden="1" x14ac:dyDescent="0.25">
      <c r="A32" s="1" t="s">
        <v>95</v>
      </c>
      <c r="C32" s="1" t="s">
        <v>71</v>
      </c>
      <c r="D32" s="1">
        <v>2024</v>
      </c>
      <c r="E32" s="1" t="s">
        <v>26</v>
      </c>
      <c r="F32" s="30">
        <v>2</v>
      </c>
      <c r="G32" s="31">
        <f>SUM(Tabela132645[[#This Row],[out/24]:[dez/25]])</f>
        <v>2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34" hidden="1" x14ac:dyDescent="0.25">
      <c r="A33" s="1" t="s">
        <v>96</v>
      </c>
      <c r="C33" s="1" t="s">
        <v>71</v>
      </c>
      <c r="D33" s="1">
        <v>2024</v>
      </c>
      <c r="E33" s="1" t="s">
        <v>26</v>
      </c>
      <c r="F33" s="30">
        <v>2</v>
      </c>
      <c r="G33" s="31">
        <f>SUM(Tabela132645[[#This Row],[out/24]:[dez/25]])</f>
        <v>2</v>
      </c>
      <c r="H33" s="8">
        <v>0</v>
      </c>
      <c r="I33" s="8">
        <v>2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 spans="1:34" hidden="1" x14ac:dyDescent="0.25">
      <c r="A34" s="1" t="s">
        <v>97</v>
      </c>
      <c r="C34" s="1" t="s">
        <v>71</v>
      </c>
      <c r="D34" s="1">
        <v>2024</v>
      </c>
      <c r="E34" s="1" t="s">
        <v>26</v>
      </c>
      <c r="F34" s="30">
        <v>2</v>
      </c>
      <c r="G34" s="31">
        <f>SUM(Tabela132645[[#This Row],[out/24]:[dez/25]])</f>
        <v>2</v>
      </c>
      <c r="H34" s="8">
        <v>0</v>
      </c>
      <c r="I34" s="8">
        <v>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1:34" hidden="1" x14ac:dyDescent="0.25">
      <c r="A35" s="1" t="s">
        <v>98</v>
      </c>
      <c r="C35" s="1" t="s">
        <v>71</v>
      </c>
      <c r="D35" s="22" t="s">
        <v>67</v>
      </c>
      <c r="E35" s="1" t="s">
        <v>26</v>
      </c>
      <c r="F35" s="30">
        <v>12</v>
      </c>
      <c r="G35" s="30">
        <f>SUM(Tabela132645[[#This Row],[out/24]:[dez/26]])</f>
        <v>14</v>
      </c>
      <c r="H35" s="8">
        <v>12</v>
      </c>
      <c r="I35" s="8">
        <v>0</v>
      </c>
      <c r="J35" s="8">
        <v>0</v>
      </c>
      <c r="K35" s="8">
        <v>0</v>
      </c>
      <c r="L35" s="8">
        <v>2</v>
      </c>
      <c r="M35" s="8">
        <v>0</v>
      </c>
      <c r="N35" s="53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</row>
    <row r="36" spans="1:34" hidden="1" x14ac:dyDescent="0.25">
      <c r="A36" s="1" t="s">
        <v>99</v>
      </c>
      <c r="C36" s="1" t="s">
        <v>71</v>
      </c>
      <c r="D36" s="22" t="s">
        <v>67</v>
      </c>
      <c r="E36" s="1" t="s">
        <v>26</v>
      </c>
      <c r="F36" s="32">
        <v>20</v>
      </c>
      <c r="G36" s="31">
        <f>SUM(Tabela132645[[#This Row],[out/24]:[dez/25]])</f>
        <v>20</v>
      </c>
      <c r="H36" s="8">
        <v>10</v>
      </c>
      <c r="I36" s="8">
        <v>10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1:34" hidden="1" x14ac:dyDescent="0.25">
      <c r="A37" s="1" t="s">
        <v>100</v>
      </c>
      <c r="C37" s="1" t="s">
        <v>71</v>
      </c>
      <c r="D37" s="22" t="s">
        <v>67</v>
      </c>
      <c r="E37" s="1" t="s">
        <v>26</v>
      </c>
      <c r="F37" s="32">
        <v>20</v>
      </c>
      <c r="G37" s="30">
        <f>SUM(Tabela132645[[#This Row],[out/24]:[dez/26]])</f>
        <v>20</v>
      </c>
      <c r="H37" s="8">
        <v>0</v>
      </c>
      <c r="I37" s="8">
        <v>12</v>
      </c>
      <c r="J37" s="8">
        <v>0</v>
      </c>
      <c r="K37" s="8">
        <v>0</v>
      </c>
      <c r="L37" s="8">
        <v>8</v>
      </c>
      <c r="M37" s="8">
        <v>0</v>
      </c>
      <c r="N37" s="53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</row>
    <row r="38" spans="1:34" x14ac:dyDescent="0.25">
      <c r="A38" s="1" t="s">
        <v>101</v>
      </c>
      <c r="B38" s="1" t="s">
        <v>102</v>
      </c>
      <c r="C38" s="12" t="s">
        <v>78</v>
      </c>
      <c r="D38" s="22" t="s">
        <v>67</v>
      </c>
      <c r="E38" s="1" t="s">
        <v>26</v>
      </c>
      <c r="F38" s="32">
        <v>5</v>
      </c>
      <c r="G38" s="30">
        <f>SUM(Tabela132645[[#This Row],[out/24]:[dez/26]])</f>
        <v>5</v>
      </c>
      <c r="H38" s="28"/>
      <c r="I38" s="28"/>
      <c r="J38" s="28"/>
      <c r="K38" s="8">
        <v>0</v>
      </c>
      <c r="L38" s="8">
        <v>5</v>
      </c>
      <c r="M38" s="8">
        <v>0</v>
      </c>
      <c r="N38" s="53">
        <v>0</v>
      </c>
      <c r="O38" s="8">
        <v>0</v>
      </c>
      <c r="P38" s="64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</row>
    <row r="39" spans="1:34" x14ac:dyDescent="0.25">
      <c r="A39" s="1" t="s">
        <v>61</v>
      </c>
      <c r="C39" s="1" t="s">
        <v>55</v>
      </c>
      <c r="D39" s="22" t="s">
        <v>56</v>
      </c>
      <c r="E39" s="1" t="s">
        <v>26</v>
      </c>
      <c r="F39" s="32">
        <v>236</v>
      </c>
      <c r="G39" s="30">
        <f>SUM(Tabela132645[[#This Row],[out/24]:[dez/26]])</f>
        <v>66.5</v>
      </c>
      <c r="H39" s="28"/>
      <c r="I39" s="8">
        <v>0</v>
      </c>
      <c r="J39" s="8">
        <v>0</v>
      </c>
      <c r="K39" s="8">
        <v>2.5</v>
      </c>
      <c r="L39" s="33">
        <v>8</v>
      </c>
      <c r="M39" s="33">
        <v>2</v>
      </c>
      <c r="N39" s="53">
        <v>0</v>
      </c>
      <c r="O39" s="33">
        <v>6</v>
      </c>
      <c r="P39" s="66">
        <v>8</v>
      </c>
      <c r="Q39" s="33">
        <v>8</v>
      </c>
      <c r="R39" s="33">
        <v>4</v>
      </c>
      <c r="S39" s="33">
        <v>8</v>
      </c>
      <c r="T39" s="33">
        <v>8</v>
      </c>
      <c r="U39" s="33">
        <v>8</v>
      </c>
      <c r="V39" s="35">
        <v>4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</row>
    <row r="40" spans="1:34" x14ac:dyDescent="0.25">
      <c r="A40" s="1" t="s">
        <v>103</v>
      </c>
      <c r="B40" s="1">
        <v>2026</v>
      </c>
      <c r="C40" s="1" t="s">
        <v>25</v>
      </c>
      <c r="D40" s="1">
        <v>2025</v>
      </c>
      <c r="E40" s="1" t="s">
        <v>26</v>
      </c>
      <c r="F40" s="32">
        <v>121</v>
      </c>
      <c r="G40" s="30">
        <f>SUM(Tabela132645[[#This Row],[out/24]:[dez/26]])</f>
        <v>110</v>
      </c>
      <c r="H40" s="28"/>
      <c r="I40" s="8">
        <v>0</v>
      </c>
      <c r="J40" s="8">
        <v>0</v>
      </c>
      <c r="K40" s="8">
        <v>0</v>
      </c>
      <c r="L40" s="33">
        <v>0</v>
      </c>
      <c r="M40" s="33">
        <v>0</v>
      </c>
      <c r="N40" s="53">
        <v>0</v>
      </c>
      <c r="O40" s="35">
        <v>0</v>
      </c>
      <c r="P40" s="67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5</v>
      </c>
      <c r="X40" s="35">
        <v>8</v>
      </c>
      <c r="Y40" s="35">
        <v>12</v>
      </c>
      <c r="Z40" s="7">
        <v>20</v>
      </c>
      <c r="AA40" s="7">
        <v>20</v>
      </c>
      <c r="AB40" s="7">
        <v>20</v>
      </c>
      <c r="AC40" s="7">
        <v>20</v>
      </c>
      <c r="AD40" s="35">
        <v>5</v>
      </c>
      <c r="AE40" s="8">
        <v>0</v>
      </c>
      <c r="AF40" s="8">
        <v>0</v>
      </c>
      <c r="AG40" s="8">
        <v>0</v>
      </c>
      <c r="AH40" s="8">
        <v>0</v>
      </c>
    </row>
    <row r="41" spans="1:34" x14ac:dyDescent="0.25">
      <c r="A41" s="1" t="s">
        <v>104</v>
      </c>
      <c r="B41" s="1">
        <v>2026</v>
      </c>
      <c r="C41" s="1" t="s">
        <v>25</v>
      </c>
      <c r="D41" s="1">
        <v>2025</v>
      </c>
      <c r="E41" s="1" t="s">
        <v>26</v>
      </c>
      <c r="F41" s="32">
        <v>154</v>
      </c>
      <c r="G41" s="30">
        <f>SUM(Tabela132645[[#This Row],[out/24]:[dez/26]])</f>
        <v>144</v>
      </c>
      <c r="H41" s="28"/>
      <c r="I41" s="8">
        <v>0</v>
      </c>
      <c r="J41" s="8">
        <v>0</v>
      </c>
      <c r="K41" s="8">
        <v>0</v>
      </c>
      <c r="L41" s="33">
        <v>0</v>
      </c>
      <c r="M41" s="33">
        <v>0</v>
      </c>
      <c r="N41" s="53">
        <v>0</v>
      </c>
      <c r="O41" s="35">
        <v>0</v>
      </c>
      <c r="P41" s="67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9</v>
      </c>
      <c r="X41" s="35">
        <v>15</v>
      </c>
      <c r="Y41" s="35">
        <v>20</v>
      </c>
      <c r="Z41" s="7">
        <v>20</v>
      </c>
      <c r="AA41" s="7">
        <v>20</v>
      </c>
      <c r="AB41" s="7">
        <v>20</v>
      </c>
      <c r="AC41" s="7">
        <v>20</v>
      </c>
      <c r="AD41" s="35">
        <v>20</v>
      </c>
      <c r="AE41" s="8">
        <v>0</v>
      </c>
      <c r="AF41" s="8">
        <v>0</v>
      </c>
      <c r="AG41" s="8">
        <v>0</v>
      </c>
      <c r="AH41" s="8">
        <v>0</v>
      </c>
    </row>
    <row r="42" spans="1:34" hidden="1" x14ac:dyDescent="0.25">
      <c r="A42" s="1" t="s">
        <v>24</v>
      </c>
      <c r="C42" s="1" t="s">
        <v>71</v>
      </c>
      <c r="D42" s="1">
        <v>2025</v>
      </c>
      <c r="E42" s="1" t="s">
        <v>26</v>
      </c>
      <c r="F42" s="32">
        <v>18</v>
      </c>
      <c r="G42" s="31">
        <f>SUM(Tabela132645[[#This Row],[out/24]:[dez/25]])</f>
        <v>18</v>
      </c>
      <c r="H42" s="28"/>
      <c r="I42" s="8">
        <v>0</v>
      </c>
      <c r="J42" s="8">
        <v>0</v>
      </c>
      <c r="K42" s="8">
        <v>0</v>
      </c>
      <c r="L42" s="33">
        <v>4</v>
      </c>
      <c r="M42" s="33">
        <v>0</v>
      </c>
      <c r="N42" s="35">
        <v>0</v>
      </c>
      <c r="O42" s="35">
        <v>2</v>
      </c>
      <c r="P42" s="35">
        <v>0</v>
      </c>
      <c r="Q42" s="35">
        <v>0</v>
      </c>
      <c r="R42" s="7">
        <v>4</v>
      </c>
      <c r="S42" s="7">
        <v>0</v>
      </c>
      <c r="T42" s="7">
        <v>4</v>
      </c>
      <c r="U42" s="7">
        <v>4</v>
      </c>
      <c r="V42" s="35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</row>
    <row r="43" spans="1:34" ht="30" hidden="1" x14ac:dyDescent="0.25">
      <c r="A43" s="1" t="s">
        <v>105</v>
      </c>
      <c r="B43" s="1" t="s">
        <v>106</v>
      </c>
      <c r="C43" s="1" t="s">
        <v>71</v>
      </c>
      <c r="D43" s="1">
        <v>2025</v>
      </c>
      <c r="E43" s="1" t="s">
        <v>26</v>
      </c>
      <c r="F43" s="32">
        <v>14</v>
      </c>
      <c r="G43" s="31">
        <f>SUM(Tabela132645[[#This Row],[out/24]:[dez/25]])</f>
        <v>14</v>
      </c>
      <c r="H43" s="28"/>
      <c r="I43" s="8">
        <v>0</v>
      </c>
      <c r="J43" s="8">
        <v>0</v>
      </c>
      <c r="K43" s="8">
        <v>0</v>
      </c>
      <c r="L43" s="33">
        <v>4</v>
      </c>
      <c r="M43" s="33">
        <v>0</v>
      </c>
      <c r="N43" s="35">
        <v>0</v>
      </c>
      <c r="O43" s="35">
        <v>2</v>
      </c>
      <c r="P43" s="35">
        <v>0</v>
      </c>
      <c r="Q43" s="35">
        <v>0</v>
      </c>
      <c r="R43" s="7">
        <v>4</v>
      </c>
      <c r="S43" s="7">
        <v>0</v>
      </c>
      <c r="T43" s="7">
        <v>4</v>
      </c>
      <c r="U43" s="7">
        <v>0</v>
      </c>
      <c r="V43" s="35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</row>
    <row r="44" spans="1:34" ht="30" hidden="1" x14ac:dyDescent="0.25">
      <c r="A44" s="1" t="s">
        <v>107</v>
      </c>
      <c r="B44" s="1" t="s">
        <v>106</v>
      </c>
      <c r="C44" s="1" t="s">
        <v>71</v>
      </c>
      <c r="D44" s="1">
        <v>2025</v>
      </c>
      <c r="E44" s="1" t="s">
        <v>26</v>
      </c>
      <c r="F44" s="32">
        <v>16</v>
      </c>
      <c r="G44" s="31">
        <f>SUM(Tabela132645[[#This Row],[out/24]:[dez/25]])</f>
        <v>16</v>
      </c>
      <c r="H44" s="28"/>
      <c r="I44" s="8">
        <v>0</v>
      </c>
      <c r="J44" s="8">
        <v>0</v>
      </c>
      <c r="K44" s="8">
        <v>0</v>
      </c>
      <c r="L44" s="33">
        <v>4</v>
      </c>
      <c r="M44" s="33">
        <v>0</v>
      </c>
      <c r="N44" s="35">
        <v>0</v>
      </c>
      <c r="O44" s="35">
        <v>4</v>
      </c>
      <c r="P44" s="35">
        <v>0</v>
      </c>
      <c r="Q44" s="35">
        <v>0</v>
      </c>
      <c r="R44" s="7">
        <v>4</v>
      </c>
      <c r="S44" s="7">
        <v>0</v>
      </c>
      <c r="T44" s="7">
        <v>4</v>
      </c>
      <c r="U44" s="7">
        <v>0</v>
      </c>
      <c r="V44" s="35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</row>
    <row r="45" spans="1:34" ht="30" hidden="1" x14ac:dyDescent="0.25">
      <c r="A45" s="1" t="s">
        <v>108</v>
      </c>
      <c r="B45" s="1" t="s">
        <v>106</v>
      </c>
      <c r="C45" s="1" t="s">
        <v>71</v>
      </c>
      <c r="D45" s="1">
        <v>2025</v>
      </c>
      <c r="E45" s="1" t="s">
        <v>26</v>
      </c>
      <c r="F45" s="32">
        <v>14</v>
      </c>
      <c r="G45" s="31">
        <f>SUM(Tabela132645[[#This Row],[out/24]:[dez/25]])</f>
        <v>14</v>
      </c>
      <c r="H45" s="28"/>
      <c r="I45" s="8">
        <v>0</v>
      </c>
      <c r="J45" s="8">
        <v>0</v>
      </c>
      <c r="K45" s="8">
        <v>0</v>
      </c>
      <c r="L45" s="33">
        <v>4</v>
      </c>
      <c r="M45" s="33">
        <v>0</v>
      </c>
      <c r="N45" s="35">
        <v>0</v>
      </c>
      <c r="O45" s="35">
        <v>2</v>
      </c>
      <c r="P45" s="35">
        <v>0</v>
      </c>
      <c r="Q45" s="35">
        <v>0</v>
      </c>
      <c r="R45" s="7">
        <v>4</v>
      </c>
      <c r="S45" s="7">
        <v>0</v>
      </c>
      <c r="T45" s="7">
        <v>4</v>
      </c>
      <c r="U45" s="7">
        <v>0</v>
      </c>
      <c r="V45" s="35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</row>
    <row r="46" spans="1:34" ht="30" hidden="1" x14ac:dyDescent="0.25">
      <c r="A46" s="1" t="s">
        <v>109</v>
      </c>
      <c r="B46" s="1" t="s">
        <v>106</v>
      </c>
      <c r="C46" s="1" t="s">
        <v>71</v>
      </c>
      <c r="D46" s="1">
        <v>2025</v>
      </c>
      <c r="E46" s="1" t="s">
        <v>26</v>
      </c>
      <c r="F46" s="32">
        <v>14</v>
      </c>
      <c r="G46" s="31">
        <f>SUM(Tabela132645[[#This Row],[out/24]:[dez/25]])</f>
        <v>14</v>
      </c>
      <c r="H46" s="28"/>
      <c r="I46" s="8">
        <v>0</v>
      </c>
      <c r="J46" s="8">
        <v>0</v>
      </c>
      <c r="K46" s="8">
        <v>0</v>
      </c>
      <c r="L46" s="33">
        <v>4</v>
      </c>
      <c r="M46" s="33">
        <v>0</v>
      </c>
      <c r="N46" s="35">
        <v>0</v>
      </c>
      <c r="O46" s="35">
        <v>2</v>
      </c>
      <c r="P46" s="35">
        <v>0</v>
      </c>
      <c r="Q46" s="35">
        <v>0</v>
      </c>
      <c r="R46" s="7">
        <v>4</v>
      </c>
      <c r="S46" s="7">
        <v>0</v>
      </c>
      <c r="T46" s="7">
        <v>4</v>
      </c>
      <c r="U46" s="7">
        <v>0</v>
      </c>
      <c r="V46" s="35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</row>
    <row r="47" spans="1:34" x14ac:dyDescent="0.25">
      <c r="A47" s="1" t="s">
        <v>110</v>
      </c>
      <c r="C47" s="12" t="s">
        <v>78</v>
      </c>
      <c r="D47" s="22" t="s">
        <v>67</v>
      </c>
      <c r="E47" s="1" t="s">
        <v>26</v>
      </c>
      <c r="F47" s="31">
        <v>40</v>
      </c>
      <c r="G47" s="30">
        <f>SUM(Tabela132645[[#This Row],[out/24]:[dez/26]])</f>
        <v>74.5</v>
      </c>
      <c r="H47" s="28"/>
      <c r="I47" s="8">
        <v>20</v>
      </c>
      <c r="J47" s="8">
        <v>20</v>
      </c>
      <c r="K47" s="8">
        <v>13.5</v>
      </c>
      <c r="L47" s="33">
        <v>0</v>
      </c>
      <c r="M47" s="33">
        <v>0</v>
      </c>
      <c r="N47" s="55">
        <v>6</v>
      </c>
      <c r="O47" s="33">
        <v>0</v>
      </c>
      <c r="P47" s="66">
        <v>0</v>
      </c>
      <c r="Q47" s="33">
        <v>0</v>
      </c>
      <c r="R47" s="33">
        <v>0</v>
      </c>
      <c r="S47" s="33">
        <v>10</v>
      </c>
      <c r="T47" s="33">
        <v>5</v>
      </c>
      <c r="U47" s="33">
        <v>0</v>
      </c>
      <c r="V47" s="33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</row>
    <row r="48" spans="1:34" x14ac:dyDescent="0.25">
      <c r="A48" s="1" t="s">
        <v>111</v>
      </c>
      <c r="C48" s="12" t="s">
        <v>78</v>
      </c>
      <c r="D48" s="22" t="s">
        <v>67</v>
      </c>
      <c r="E48" s="1" t="s">
        <v>26</v>
      </c>
      <c r="F48" s="32">
        <v>15</v>
      </c>
      <c r="G48" s="30">
        <f>SUM(Tabela132645[[#This Row],[out/24]:[dez/26]])</f>
        <v>40.700000000000003</v>
      </c>
      <c r="H48" s="28"/>
      <c r="I48" s="8">
        <v>0</v>
      </c>
      <c r="J48" s="8">
        <v>15</v>
      </c>
      <c r="K48" s="8">
        <v>10.7</v>
      </c>
      <c r="L48" s="33">
        <v>0</v>
      </c>
      <c r="M48" s="33">
        <v>0</v>
      </c>
      <c r="N48" s="55">
        <v>0</v>
      </c>
      <c r="O48" s="33">
        <v>0</v>
      </c>
      <c r="P48" s="66">
        <v>0</v>
      </c>
      <c r="Q48" s="33">
        <v>0</v>
      </c>
      <c r="R48" s="33">
        <v>0</v>
      </c>
      <c r="S48" s="33">
        <v>10</v>
      </c>
      <c r="T48" s="33">
        <v>5</v>
      </c>
      <c r="U48" s="33">
        <v>0</v>
      </c>
      <c r="V48" s="33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</row>
    <row r="49" spans="1:34" x14ac:dyDescent="0.25">
      <c r="A49" s="1" t="s">
        <v>112</v>
      </c>
      <c r="B49" s="58" t="s">
        <v>85</v>
      </c>
      <c r="C49" s="12" t="s">
        <v>78</v>
      </c>
      <c r="D49" s="22" t="s">
        <v>56</v>
      </c>
      <c r="E49" s="1" t="s">
        <v>26</v>
      </c>
      <c r="F49" s="32">
        <v>10</v>
      </c>
      <c r="G49" s="30">
        <f>SUM(Tabela132645[[#This Row],[out/24]:[dez/26]])</f>
        <v>7.5</v>
      </c>
      <c r="H49" s="28"/>
      <c r="I49" s="28"/>
      <c r="J49" s="28"/>
      <c r="K49" s="8">
        <v>3.5</v>
      </c>
      <c r="L49" s="8">
        <v>4</v>
      </c>
      <c r="M49" s="33">
        <v>0</v>
      </c>
      <c r="N49" s="55">
        <v>0</v>
      </c>
      <c r="O49" s="33">
        <v>0</v>
      </c>
      <c r="P49" s="66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</row>
    <row r="50" spans="1:34" hidden="1" x14ac:dyDescent="0.25">
      <c r="A50" s="1" t="s">
        <v>113</v>
      </c>
      <c r="C50" s="1" t="s">
        <v>71</v>
      </c>
      <c r="D50" s="22" t="s">
        <v>56</v>
      </c>
      <c r="E50" s="1" t="s">
        <v>26</v>
      </c>
      <c r="F50" s="32">
        <v>8</v>
      </c>
      <c r="G50" s="30">
        <f>SUM(Tabela132645[[#This Row],[out/24]:[dez/26]])</f>
        <v>8</v>
      </c>
      <c r="H50" s="28"/>
      <c r="I50" s="28"/>
      <c r="J50" s="28"/>
      <c r="K50" s="8">
        <v>0</v>
      </c>
      <c r="L50" s="8">
        <v>8</v>
      </c>
      <c r="M50" s="8">
        <v>0</v>
      </c>
      <c r="N50" s="53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</row>
    <row r="51" spans="1:34" x14ac:dyDescent="0.25">
      <c r="A51" s="59" t="s">
        <v>62</v>
      </c>
      <c r="C51" s="1" t="s">
        <v>55</v>
      </c>
      <c r="D51" s="22" t="s">
        <v>56</v>
      </c>
      <c r="E51" s="1" t="s">
        <v>26</v>
      </c>
      <c r="F51" s="32">
        <v>40</v>
      </c>
      <c r="G51" s="30">
        <f ca="1">SUM(Tabela132645[[#This Row],[out/24]:[dez/26]])</f>
        <v>102</v>
      </c>
      <c r="H51" s="31">
        <f ca="1">SUM(Tabela132645[[#This Row],[out/24]:[dez/25]])</f>
        <v>30</v>
      </c>
      <c r="I51" s="31">
        <f ca="1">SUM(Tabela132645[[#This Row],[out/24]:[dez/25]])</f>
        <v>30</v>
      </c>
      <c r="J51" s="31">
        <f ca="1">SUM(Tabela132645[[#This Row],[out/24]:[dez/25]])</f>
        <v>30</v>
      </c>
      <c r="K51" s="8">
        <v>0</v>
      </c>
      <c r="L51" s="8">
        <v>32</v>
      </c>
      <c r="M51" s="8">
        <v>54</v>
      </c>
      <c r="N51" s="53">
        <v>47.5</v>
      </c>
      <c r="O51" s="8">
        <v>18.5</v>
      </c>
      <c r="P51" s="64">
        <v>22</v>
      </c>
      <c r="Q51" s="8">
        <v>20</v>
      </c>
      <c r="R51" s="8">
        <v>20</v>
      </c>
      <c r="S51" s="8">
        <v>22</v>
      </c>
      <c r="T51" s="8">
        <v>40</v>
      </c>
      <c r="U51" s="8">
        <v>33</v>
      </c>
      <c r="V51" s="8">
        <v>7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</row>
    <row r="52" spans="1:34" x14ac:dyDescent="0.25">
      <c r="A52" s="1" t="s">
        <v>114</v>
      </c>
      <c r="C52" s="1" t="s">
        <v>55</v>
      </c>
      <c r="D52" s="22" t="s">
        <v>56</v>
      </c>
      <c r="E52" s="1" t="s">
        <v>26</v>
      </c>
      <c r="F52" s="32">
        <v>76</v>
      </c>
      <c r="G52" s="30">
        <f>SUM(Tabela132645[[#This Row],[out/24]:[dez/26]])</f>
        <v>33</v>
      </c>
      <c r="H52" s="28"/>
      <c r="I52" s="28"/>
      <c r="J52" s="28"/>
      <c r="K52" s="8">
        <v>0</v>
      </c>
      <c r="L52" s="8">
        <v>4</v>
      </c>
      <c r="M52" s="8">
        <v>0</v>
      </c>
      <c r="N52" s="53">
        <v>0</v>
      </c>
      <c r="O52" s="8">
        <v>1</v>
      </c>
      <c r="P52" s="64">
        <v>4</v>
      </c>
      <c r="Q52" s="8">
        <v>4</v>
      </c>
      <c r="R52" s="8">
        <v>4</v>
      </c>
      <c r="S52" s="8">
        <v>4</v>
      </c>
      <c r="T52" s="8">
        <v>4</v>
      </c>
      <c r="U52" s="8">
        <v>4</v>
      </c>
      <c r="V52" s="8">
        <v>4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</row>
    <row r="53" spans="1:34" hidden="1" x14ac:dyDescent="0.25">
      <c r="A53" s="9" t="s">
        <v>115</v>
      </c>
      <c r="C53" s="1" t="s">
        <v>71</v>
      </c>
      <c r="D53" s="22" t="s">
        <v>56</v>
      </c>
      <c r="E53" s="1" t="s">
        <v>26</v>
      </c>
      <c r="F53" s="31">
        <v>2</v>
      </c>
      <c r="G53" s="30">
        <f>SUM(Tabela132645[[#This Row],[out/24]:[dez/26]])</f>
        <v>34</v>
      </c>
      <c r="H53" s="8"/>
      <c r="I53" s="8"/>
      <c r="J53" s="8"/>
      <c r="K53" s="8">
        <v>2</v>
      </c>
      <c r="L53" s="8">
        <v>0</v>
      </c>
      <c r="M53" s="8">
        <v>0</v>
      </c>
      <c r="N53" s="53">
        <v>0</v>
      </c>
      <c r="O53" s="8">
        <v>4</v>
      </c>
      <c r="P53" s="8">
        <v>4</v>
      </c>
      <c r="Q53" s="8">
        <v>4</v>
      </c>
      <c r="R53" s="8">
        <v>4</v>
      </c>
      <c r="S53" s="8">
        <v>4</v>
      </c>
      <c r="T53" s="8">
        <v>4</v>
      </c>
      <c r="U53" s="8">
        <v>4</v>
      </c>
      <c r="V53" s="8">
        <v>4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</row>
    <row r="54" spans="1:34" hidden="1" x14ac:dyDescent="0.25">
      <c r="A54" s="1" t="s">
        <v>60</v>
      </c>
      <c r="C54" s="1" t="s">
        <v>71</v>
      </c>
      <c r="D54" s="22" t="s">
        <v>56</v>
      </c>
      <c r="E54" s="1" t="s">
        <v>26</v>
      </c>
      <c r="F54" s="31">
        <v>22</v>
      </c>
      <c r="G54" s="30">
        <f>SUM(Tabela132645[[#This Row],[out/24]:[dez/26]])</f>
        <v>22</v>
      </c>
      <c r="H54" s="28"/>
      <c r="I54" s="28"/>
      <c r="J54" s="28"/>
      <c r="K54" s="8">
        <v>22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</row>
    <row r="55" spans="1:34" x14ac:dyDescent="0.25">
      <c r="A55" s="1" t="s">
        <v>116</v>
      </c>
      <c r="C55" s="1" t="s">
        <v>55</v>
      </c>
      <c r="D55" s="22" t="s">
        <v>56</v>
      </c>
      <c r="E55" s="1" t="s">
        <v>26</v>
      </c>
      <c r="F55" s="31">
        <v>7</v>
      </c>
      <c r="G55" s="30">
        <f>SUM(Tabela132645[[#This Row],[out/24]:[dez/26]])</f>
        <v>3</v>
      </c>
      <c r="H55" s="28"/>
      <c r="I55" s="28"/>
      <c r="J55" s="28"/>
      <c r="K55" s="8"/>
      <c r="L55" s="8">
        <v>0</v>
      </c>
      <c r="M55" s="8">
        <v>0</v>
      </c>
      <c r="N55" s="53">
        <v>0</v>
      </c>
      <c r="O55" s="8">
        <v>1</v>
      </c>
      <c r="P55" s="64">
        <v>2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</row>
    <row r="56" spans="1:34" x14ac:dyDescent="0.25">
      <c r="A56" s="1" t="s">
        <v>117</v>
      </c>
      <c r="C56" s="1" t="s">
        <v>55</v>
      </c>
      <c r="D56" s="22" t="s">
        <v>56</v>
      </c>
      <c r="E56" s="1" t="s">
        <v>26</v>
      </c>
      <c r="F56" s="31">
        <v>1</v>
      </c>
      <c r="G56" s="30">
        <f>SUM(Tabela132645[[#This Row],[out/24]:[dez/26]])</f>
        <v>10</v>
      </c>
      <c r="H56" s="28"/>
      <c r="I56" s="28"/>
      <c r="J56" s="28"/>
      <c r="K56" s="8"/>
      <c r="L56" s="28"/>
      <c r="M56" s="28">
        <v>1</v>
      </c>
      <c r="N56" s="53">
        <v>0</v>
      </c>
      <c r="O56" s="40">
        <v>1</v>
      </c>
      <c r="P56" s="65">
        <v>8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</row>
    <row r="57" spans="1:34" x14ac:dyDescent="0.25">
      <c r="A57" s="1" t="s">
        <v>118</v>
      </c>
      <c r="C57" s="1" t="s">
        <v>55</v>
      </c>
      <c r="D57" s="22" t="s">
        <v>56</v>
      </c>
      <c r="E57" s="1" t="s">
        <v>26</v>
      </c>
      <c r="F57" s="31">
        <v>34</v>
      </c>
      <c r="G57" s="30">
        <f>SUM(Tabela132645[[#This Row],[out/24]:[dez/26]])</f>
        <v>26</v>
      </c>
      <c r="H57" s="28"/>
      <c r="I57" s="28"/>
      <c r="J57" s="28"/>
      <c r="K57" s="8"/>
      <c r="L57" s="28"/>
      <c r="M57" s="28"/>
      <c r="N57" s="53">
        <v>0</v>
      </c>
      <c r="O57" s="40">
        <v>0</v>
      </c>
      <c r="P57" s="65">
        <v>4</v>
      </c>
      <c r="Q57" s="40">
        <v>4</v>
      </c>
      <c r="R57" s="40">
        <v>4</v>
      </c>
      <c r="S57" s="40">
        <v>4</v>
      </c>
      <c r="T57" s="40">
        <v>4</v>
      </c>
      <c r="U57" s="40">
        <v>4</v>
      </c>
      <c r="V57" s="40">
        <v>2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</row>
    <row r="58" spans="1:34" x14ac:dyDescent="0.25">
      <c r="A58" s="1" t="s">
        <v>119</v>
      </c>
      <c r="B58" s="1" t="s">
        <v>120</v>
      </c>
      <c r="C58" s="1" t="s">
        <v>55</v>
      </c>
      <c r="D58" s="22" t="s">
        <v>56</v>
      </c>
      <c r="E58" s="1" t="s">
        <v>26</v>
      </c>
      <c r="F58" s="31">
        <v>24</v>
      </c>
      <c r="G58" s="30">
        <f>SUM(Tabela132645[[#This Row],[out/24]:[dez/26]])</f>
        <v>36</v>
      </c>
      <c r="H58" s="28"/>
      <c r="I58" s="28"/>
      <c r="J58" s="28"/>
      <c r="K58" s="8"/>
      <c r="L58" s="28"/>
      <c r="M58" s="28"/>
      <c r="N58" s="54">
        <v>6</v>
      </c>
      <c r="O58" s="40">
        <v>12</v>
      </c>
      <c r="P58" s="65">
        <v>10</v>
      </c>
      <c r="Q58" s="40">
        <v>4</v>
      </c>
      <c r="R58" s="40">
        <v>4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0">
        <v>0</v>
      </c>
      <c r="AE58" s="40">
        <v>0</v>
      </c>
      <c r="AF58" s="40">
        <v>0</v>
      </c>
      <c r="AG58" s="40">
        <v>0</v>
      </c>
      <c r="AH58" s="40">
        <v>0</v>
      </c>
    </row>
    <row r="59" spans="1:34" x14ac:dyDescent="0.25">
      <c r="A59" s="59" t="s">
        <v>121</v>
      </c>
      <c r="B59" s="1" t="s">
        <v>73</v>
      </c>
      <c r="C59" s="1" t="s">
        <v>55</v>
      </c>
      <c r="D59" s="22" t="s">
        <v>56</v>
      </c>
      <c r="E59" s="1" t="s">
        <v>26</v>
      </c>
      <c r="F59" s="31">
        <v>91</v>
      </c>
      <c r="G59" s="30">
        <f>SUM(Tabela132645[[#This Row],[out/24]:[dez/26]])</f>
        <v>116.5</v>
      </c>
      <c r="H59" s="28"/>
      <c r="I59" s="28"/>
      <c r="J59" s="28"/>
      <c r="K59" s="8"/>
      <c r="L59" s="28"/>
      <c r="M59" s="28"/>
      <c r="N59" s="56"/>
      <c r="O59" s="40">
        <v>40.5</v>
      </c>
      <c r="P59" s="65">
        <v>20</v>
      </c>
      <c r="Q59" s="40">
        <v>20</v>
      </c>
      <c r="R59" s="40">
        <v>20</v>
      </c>
      <c r="S59" s="7">
        <v>4</v>
      </c>
      <c r="T59" s="7">
        <v>4</v>
      </c>
      <c r="U59" s="7">
        <v>4</v>
      </c>
      <c r="V59" s="7">
        <v>4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</row>
    <row r="60" spans="1:34" x14ac:dyDescent="0.25">
      <c r="A60" s="1" t="s">
        <v>122</v>
      </c>
      <c r="C60" s="1" t="s">
        <v>123</v>
      </c>
      <c r="D60" s="22" t="s">
        <v>56</v>
      </c>
      <c r="E60" s="1" t="s">
        <v>26</v>
      </c>
      <c r="G60" s="30">
        <f>SUM(Tabela132645[[#This Row],[out/24]:[dez/26]])</f>
        <v>7</v>
      </c>
      <c r="H60" s="28"/>
      <c r="I60" s="28"/>
      <c r="J60" s="28"/>
      <c r="K60" s="8"/>
      <c r="L60" s="28"/>
      <c r="M60" s="28"/>
      <c r="N60" s="56"/>
      <c r="O60" s="29"/>
      <c r="P60" s="65">
        <v>7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</row>
    <row r="61" spans="1:34" x14ac:dyDescent="0.25">
      <c r="D61" s="22"/>
      <c r="G61" s="3"/>
      <c r="H61" s="28"/>
      <c r="I61" s="28"/>
      <c r="J61" s="28"/>
      <c r="K61" s="8"/>
      <c r="L61" s="28"/>
      <c r="M61" s="28"/>
      <c r="N61" s="29"/>
      <c r="O61" s="29"/>
      <c r="P61" s="29"/>
      <c r="Q61" s="29"/>
      <c r="R61" s="7"/>
      <c r="S61" s="7"/>
      <c r="T61" s="7"/>
      <c r="U61" s="7"/>
      <c r="V61" s="29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 spans="1:34" x14ac:dyDescent="0.25">
      <c r="G62" s="3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</sheetData>
  <phoneticPr fontId="18" type="noConversion"/>
  <conditionalFormatting sqref="A29:A30">
    <cfRule type="expression" dxfId="27" priority="69">
      <formula>IF(#REF!="Esforço total atribuído",1)</formula>
    </cfRule>
    <cfRule type="expression" dxfId="26" priority="70">
      <formula>IF(#REF!="Disponibilidade restante",1)</formula>
    </cfRule>
    <cfRule type="expression" dxfId="25" priority="71">
      <formula>IF(#REF!="Disponibil.total",1)</formula>
    </cfRule>
    <cfRule type="expression" dxfId="24" priority="72">
      <formula>IF($A29=1,1)</formula>
    </cfRule>
  </conditionalFormatting>
  <conditionalFormatting sqref="A57 A59:A61">
    <cfRule type="expression" dxfId="23" priority="77">
      <formula>IF(#REF!="Esforço total atribuído",1)</formula>
    </cfRule>
    <cfRule type="expression" dxfId="22" priority="78">
      <formula>IF(#REF!="Disponibilidade restante",1)</formula>
    </cfRule>
    <cfRule type="expression" dxfId="21" priority="79">
      <formula>IF(#REF!="Disponibil.total",1)</formula>
    </cfRule>
    <cfRule type="expression" dxfId="20" priority="80">
      <formula>IF($A57=1,1)</formula>
    </cfRule>
  </conditionalFormatting>
  <conditionalFormatting sqref="G2:G3 H51:J51">
    <cfRule type="expression" dxfId="19" priority="29">
      <formula>IF(#REF!="Esforço total atribuído",1)</formula>
    </cfRule>
    <cfRule type="expression" dxfId="18" priority="30">
      <formula>IF(#REF!="Disponibilidade restante",1)</formula>
    </cfRule>
    <cfRule type="expression" dxfId="17" priority="31">
      <formula>IF(#REF!="Disponibil.total",1)</formula>
    </cfRule>
    <cfRule type="expression" dxfId="16" priority="32">
      <formula>IF($A2=1,1)</formula>
    </cfRule>
  </conditionalFormatting>
  <conditionalFormatting sqref="G5:G61 F7:F59 A52:A54">
    <cfRule type="expression" dxfId="15" priority="9">
      <formula>IF(#REF!="Esforço total atribuído",1)</formula>
    </cfRule>
    <cfRule type="expression" dxfId="14" priority="10">
      <formula>IF(#REF!="Disponibilidade restante",1)</formula>
    </cfRule>
    <cfRule type="expression" dxfId="13" priority="11">
      <formula>IF(#REF!="Disponibil.total",1)</formula>
    </cfRule>
    <cfRule type="expression" dxfId="12" priority="12">
      <formula>IF($A5=1,1)</formula>
    </cfRule>
  </conditionalFormatting>
  <conditionalFormatting sqref="H3:N3 A17:B22 H27:J27 H29:H30">
    <cfRule type="expression" dxfId="11" priority="65">
      <formula>IF($A3="Esforço total atribuído",1)</formula>
    </cfRule>
    <cfRule type="expression" dxfId="10" priority="66">
      <formula>IF($A3="Disponibilidade restante",1)</formula>
    </cfRule>
    <cfRule type="expression" dxfId="9" priority="67">
      <formula>IF($A3="Disponibil.total",1)</formula>
    </cfRule>
    <cfRule type="expression" dxfId="8" priority="68">
      <formula>IF($B3=1,1)</formula>
    </cfRule>
  </conditionalFormatting>
  <conditionalFormatting sqref="R3:V3">
    <cfRule type="expression" dxfId="7" priority="33">
      <formula>IF($A3="Esforço total atribuído",1)</formula>
    </cfRule>
    <cfRule type="expression" dxfId="6" priority="34">
      <formula>IF($A3="Disponibilidade restante",1)</formula>
    </cfRule>
    <cfRule type="expression" dxfId="5" priority="35">
      <formula>IF($A3="Disponibil.total",1)</formula>
    </cfRule>
    <cfRule type="expression" dxfId="4" priority="36">
      <formula>IF($B3=1,1)</formula>
    </cfRule>
  </conditionalFormatting>
  <conditionalFormatting sqref="W3:AH3">
    <cfRule type="expression" dxfId="3" priority="1">
      <formula>IF($A3="Esforço total atribuído",1)</formula>
    </cfRule>
    <cfRule type="expression" dxfId="2" priority="2">
      <formula>IF($A3="Disponibilidade restante",1)</formula>
    </cfRule>
    <cfRule type="expression" dxfId="1" priority="3">
      <formula>IF($A3="Disponibil.total",1)</formula>
    </cfRule>
    <cfRule type="expression" dxfId="0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42:G46 G16 G7:G9 G18:G20 G23:G26 G28 G30:G34 G36" calculatedColumn="1"/>
    <ignoredError sqref="D39" numberStoredAsText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2D5E-2FA4-45EC-8C0C-32F080DC5182}">
  <dimension ref="A1:W10"/>
  <sheetViews>
    <sheetView workbookViewId="0">
      <selection activeCell="H37" sqref="H37"/>
    </sheetView>
  </sheetViews>
  <sheetFormatPr defaultRowHeight="15" x14ac:dyDescent="0.25"/>
  <cols>
    <col min="1" max="1" width="12.85546875" customWidth="1"/>
  </cols>
  <sheetData>
    <row r="1" spans="1:23" x14ac:dyDescent="0.25">
      <c r="B1" s="43" t="s">
        <v>124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66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 x14ac:dyDescent="0.25">
      <c r="A2" t="s">
        <v>125</v>
      </c>
    </row>
    <row r="3" spans="1:23" x14ac:dyDescent="0.25">
      <c r="A3" t="s">
        <v>19</v>
      </c>
      <c r="B3" s="34">
        <f>'Ricardo Kroeger'!M2</f>
        <v>56</v>
      </c>
      <c r="C3" s="34">
        <f>'Ricardo Kroeger'!N2</f>
        <v>-5</v>
      </c>
      <c r="D3" s="34">
        <f>'Ricardo Kroeger'!O2</f>
        <v>-32.400000000000006</v>
      </c>
      <c r="E3" s="34">
        <f>'Ricardo Kroeger'!P2</f>
        <v>-17</v>
      </c>
      <c r="F3" s="34">
        <f>'Ricardo Kroeger'!Q2</f>
        <v>-7</v>
      </c>
      <c r="G3" s="34">
        <f>'Ricardo Kroeger'!R2</f>
        <v>-16</v>
      </c>
      <c r="H3" s="34">
        <f>'Ricardo Kroeger'!S2</f>
        <v>14</v>
      </c>
      <c r="I3" s="34">
        <f>'Ricardo Kroeger'!T2</f>
        <v>-4</v>
      </c>
      <c r="J3" s="34">
        <f>'Ricardo Kroeger'!U2</f>
        <v>2</v>
      </c>
      <c r="K3" s="34">
        <f>'Ricardo Kroeger'!V2</f>
        <v>12</v>
      </c>
      <c r="L3" s="34">
        <f>'Ricardo Kroeger'!W2</f>
        <v>42</v>
      </c>
      <c r="M3" s="34">
        <f>'Ricardo Kroeger'!X2</f>
        <v>49</v>
      </c>
      <c r="N3" s="34">
        <f>'Ricardo Kroeger'!Y2</f>
        <v>48</v>
      </c>
      <c r="O3" s="34">
        <f>'Ricardo Kroeger'!Z2</f>
        <v>32</v>
      </c>
      <c r="P3" s="34">
        <f>'Ricardo Kroeger'!AA2</f>
        <v>40</v>
      </c>
      <c r="Q3" s="34">
        <f>'Ricardo Kroeger'!AB2</f>
        <v>32</v>
      </c>
      <c r="R3" s="34">
        <f>'Ricardo Kroeger'!AC2</f>
        <v>48</v>
      </c>
      <c r="S3" s="34">
        <f>'Ricardo Kroeger'!AD2</f>
        <v>55</v>
      </c>
      <c r="T3" s="34">
        <f>'Ricardo Kroeger'!AE2</f>
        <v>88</v>
      </c>
      <c r="U3" s="34">
        <f>'Ricardo Kroeger'!AF2</f>
        <v>96</v>
      </c>
      <c r="V3" s="34">
        <f>'Ricardo Kroeger'!AG2</f>
        <v>72</v>
      </c>
      <c r="W3" s="34">
        <f>'Ricardo Kroeger'!AH2</f>
        <v>40</v>
      </c>
    </row>
    <row r="4" spans="1:23" x14ac:dyDescent="0.25">
      <c r="A4" t="s">
        <v>126</v>
      </c>
      <c r="B4" s="34">
        <f>'Ricardo Kroeger'!M3</f>
        <v>168</v>
      </c>
      <c r="C4" s="34">
        <f>'Ricardo Kroeger'!N3</f>
        <v>160</v>
      </c>
      <c r="D4" s="34">
        <f>'Ricardo Kroeger'!O3</f>
        <v>168</v>
      </c>
      <c r="E4" s="34">
        <f>'Ricardo Kroeger'!P3</f>
        <v>160</v>
      </c>
      <c r="F4" s="34">
        <f>'Ricardo Kroeger'!Q3</f>
        <v>176</v>
      </c>
      <c r="G4" s="34">
        <f>'Ricardo Kroeger'!R3</f>
        <v>168</v>
      </c>
      <c r="H4" s="34">
        <f>'Ricardo Kroeger'!S3</f>
        <v>176</v>
      </c>
      <c r="I4" s="34">
        <f>'Ricardo Kroeger'!T3</f>
        <v>184</v>
      </c>
      <c r="J4" s="34">
        <f>'Ricardo Kroeger'!U3</f>
        <v>160</v>
      </c>
      <c r="K4" s="34">
        <f>'Ricardo Kroeger'!V3</f>
        <v>128</v>
      </c>
      <c r="L4" s="34">
        <f>'Ricardo Kroeger'!W3</f>
        <v>144</v>
      </c>
      <c r="M4" s="34">
        <f>'Ricardo Kroeger'!X3</f>
        <v>160</v>
      </c>
      <c r="N4" s="34">
        <f>'Ricardo Kroeger'!Y3</f>
        <v>168</v>
      </c>
      <c r="O4" s="34">
        <f>'Ricardo Kroeger'!Z3</f>
        <v>160</v>
      </c>
      <c r="P4" s="34">
        <f>'Ricardo Kroeger'!AA3</f>
        <v>168</v>
      </c>
      <c r="Q4" s="34">
        <f>'Ricardo Kroeger'!AB3</f>
        <v>160</v>
      </c>
      <c r="R4" s="34">
        <f>'Ricardo Kroeger'!AC3</f>
        <v>176</v>
      </c>
      <c r="S4" s="34">
        <f>'Ricardo Kroeger'!AD3</f>
        <v>168</v>
      </c>
      <c r="T4" s="34">
        <f>'Ricardo Kroeger'!AE3</f>
        <v>176</v>
      </c>
      <c r="U4" s="34">
        <f>'Ricardo Kroeger'!AF3</f>
        <v>184</v>
      </c>
      <c r="V4" s="34">
        <f>'Ricardo Kroeger'!AG3</f>
        <v>160</v>
      </c>
      <c r="W4" s="34">
        <f>'Ricardo Kroeger'!AH3</f>
        <v>128</v>
      </c>
    </row>
    <row r="5" spans="1:23" x14ac:dyDescent="0.25">
      <c r="A5" t="s">
        <v>127</v>
      </c>
      <c r="B5" s="34">
        <f>'Ricardo Kroeger'!M4</f>
        <v>112</v>
      </c>
      <c r="C5" s="34">
        <f>'Ricardo Kroeger'!N4</f>
        <v>165</v>
      </c>
      <c r="D5" s="34">
        <f>'Ricardo Kroeger'!O4</f>
        <v>200.4</v>
      </c>
      <c r="E5" s="34">
        <f>'Ricardo Kroeger'!P4</f>
        <v>177</v>
      </c>
      <c r="F5" s="34">
        <f>'Ricardo Kroeger'!Q4</f>
        <v>183</v>
      </c>
      <c r="G5" s="34">
        <f>'Ricardo Kroeger'!R4</f>
        <v>184</v>
      </c>
      <c r="H5" s="34">
        <f>'Ricardo Kroeger'!S4</f>
        <v>162</v>
      </c>
      <c r="I5" s="34">
        <f>'Ricardo Kroeger'!T4</f>
        <v>188</v>
      </c>
      <c r="J5" s="34">
        <f>'Ricardo Kroeger'!U4</f>
        <v>158</v>
      </c>
      <c r="K5" s="34">
        <f>'Ricardo Kroeger'!V4</f>
        <v>116</v>
      </c>
      <c r="L5" s="34">
        <f>'Ricardo Kroeger'!W4</f>
        <v>102</v>
      </c>
      <c r="M5" s="34">
        <f>'Ricardo Kroeger'!X4</f>
        <v>111</v>
      </c>
      <c r="N5" s="34">
        <f>'Ricardo Kroeger'!Y4</f>
        <v>120</v>
      </c>
      <c r="O5" s="34">
        <f>'Ricardo Kroeger'!Z4</f>
        <v>128</v>
      </c>
      <c r="P5" s="34">
        <f>'Ricardo Kroeger'!AA4</f>
        <v>128</v>
      </c>
      <c r="Q5" s="34">
        <f>'Ricardo Kroeger'!AB4</f>
        <v>128</v>
      </c>
      <c r="R5" s="34">
        <f>'Ricardo Kroeger'!AC4</f>
        <v>128</v>
      </c>
      <c r="S5" s="34">
        <f>'Ricardo Kroeger'!AD4</f>
        <v>113</v>
      </c>
      <c r="T5" s="34">
        <f>'Ricardo Kroeger'!AE4</f>
        <v>88</v>
      </c>
      <c r="U5" s="34">
        <f>'Ricardo Kroeger'!AF4</f>
        <v>88</v>
      </c>
      <c r="V5" s="34">
        <f>'Ricardo Kroeger'!AG4</f>
        <v>88</v>
      </c>
      <c r="W5" s="34">
        <f>'Ricardo Kroeger'!AH4</f>
        <v>88</v>
      </c>
    </row>
    <row r="6" spans="1:23" x14ac:dyDescent="0.25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 x14ac:dyDescent="0.25">
      <c r="A7" t="s">
        <v>128</v>
      </c>
    </row>
    <row r="8" spans="1:23" x14ac:dyDescent="0.25">
      <c r="A8" t="s">
        <v>19</v>
      </c>
      <c r="B8" s="34">
        <f>'João Vitor'!J2</f>
        <v>0</v>
      </c>
      <c r="C8" s="34">
        <f>'João Vitor'!K2</f>
        <v>-0.30000000000001137</v>
      </c>
      <c r="D8" s="34">
        <f>'João Vitor'!L2</f>
        <v>0</v>
      </c>
      <c r="E8" s="34">
        <f>'João Vitor'!M2</f>
        <v>-6</v>
      </c>
      <c r="F8" s="34">
        <f>'João Vitor'!N2</f>
        <v>0</v>
      </c>
      <c r="G8" s="34">
        <f>'João Vitor'!O2</f>
        <v>2</v>
      </c>
      <c r="H8" s="34">
        <f>'João Vitor'!P2</f>
        <v>0</v>
      </c>
      <c r="I8" s="34">
        <f>'João Vitor'!Q2</f>
        <v>0</v>
      </c>
      <c r="J8" s="34">
        <f>'João Vitor'!R2</f>
        <v>-6</v>
      </c>
      <c r="K8" s="34">
        <f>'João Vitor'!S2</f>
        <v>0</v>
      </c>
      <c r="L8" s="34">
        <f>'João Vitor'!T2</f>
        <v>144</v>
      </c>
      <c r="M8" s="34">
        <f>'João Vitor'!U2</f>
        <v>160</v>
      </c>
      <c r="N8" s="34">
        <f>'João Vitor'!V2</f>
        <v>168</v>
      </c>
      <c r="O8" s="34">
        <f>'João Vitor'!W2</f>
        <v>160</v>
      </c>
      <c r="P8" s="34">
        <f>'João Vitor'!X2</f>
        <v>168</v>
      </c>
      <c r="Q8" s="34">
        <f>'João Vitor'!Y2</f>
        <v>160</v>
      </c>
      <c r="R8" s="34">
        <f>'João Vitor'!Z2</f>
        <v>176</v>
      </c>
      <c r="S8" s="34">
        <f>'João Vitor'!AA2</f>
        <v>168</v>
      </c>
      <c r="T8" s="34">
        <f>'João Vitor'!AB2</f>
        <v>176</v>
      </c>
      <c r="U8" s="34">
        <f>'João Vitor'!AC2</f>
        <v>184</v>
      </c>
      <c r="V8" s="34">
        <f>'João Vitor'!AD2</f>
        <v>160</v>
      </c>
      <c r="W8" s="34">
        <f>'João Vitor'!AE2</f>
        <v>128</v>
      </c>
    </row>
    <row r="9" spans="1:23" x14ac:dyDescent="0.25">
      <c r="A9" t="s">
        <v>126</v>
      </c>
      <c r="B9" s="34">
        <f>'João Vitor'!J3</f>
        <v>168</v>
      </c>
      <c r="C9" s="34">
        <f>'João Vitor'!K3</f>
        <v>160</v>
      </c>
      <c r="D9" s="34">
        <f>'João Vitor'!L3</f>
        <v>168</v>
      </c>
      <c r="E9" s="34">
        <f>'João Vitor'!M3</f>
        <v>160</v>
      </c>
      <c r="F9" s="34">
        <f>'João Vitor'!N3</f>
        <v>176</v>
      </c>
      <c r="G9" s="34">
        <f>'João Vitor'!O3</f>
        <v>168</v>
      </c>
      <c r="H9" s="34">
        <f>'João Vitor'!P3</f>
        <v>176</v>
      </c>
      <c r="I9" s="34">
        <f>'João Vitor'!Q3</f>
        <v>184</v>
      </c>
      <c r="J9" s="34">
        <f>'João Vitor'!R3</f>
        <v>160</v>
      </c>
      <c r="K9" s="34">
        <f>'João Vitor'!S3</f>
        <v>128</v>
      </c>
      <c r="L9" s="34">
        <f>'João Vitor'!T3</f>
        <v>144</v>
      </c>
      <c r="M9" s="34">
        <f>'João Vitor'!U3</f>
        <v>160</v>
      </c>
      <c r="N9" s="34">
        <f>'João Vitor'!V3</f>
        <v>168</v>
      </c>
      <c r="O9" s="34">
        <f>'João Vitor'!W3</f>
        <v>160</v>
      </c>
      <c r="P9" s="34">
        <f>'João Vitor'!X3</f>
        <v>168</v>
      </c>
      <c r="Q9" s="34">
        <f>'João Vitor'!Y3</f>
        <v>160</v>
      </c>
      <c r="R9" s="34">
        <f>'João Vitor'!Z3</f>
        <v>176</v>
      </c>
      <c r="S9" s="34">
        <f>'João Vitor'!AA3</f>
        <v>168</v>
      </c>
      <c r="T9" s="34">
        <f>'João Vitor'!AB3</f>
        <v>176</v>
      </c>
      <c r="U9" s="34">
        <f>'João Vitor'!AC3</f>
        <v>184</v>
      </c>
      <c r="V9" s="34">
        <f>'João Vitor'!AD3</f>
        <v>160</v>
      </c>
      <c r="W9" s="34">
        <f>'João Vitor'!AE3</f>
        <v>128</v>
      </c>
    </row>
    <row r="10" spans="1:23" x14ac:dyDescent="0.25">
      <c r="A10" t="s">
        <v>127</v>
      </c>
      <c r="B10" s="34">
        <f>'João Vitor'!J4</f>
        <v>168</v>
      </c>
      <c r="C10" s="34">
        <f>'João Vitor'!K4</f>
        <v>160.30000000000001</v>
      </c>
      <c r="D10" s="34">
        <f>'João Vitor'!L4</f>
        <v>168</v>
      </c>
      <c r="E10" s="34">
        <f>'João Vitor'!M4</f>
        <v>166</v>
      </c>
      <c r="F10" s="34">
        <f>'João Vitor'!N4</f>
        <v>176</v>
      </c>
      <c r="G10" s="34">
        <f>'João Vitor'!O4</f>
        <v>166</v>
      </c>
      <c r="H10" s="34">
        <f>'João Vitor'!P4</f>
        <v>176</v>
      </c>
      <c r="I10" s="34">
        <f>'João Vitor'!Q4</f>
        <v>184</v>
      </c>
      <c r="J10" s="34">
        <f>'João Vitor'!R4</f>
        <v>166</v>
      </c>
      <c r="K10" s="34">
        <f>'João Vitor'!S4</f>
        <v>128</v>
      </c>
      <c r="L10" s="34">
        <f>'João Vitor'!T4</f>
        <v>0</v>
      </c>
      <c r="M10" s="34">
        <f>'João Vitor'!U4</f>
        <v>0</v>
      </c>
      <c r="N10" s="34">
        <f>'João Vitor'!V4</f>
        <v>0</v>
      </c>
      <c r="O10" s="34">
        <f>'João Vitor'!W4</f>
        <v>0</v>
      </c>
      <c r="P10" s="34">
        <f>'João Vitor'!X4</f>
        <v>0</v>
      </c>
      <c r="Q10" s="34">
        <f>'João Vitor'!Y4</f>
        <v>0</v>
      </c>
      <c r="R10" s="34">
        <f>'João Vitor'!Z4</f>
        <v>0</v>
      </c>
      <c r="S10" s="34">
        <f>'João Vitor'!AA4</f>
        <v>0</v>
      </c>
      <c r="T10" s="34">
        <f>'João Vitor'!AB4</f>
        <v>0</v>
      </c>
      <c r="U10" s="34">
        <f>'João Vitor'!AC4</f>
        <v>0</v>
      </c>
      <c r="V10" s="34">
        <f>'João Vitor'!AD4</f>
        <v>0</v>
      </c>
      <c r="W10" s="34">
        <f>'João Vitor'!AE4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975B-B404-4214-A6EF-2AB2EC0EBBE6}">
  <dimension ref="A1:W48"/>
  <sheetViews>
    <sheetView topLeftCell="A19" workbookViewId="0">
      <selection activeCell="N46" sqref="N46:O48"/>
    </sheetView>
  </sheetViews>
  <sheetFormatPr defaultRowHeight="15" x14ac:dyDescent="0.25"/>
  <cols>
    <col min="1" max="1" width="18.85546875" bestFit="1" customWidth="1"/>
    <col min="2" max="2" width="11.28515625" bestFit="1" customWidth="1"/>
    <col min="4" max="4" width="10.7109375" customWidth="1"/>
    <col min="5" max="5" width="12" customWidth="1"/>
    <col min="14" max="14" width="9.85546875" bestFit="1" customWidth="1"/>
    <col min="15" max="15" width="12" customWidth="1"/>
  </cols>
  <sheetData>
    <row r="1" spans="1:23" x14ac:dyDescent="0.25">
      <c r="B1" s="43" t="s">
        <v>124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66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 x14ac:dyDescent="0.25">
      <c r="A2" t="s">
        <v>129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  <c r="M2" s="51"/>
      <c r="N2" s="51"/>
      <c r="O2" s="51"/>
      <c r="P2" s="51"/>
      <c r="Q2" s="50"/>
      <c r="R2" s="50"/>
      <c r="S2" s="50"/>
      <c r="T2" s="50"/>
      <c r="U2" s="50"/>
      <c r="V2" s="50"/>
      <c r="W2" s="50"/>
    </row>
    <row r="3" spans="1:23" x14ac:dyDescent="0.25">
      <c r="A3" t="s">
        <v>125</v>
      </c>
    </row>
    <row r="4" spans="1:23" x14ac:dyDescent="0.25">
      <c r="A4" t="s">
        <v>126</v>
      </c>
      <c r="B4" s="34">
        <f>('Ricardo Kroeger'!M3)*0.3</f>
        <v>50.4</v>
      </c>
      <c r="C4" s="34">
        <f>('Ricardo Kroeger'!N3)*0.3</f>
        <v>48</v>
      </c>
      <c r="D4" s="34">
        <f>('Ricardo Kroeger'!O3)*0.3</f>
        <v>50.4</v>
      </c>
      <c r="E4" s="34">
        <f>('Ricardo Kroeger'!P3)*0.3</f>
        <v>48</v>
      </c>
      <c r="F4" s="34">
        <f>('Ricardo Kroeger'!Q3)*0.3</f>
        <v>52.8</v>
      </c>
      <c r="G4" s="34">
        <f>('Ricardo Kroeger'!R3)*0.3</f>
        <v>50.4</v>
      </c>
      <c r="H4" s="34">
        <f>('Ricardo Kroeger'!S3)*0.3</f>
        <v>52.8</v>
      </c>
      <c r="I4" s="34">
        <f>('Ricardo Kroeger'!T3)*0.3</f>
        <v>55.199999999999996</v>
      </c>
      <c r="J4" s="34">
        <f>('Ricardo Kroeger'!U3)*0.3</f>
        <v>48</v>
      </c>
      <c r="K4" s="34">
        <f>('Ricardo Kroeger'!V3)*0.3</f>
        <v>38.4</v>
      </c>
      <c r="L4" s="34">
        <f>('Ricardo Kroeger'!W3)*0.3</f>
        <v>43.199999999999996</v>
      </c>
      <c r="M4" s="34">
        <f>('Ricardo Kroeger'!X3)*0.3</f>
        <v>48</v>
      </c>
      <c r="N4" s="34">
        <f>('Ricardo Kroeger'!Y3)*0.3</f>
        <v>50.4</v>
      </c>
      <c r="O4" s="34">
        <f>('Ricardo Kroeger'!Z3)*0.3</f>
        <v>48</v>
      </c>
      <c r="P4" s="34">
        <f>('Ricardo Kroeger'!AA3)*0.3</f>
        <v>50.4</v>
      </c>
      <c r="Q4" s="34">
        <f>('Ricardo Kroeger'!AB3)*0.3</f>
        <v>48</v>
      </c>
      <c r="R4" s="34">
        <f>('Ricardo Kroeger'!AC3)*0.3</f>
        <v>52.8</v>
      </c>
      <c r="S4" s="34">
        <f>('Ricardo Kroeger'!AD3)*0.3</f>
        <v>50.4</v>
      </c>
      <c r="T4" s="34">
        <f>('Ricardo Kroeger'!AE3)*0.3</f>
        <v>52.8</v>
      </c>
      <c r="U4" s="34">
        <f>('Ricardo Kroeger'!AF3)*0.3</f>
        <v>55.199999999999996</v>
      </c>
      <c r="V4" s="34">
        <f>('Ricardo Kroeger'!AG3)*0.3</f>
        <v>48</v>
      </c>
      <c r="W4" s="34">
        <f>('Ricardo Kroeger'!AH3)*0.3</f>
        <v>38.4</v>
      </c>
    </row>
    <row r="5" spans="1:23" x14ac:dyDescent="0.25">
      <c r="A5" t="s">
        <v>130</v>
      </c>
      <c r="B5" s="46">
        <f>171*0.3</f>
        <v>51.3</v>
      </c>
      <c r="C5" s="46">
        <f>174*0.3</f>
        <v>52.199999999999996</v>
      </c>
      <c r="D5" s="46">
        <f>184.3*0.3</f>
        <v>55.29</v>
      </c>
      <c r="E5" s="46">
        <f>164.5*0.3</f>
        <v>49.35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x14ac:dyDescent="0.25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 x14ac:dyDescent="0.25">
      <c r="A7" t="s">
        <v>128</v>
      </c>
    </row>
    <row r="8" spans="1:23" x14ac:dyDescent="0.25">
      <c r="A8" t="s">
        <v>126</v>
      </c>
      <c r="B8" s="34">
        <f>('João Vitor'!J3)*0.8</f>
        <v>134.4</v>
      </c>
      <c r="C8" s="34">
        <f>('João Vitor'!K3)*0.8</f>
        <v>128</v>
      </c>
      <c r="D8" s="34">
        <f>('João Vitor'!L3)*0.8</f>
        <v>134.4</v>
      </c>
      <c r="E8" s="34">
        <f>('João Vitor'!M3)*0.8</f>
        <v>128</v>
      </c>
      <c r="F8" s="34">
        <f>('João Vitor'!N3)*0.8</f>
        <v>140.80000000000001</v>
      </c>
      <c r="G8" s="34">
        <f>('João Vitor'!O3)*0.8</f>
        <v>134.4</v>
      </c>
      <c r="H8" s="34">
        <f>('João Vitor'!P3)*0.8</f>
        <v>140.80000000000001</v>
      </c>
      <c r="I8" s="34">
        <f>('João Vitor'!Q3)*0.8</f>
        <v>147.20000000000002</v>
      </c>
      <c r="J8" s="34">
        <f>('João Vitor'!R3)*0.8</f>
        <v>128</v>
      </c>
      <c r="K8" s="34">
        <f>('João Vitor'!S3)*0.8</f>
        <v>102.4</v>
      </c>
      <c r="L8" s="34">
        <f>('João Vitor'!T3)*0.8</f>
        <v>115.2</v>
      </c>
      <c r="M8" s="34">
        <f>('João Vitor'!U3)*0.8</f>
        <v>128</v>
      </c>
      <c r="N8" s="34">
        <f>('João Vitor'!V3)*0.8</f>
        <v>134.4</v>
      </c>
      <c r="O8" s="34">
        <f>('João Vitor'!W3)*0.8</f>
        <v>128</v>
      </c>
      <c r="P8" s="34">
        <f>('João Vitor'!X3)*0.8</f>
        <v>134.4</v>
      </c>
      <c r="Q8" s="34">
        <f>('João Vitor'!Y3)*0.8</f>
        <v>128</v>
      </c>
      <c r="R8" s="34">
        <f>('João Vitor'!Z3)*0.8</f>
        <v>140.80000000000001</v>
      </c>
      <c r="S8" s="34">
        <f>('João Vitor'!AA3)*0.8</f>
        <v>134.4</v>
      </c>
      <c r="T8" s="34">
        <f>('João Vitor'!AB3)*0.8</f>
        <v>140.80000000000001</v>
      </c>
      <c r="U8" s="34">
        <f>('João Vitor'!AC3)*0.8</f>
        <v>147.20000000000002</v>
      </c>
      <c r="V8" s="34">
        <f>('João Vitor'!AD3)*0.8</f>
        <v>128</v>
      </c>
      <c r="W8" s="34">
        <f>('João Vitor'!AE3)*0.8</f>
        <v>102.4</v>
      </c>
    </row>
    <row r="9" spans="1:23" x14ac:dyDescent="0.25">
      <c r="A9" t="s">
        <v>130</v>
      </c>
      <c r="B9" s="46">
        <f>168*0.8</f>
        <v>134.4</v>
      </c>
      <c r="C9" s="46">
        <f>160*0.8</f>
        <v>128</v>
      </c>
      <c r="D9" s="46">
        <f>168*0.8</f>
        <v>134.4</v>
      </c>
      <c r="E9" s="46">
        <f>160*0.8</f>
        <v>128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2" spans="1:23" x14ac:dyDescent="0.25">
      <c r="A12" s="48" t="s">
        <v>131</v>
      </c>
      <c r="B12" s="49">
        <v>45717</v>
      </c>
      <c r="C12" s="49">
        <v>45748</v>
      </c>
      <c r="D12" s="49">
        <v>45779</v>
      </c>
      <c r="E12" s="49">
        <v>45811</v>
      </c>
    </row>
    <row r="13" spans="1:23" x14ac:dyDescent="0.25">
      <c r="A13" t="s">
        <v>126</v>
      </c>
      <c r="B13" s="34">
        <f>SUM(B4,B8)</f>
        <v>184.8</v>
      </c>
      <c r="C13" s="34">
        <f t="shared" ref="C13:W13" si="0">SUM(C4,C8)</f>
        <v>176</v>
      </c>
      <c r="D13" s="34">
        <f t="shared" si="0"/>
        <v>184.8</v>
      </c>
      <c r="E13" s="34">
        <f t="shared" si="0"/>
        <v>176</v>
      </c>
      <c r="F13" s="34">
        <f t="shared" si="0"/>
        <v>193.60000000000002</v>
      </c>
      <c r="G13" s="34">
        <f t="shared" si="0"/>
        <v>184.8</v>
      </c>
      <c r="H13" s="34">
        <f t="shared" si="0"/>
        <v>193.60000000000002</v>
      </c>
      <c r="I13" s="34">
        <f t="shared" si="0"/>
        <v>202.4</v>
      </c>
      <c r="J13" s="34">
        <f t="shared" si="0"/>
        <v>176</v>
      </c>
      <c r="K13" s="34">
        <f t="shared" si="0"/>
        <v>140.80000000000001</v>
      </c>
      <c r="L13" s="34">
        <f t="shared" si="0"/>
        <v>158.4</v>
      </c>
      <c r="M13" s="34">
        <f t="shared" si="0"/>
        <v>176</v>
      </c>
      <c r="N13" s="34">
        <f t="shared" si="0"/>
        <v>184.8</v>
      </c>
      <c r="O13" s="34">
        <f t="shared" si="0"/>
        <v>176</v>
      </c>
      <c r="P13" s="34">
        <f t="shared" si="0"/>
        <v>184.8</v>
      </c>
      <c r="Q13" s="34">
        <f t="shared" si="0"/>
        <v>176</v>
      </c>
      <c r="R13" s="34">
        <f t="shared" si="0"/>
        <v>193.60000000000002</v>
      </c>
      <c r="S13" s="34">
        <f t="shared" si="0"/>
        <v>184.8</v>
      </c>
      <c r="T13" s="34">
        <f t="shared" si="0"/>
        <v>193.60000000000002</v>
      </c>
      <c r="U13" s="34">
        <f t="shared" si="0"/>
        <v>202.4</v>
      </c>
      <c r="V13" s="34">
        <f t="shared" si="0"/>
        <v>176</v>
      </c>
      <c r="W13" s="34">
        <f t="shared" si="0"/>
        <v>140.80000000000001</v>
      </c>
    </row>
    <row r="14" spans="1:23" x14ac:dyDescent="0.25">
      <c r="A14" t="s">
        <v>130</v>
      </c>
      <c r="B14" s="46">
        <f>SUM(B5,B9)</f>
        <v>185.7</v>
      </c>
      <c r="C14" s="46">
        <f>SUM(C5,C9)</f>
        <v>180.2</v>
      </c>
      <c r="D14" s="46">
        <f>SUM(D5,D9)</f>
        <v>189.69</v>
      </c>
      <c r="E14" s="46">
        <f>SUM(E5,E9)</f>
        <v>177.35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7" spans="1:23" x14ac:dyDescent="0.25">
      <c r="A17" t="s">
        <v>132</v>
      </c>
    </row>
    <row r="18" spans="1:23" x14ac:dyDescent="0.25">
      <c r="A18" t="s">
        <v>125</v>
      </c>
    </row>
    <row r="19" spans="1:23" x14ac:dyDescent="0.25">
      <c r="A19" t="s">
        <v>126</v>
      </c>
      <c r="B19" s="52">
        <f>('Ricardo Kroeger'!M3)*0.7</f>
        <v>117.6</v>
      </c>
      <c r="C19" s="52">
        <f>('Ricardo Kroeger'!N3)*0.7</f>
        <v>112</v>
      </c>
      <c r="D19" s="52">
        <f>('Ricardo Kroeger'!O3)*0.7</f>
        <v>117.6</v>
      </c>
      <c r="E19" s="52">
        <f>('Ricardo Kroeger'!P3)*0.7</f>
        <v>112</v>
      </c>
      <c r="F19" s="52">
        <f>('Ricardo Kroeger'!Q3)*0.7</f>
        <v>123.19999999999999</v>
      </c>
      <c r="G19" s="52">
        <f>('Ricardo Kroeger'!R3)*0.7</f>
        <v>117.6</v>
      </c>
      <c r="H19" s="52">
        <f>('Ricardo Kroeger'!S3)*0.7</f>
        <v>123.19999999999999</v>
      </c>
      <c r="I19" s="52">
        <f>('Ricardo Kroeger'!T3)*0.7</f>
        <v>128.79999999999998</v>
      </c>
      <c r="J19" s="52">
        <f>('Ricardo Kroeger'!U3)*0.7</f>
        <v>112</v>
      </c>
      <c r="K19" s="52">
        <f>('Ricardo Kroeger'!V3)*0.7</f>
        <v>89.6</v>
      </c>
      <c r="L19" s="52">
        <f>('Ricardo Kroeger'!W3)*0.7</f>
        <v>100.8</v>
      </c>
      <c r="M19" s="52">
        <f>('Ricardo Kroeger'!X3)*0.7</f>
        <v>112</v>
      </c>
      <c r="N19" s="52">
        <f>('Ricardo Kroeger'!Y3)*0.7</f>
        <v>117.6</v>
      </c>
      <c r="O19" s="52">
        <f>('Ricardo Kroeger'!Z3)*0.7</f>
        <v>112</v>
      </c>
      <c r="P19" s="52">
        <f>('Ricardo Kroeger'!AA3)*0.7</f>
        <v>117.6</v>
      </c>
      <c r="Q19" s="52">
        <f>('Ricardo Kroeger'!AB3)*0.7</f>
        <v>112</v>
      </c>
      <c r="R19" s="52">
        <f>('Ricardo Kroeger'!AC3)*0.7</f>
        <v>123.19999999999999</v>
      </c>
      <c r="S19" s="52">
        <f>('Ricardo Kroeger'!AD3)*0.7</f>
        <v>117.6</v>
      </c>
      <c r="T19" s="52">
        <f>('Ricardo Kroeger'!AE3)*0.7</f>
        <v>123.19999999999999</v>
      </c>
      <c r="U19" s="52">
        <f>('Ricardo Kroeger'!AF3)*0.7</f>
        <v>128.79999999999998</v>
      </c>
      <c r="V19" s="52">
        <f>('Ricardo Kroeger'!AG3)*0.7</f>
        <v>112</v>
      </c>
      <c r="W19" s="52">
        <f>('Ricardo Kroeger'!AH3)*0.7</f>
        <v>89.6</v>
      </c>
    </row>
    <row r="20" spans="1:23" x14ac:dyDescent="0.25">
      <c r="A20" t="s">
        <v>130</v>
      </c>
      <c r="B20" s="46">
        <f>171*0.7</f>
        <v>119.69999999999999</v>
      </c>
      <c r="C20" s="46">
        <f>174*0.7</f>
        <v>121.8</v>
      </c>
      <c r="D20" s="46">
        <f>184.3*0.7</f>
        <v>129.01</v>
      </c>
      <c r="E20" s="46">
        <f>164.3*0.7</f>
        <v>115.01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5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23" x14ac:dyDescent="0.25">
      <c r="A22" t="s">
        <v>128</v>
      </c>
    </row>
    <row r="23" spans="1:23" x14ac:dyDescent="0.25">
      <c r="A23" t="s">
        <v>126</v>
      </c>
      <c r="B23" s="34">
        <f>('João Vitor'!J3)*0.2</f>
        <v>33.6</v>
      </c>
      <c r="C23" s="34">
        <f>('João Vitor'!K3)*0.2</f>
        <v>32</v>
      </c>
      <c r="D23" s="34">
        <f>('João Vitor'!L3)*0.2</f>
        <v>33.6</v>
      </c>
      <c r="E23" s="34">
        <f>('João Vitor'!M3)*0.2</f>
        <v>32</v>
      </c>
      <c r="F23" s="34">
        <f>('João Vitor'!N3)*0.2</f>
        <v>35.200000000000003</v>
      </c>
      <c r="G23" s="34">
        <f>('João Vitor'!O3)*0.2</f>
        <v>33.6</v>
      </c>
      <c r="H23" s="34">
        <f>('João Vitor'!P3)*0.2</f>
        <v>35.200000000000003</v>
      </c>
      <c r="I23" s="34">
        <f>('João Vitor'!Q3)*0.2</f>
        <v>36.800000000000004</v>
      </c>
      <c r="J23" s="34">
        <f>('João Vitor'!R3)*0.2</f>
        <v>32</v>
      </c>
      <c r="K23" s="34">
        <f>('João Vitor'!S3)*0.2</f>
        <v>25.6</v>
      </c>
      <c r="L23" s="34">
        <f>('João Vitor'!T3)*0.2</f>
        <v>28.8</v>
      </c>
      <c r="M23" s="34">
        <f>('João Vitor'!U3)*0.2</f>
        <v>32</v>
      </c>
      <c r="N23" s="34">
        <f>('João Vitor'!V3)*0.2</f>
        <v>33.6</v>
      </c>
      <c r="O23" s="34">
        <f>('João Vitor'!W3)*0.2</f>
        <v>32</v>
      </c>
      <c r="P23" s="34">
        <f>('João Vitor'!X3)*0.2</f>
        <v>33.6</v>
      </c>
      <c r="Q23" s="34">
        <f>('João Vitor'!Y3)*0.2</f>
        <v>32</v>
      </c>
      <c r="R23" s="34">
        <f>('João Vitor'!Z3)*0.2</f>
        <v>35.200000000000003</v>
      </c>
      <c r="S23" s="34">
        <f>('João Vitor'!AA3)*0.2</f>
        <v>33.6</v>
      </c>
      <c r="T23" s="34">
        <f>('João Vitor'!AB3)*0.2</f>
        <v>35.200000000000003</v>
      </c>
      <c r="U23" s="34">
        <f>('João Vitor'!AC3)*0.2</f>
        <v>36.800000000000004</v>
      </c>
      <c r="V23" s="34">
        <f>('João Vitor'!AD3)*0.2</f>
        <v>32</v>
      </c>
      <c r="W23" s="34">
        <f>('João Vitor'!AE3)*0.2</f>
        <v>25.6</v>
      </c>
    </row>
    <row r="24" spans="1:23" x14ac:dyDescent="0.25">
      <c r="A24" t="s">
        <v>130</v>
      </c>
      <c r="B24" s="46">
        <f>168*0.2</f>
        <v>33.6</v>
      </c>
      <c r="C24" s="46">
        <f>160*0.2</f>
        <v>32</v>
      </c>
      <c r="D24" s="46">
        <f>168*0.2</f>
        <v>33.6</v>
      </c>
      <c r="E24" s="46">
        <f>160*0.2</f>
        <v>32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7" spans="1:23" x14ac:dyDescent="0.25">
      <c r="A27" s="48" t="s">
        <v>131</v>
      </c>
      <c r="B27" s="49">
        <v>45717</v>
      </c>
      <c r="C27" s="49">
        <v>45748</v>
      </c>
      <c r="D27" s="49">
        <v>45779</v>
      </c>
      <c r="E27" s="49">
        <v>45811</v>
      </c>
    </row>
    <row r="28" spans="1:23" x14ac:dyDescent="0.25">
      <c r="A28" t="s">
        <v>126</v>
      </c>
      <c r="B28" s="34">
        <f>SUM(B19,B23)</f>
        <v>151.19999999999999</v>
      </c>
      <c r="C28" s="34">
        <f t="shared" ref="C28:W28" si="1">SUM(C19,C23)</f>
        <v>144</v>
      </c>
      <c r="D28" s="34">
        <f t="shared" si="1"/>
        <v>151.19999999999999</v>
      </c>
      <c r="E28" s="34">
        <f t="shared" si="1"/>
        <v>144</v>
      </c>
      <c r="F28" s="34">
        <f t="shared" si="1"/>
        <v>158.39999999999998</v>
      </c>
      <c r="G28" s="34">
        <f t="shared" si="1"/>
        <v>151.19999999999999</v>
      </c>
      <c r="H28" s="34">
        <f t="shared" si="1"/>
        <v>158.39999999999998</v>
      </c>
      <c r="I28" s="34">
        <f t="shared" si="1"/>
        <v>165.6</v>
      </c>
      <c r="J28" s="34">
        <f t="shared" si="1"/>
        <v>144</v>
      </c>
      <c r="K28" s="34">
        <f t="shared" si="1"/>
        <v>115.19999999999999</v>
      </c>
      <c r="L28" s="34">
        <f t="shared" si="1"/>
        <v>129.6</v>
      </c>
      <c r="M28" s="34">
        <f t="shared" si="1"/>
        <v>144</v>
      </c>
      <c r="N28" s="34">
        <f t="shared" si="1"/>
        <v>151.19999999999999</v>
      </c>
      <c r="O28" s="34">
        <f t="shared" si="1"/>
        <v>144</v>
      </c>
      <c r="P28" s="34">
        <f t="shared" si="1"/>
        <v>151.19999999999999</v>
      </c>
      <c r="Q28" s="34">
        <f t="shared" si="1"/>
        <v>144</v>
      </c>
      <c r="R28" s="34">
        <f t="shared" si="1"/>
        <v>158.39999999999998</v>
      </c>
      <c r="S28" s="34">
        <f t="shared" si="1"/>
        <v>151.19999999999999</v>
      </c>
      <c r="T28" s="34">
        <f t="shared" si="1"/>
        <v>158.39999999999998</v>
      </c>
      <c r="U28" s="34">
        <f t="shared" si="1"/>
        <v>165.6</v>
      </c>
      <c r="V28" s="34">
        <f t="shared" si="1"/>
        <v>144</v>
      </c>
      <c r="W28" s="34">
        <f t="shared" si="1"/>
        <v>115.19999999999999</v>
      </c>
    </row>
    <row r="29" spans="1:23" x14ac:dyDescent="0.25">
      <c r="A29" t="s">
        <v>130</v>
      </c>
      <c r="B29" s="46">
        <f>SUM(B20,B24)</f>
        <v>153.29999999999998</v>
      </c>
      <c r="C29" s="46">
        <f>SUM(C20,C24)</f>
        <v>153.80000000000001</v>
      </c>
      <c r="D29" s="46">
        <f>SUM(D20,D24)</f>
        <v>162.60999999999999</v>
      </c>
      <c r="E29" s="46">
        <f>SUM(E20,E24)</f>
        <v>147.01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45" spans="4:16" x14ac:dyDescent="0.25">
      <c r="D45" s="68"/>
      <c r="E45" s="68"/>
    </row>
    <row r="46" spans="4:16" x14ac:dyDescent="0.25">
      <c r="D46" s="61"/>
      <c r="E46" s="61"/>
      <c r="N46" s="68"/>
      <c r="O46" s="68"/>
      <c r="P46" s="48"/>
    </row>
    <row r="47" spans="4:16" x14ac:dyDescent="0.25">
      <c r="D47" s="62"/>
      <c r="E47" s="62"/>
      <c r="N47" s="61"/>
      <c r="O47" s="61"/>
      <c r="P47" s="63"/>
    </row>
    <row r="48" spans="4:16" x14ac:dyDescent="0.25">
      <c r="N48" s="62"/>
      <c r="O48" s="62"/>
      <c r="P48" s="62"/>
    </row>
  </sheetData>
  <mergeCells count="2">
    <mergeCell ref="N46:O46"/>
    <mergeCell ref="D45:E45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45EEFC4229A74FB89DF50D0C9164DE" ma:contentTypeVersion="10" ma:contentTypeDescription="Crie um novo documento." ma:contentTypeScope="" ma:versionID="2a0b2be65109da154c7722781c800e5d">
  <xsd:schema xmlns:xsd="http://www.w3.org/2001/XMLSchema" xmlns:xs="http://www.w3.org/2001/XMLSchema" xmlns:p="http://schemas.microsoft.com/office/2006/metadata/properties" xmlns:ns2="04428c74-4a6b-4e97-9541-9721f0c724aa" targetNamespace="http://schemas.microsoft.com/office/2006/metadata/properties" ma:root="true" ma:fieldsID="3fe24c25ba728718c5780d747c72d66b" ns2:_="">
    <xsd:import namespace="04428c74-4a6b-4e97-9541-9721f0c7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28c74-4a6b-4e97-9541-9721f0c7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963EF-7E18-4286-B416-ADA05C6F6E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596E98-36DD-4DE9-8AAF-FF5AFE4A3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0CB5C0-948C-4523-92AE-FD2BF529F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28c74-4a6b-4e97-9541-9721f0c72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João Vitor</vt:lpstr>
      <vt:lpstr>Ricardo Kroeger</vt:lpstr>
      <vt:lpstr>Detalhamento Equipe</vt:lpstr>
      <vt:lpstr>DisponibxApontamentos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2025-07-31T17:57:07Z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0x0101004D45EEFC4229A74FB89DF50D0C9164DE</vt:lpwstr>
  </property>
</Properties>
</file>