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9.xml" ContentType="application/vnd.openxmlformats-officedocument.drawing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0.xml" ContentType="application/vnd.openxmlformats-officedocument.drawing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1.xml" ContentType="application/vnd.openxmlformats-officedocument.drawing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2.xml" ContentType="application/vnd.openxmlformats-officedocument.drawing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3.xml" ContentType="application/vnd.openxmlformats-officedocument.drawing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4.xml" ContentType="application/vnd.openxmlformats-officedocument.drawing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5.xml" ContentType="application/vnd.openxmlformats-officedocument.drawing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6.xml" ContentType="application/vnd.openxmlformats-officedocument.drawing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7.xml" ContentType="application/vnd.openxmlformats-officedocument.drawing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8.xml" ContentType="application/vnd.openxmlformats-officedocument.drawing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9.xml" ContentType="application/vnd.openxmlformats-officedocument.drawing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0.xml" ContentType="application/vnd.openxmlformats-officedocument.drawing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1.xml" ContentType="application/vnd.openxmlformats-officedocument.drawing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tables/table250.xml" ContentType="application/vnd.openxmlformats-officedocument.spreadsheetml.table+xml"/>
  <Override PartName="/xl/tables/table251.xml" ContentType="application/vnd.openxmlformats-officedocument.spreadsheetml.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2.xml" ContentType="application/vnd.openxmlformats-officedocument.drawing+xml"/>
  <Override PartName="/xl/tables/table252.xml" ContentType="application/vnd.openxmlformats-officedocument.spreadsheetml.table+xml"/>
  <Override PartName="/xl/tables/table253.xml" ContentType="application/vnd.openxmlformats-officedocument.spreadsheetml.table+xml"/>
  <Override PartName="/xl/tables/table254.xml" ContentType="application/vnd.openxmlformats-officedocument.spreadsheetml.table+xml"/>
  <Override PartName="/xl/tables/table255.xml" ContentType="application/vnd.openxmlformats-officedocument.spreadsheetml.table+xml"/>
  <Override PartName="/xl/tables/table256.xml" ContentType="application/vnd.openxmlformats-officedocument.spreadsheetml.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3.xml" ContentType="application/vnd.openxmlformats-officedocument.drawing+xml"/>
  <Override PartName="/xl/tables/table257.xml" ContentType="application/vnd.openxmlformats-officedocument.spreadsheetml.table+xml"/>
  <Override PartName="/xl/tables/table258.xml" ContentType="application/vnd.openxmlformats-officedocument.spreadsheetml.table+xml"/>
  <Override PartName="/xl/tables/table259.xml" ContentType="application/vnd.openxmlformats-officedocument.spreadsheetml.table+xml"/>
  <Override PartName="/xl/tables/table260.xml" ContentType="application/vnd.openxmlformats-officedocument.spreadsheetml.table+xml"/>
  <Override PartName="/xl/tables/table261.xml" ContentType="application/vnd.openxmlformats-officedocument.spreadsheetml.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ables/table262.xml" ContentType="application/vnd.openxmlformats-officedocument.spreadsheetml.table+xml"/>
  <Override PartName="/xl/tables/table26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DELL\Documents\TRABAJO\Cotizaciones\NORWORK\Proyectos\CHAMBERLAIN\COTIZACIÓN DE LOS 468 MANUALES 22.05.2023\BASE DE DATOS VERSIÓN CON MACRO\"/>
    </mc:Choice>
  </mc:AlternateContent>
  <bookViews>
    <workbookView xWindow="0" yWindow="0" windowWidth="23040" windowHeight="9072" firstSheet="1" activeTab="1"/>
  </bookViews>
  <sheets>
    <sheet name="Hoja16" sheetId="99" state="hidden" r:id="rId1"/>
    <sheet name="BASE DE DATOS" sheetId="11" r:id="rId2"/>
    <sheet name="002A2027" sheetId="136" r:id="rId3"/>
    <sheet name="114-5566-000" sheetId="135" r:id="rId4"/>
    <sheet name="114-5681-000" sheetId="134" r:id="rId5"/>
    <sheet name="114A3935E" sheetId="133" r:id="rId6"/>
    <sheet name="114-5692-000" sheetId="132" r:id="rId7"/>
    <sheet name="114A4464" sheetId="130" r:id="rId8"/>
    <sheet name="Acomodo Familia E2" sheetId="128" state="hidden" r:id="rId9"/>
    <sheet name="Embalaje Familia E2" sheetId="129" state="hidden" r:id="rId10"/>
    <sheet name="Hoja1" sheetId="120" r:id="rId11"/>
    <sheet name="114A4714B" sheetId="68" r:id="rId12"/>
    <sheet name="Acomodo Familia A1" sheetId="67" state="hidden" r:id="rId13"/>
    <sheet name="Embalaje Familia A1" sheetId="66" state="hidden" r:id="rId14"/>
    <sheet name="01-39502" sheetId="71" r:id="rId15"/>
    <sheet name="Acomodo Familia A2" sheetId="70" state="hidden" r:id="rId16"/>
    <sheet name="Embalaje Familia A2" sheetId="69" state="hidden" r:id="rId17"/>
    <sheet name="Acomodo Familia A3" sheetId="19" state="hidden" r:id="rId18"/>
    <sheet name="Embalaje Familia A3" sheetId="20" state="hidden" r:id="rId19"/>
    <sheet name="114A5043" sheetId="22" r:id="rId20"/>
    <sheet name="114A5044" sheetId="23" r:id="rId21"/>
    <sheet name="01-38939" sheetId="27" r:id="rId22"/>
    <sheet name="114-5433-000" sheetId="110" r:id="rId23"/>
    <sheet name="114A4109D" sheetId="32" r:id="rId24"/>
    <sheet name="114-5801-000" sheetId="30" r:id="rId25"/>
    <sheet name="Acomodo Familia A4" sheetId="28" state="hidden" r:id="rId26"/>
    <sheet name="Embalaje Familia A4" sheetId="29" state="hidden" r:id="rId27"/>
    <sheet name="114A2074I-1" sheetId="131" r:id="rId28"/>
    <sheet name="Acomodo Familia A5" sheetId="73" state="hidden" r:id="rId29"/>
    <sheet name="Embalaje Familia A5" sheetId="72" state="hidden" r:id="rId30"/>
    <sheet name="01-34213" sheetId="56" r:id="rId31"/>
    <sheet name="Acomodo Familia A6" sheetId="54" state="hidden" r:id="rId32"/>
    <sheet name="Embalaje Familia A6" sheetId="55" state="hidden" r:id="rId33"/>
    <sheet name="01-34005" sheetId="121" r:id="rId34"/>
    <sheet name="01-39384B" sheetId="40" r:id="rId35"/>
    <sheet name="01-39413B" sheetId="43" r:id="rId36"/>
    <sheet name="Acomodo Familia A7" sheetId="41" state="hidden" r:id="rId37"/>
    <sheet name="Embalaje Familia A7" sheetId="42" state="hidden" r:id="rId38"/>
    <sheet name="01-39405B" sheetId="49" r:id="rId39"/>
    <sheet name="01-39380B" sheetId="48" r:id="rId40"/>
    <sheet name="Acomodo Familia A8" sheetId="45" state="hidden" r:id="rId41"/>
    <sheet name="Embalaje Familia A8" sheetId="46" state="hidden" r:id="rId42"/>
    <sheet name="01-39381B" sheetId="44" r:id="rId43"/>
    <sheet name="01-39407B" sheetId="47" r:id="rId44"/>
    <sheet name="01-39382C" sheetId="52" r:id="rId45"/>
    <sheet name="01-39409C" sheetId="53" r:id="rId46"/>
    <sheet name="Acomodo Familia A9" sheetId="50" state="hidden" r:id="rId47"/>
    <sheet name="Embalaje Familia A9" sheetId="51" state="hidden" r:id="rId48"/>
    <sheet name="8114A2935E" sheetId="59" r:id="rId49"/>
    <sheet name="Acomodo Familia A10" sheetId="57" state="hidden" r:id="rId50"/>
    <sheet name="Embalaje Familia A10" sheetId="58" state="hidden" r:id="rId51"/>
    <sheet name="8114A3656D" sheetId="119" r:id="rId52"/>
    <sheet name="8114A3657E" sheetId="101" r:id="rId53"/>
    <sheet name="114A4962" sheetId="62" r:id="rId54"/>
    <sheet name="Acomodo Familia A11" sheetId="60" state="hidden" r:id="rId55"/>
    <sheet name="Embalaje Familia A11" sheetId="61" state="hidden" r:id="rId56"/>
    <sheet name="Acomodo Familia A12" sheetId="63" state="hidden" r:id="rId57"/>
    <sheet name="Embalaje Familia A12" sheetId="64" state="hidden" r:id="rId58"/>
    <sheet name="114-5741-000" sheetId="114" r:id="rId59"/>
    <sheet name="Acomodo Familia A13" sheetId="88" state="hidden" r:id="rId60"/>
    <sheet name="Embalaje Familia A13" sheetId="89" state="hidden" r:id="rId61"/>
    <sheet name="Acomodo Familia B1" sheetId="81" state="hidden" r:id="rId62"/>
    <sheet name="Embalaje Familia B1" sheetId="82" state="hidden" r:id="rId63"/>
    <sheet name="01-34006" sheetId="122" r:id="rId64"/>
    <sheet name="Acomodo Familia A14" sheetId="123" state="hidden" r:id="rId65"/>
    <sheet name="Embalaje Familia A14" sheetId="124" state="hidden" r:id="rId66"/>
    <sheet name="01-39055" sheetId="126" r:id="rId67"/>
    <sheet name="01-35670B" sheetId="125" r:id="rId68"/>
    <sheet name="114-5709-000" sheetId="83" r:id="rId69"/>
    <sheet name="114-5711-010" sheetId="80" r:id="rId70"/>
    <sheet name="114-5819-000" sheetId="103" r:id="rId71"/>
    <sheet name="Acomodo Familia B2" sheetId="78" state="hidden" r:id="rId72"/>
    <sheet name="Embalaje Familia B2" sheetId="79" state="hidden" r:id="rId73"/>
    <sheet name="002-2389-000" sheetId="33" r:id="rId74"/>
    <sheet name="002-2372-000" sheetId="39" r:id="rId75"/>
    <sheet name="Acomodo Familia B3" sheetId="35" state="hidden" r:id="rId76"/>
    <sheet name="Embalaje Familia B3" sheetId="38" state="hidden" r:id="rId77"/>
    <sheet name="Acomodo Familia B4" sheetId="75" state="hidden" r:id="rId78"/>
    <sheet name="Embalaje Familia B4" sheetId="76" state="hidden" r:id="rId79"/>
    <sheet name="114-5589-000" sheetId="113" r:id="rId80"/>
    <sheet name="Acomodo Familia B5" sheetId="111" state="hidden" r:id="rId81"/>
    <sheet name="Embalaje Familia B5" sheetId="112" state="hidden" r:id="rId82"/>
    <sheet name="002-2373-000" sheetId="118" r:id="rId83"/>
    <sheet name="Acomodo Familia B6" sheetId="116" state="hidden" r:id="rId84"/>
    <sheet name="Embalaje Familia B6" sheetId="117" state="hidden" r:id="rId85"/>
    <sheet name="01-39240-2" sheetId="12" r:id="rId86"/>
    <sheet name="01-39240-1" sheetId="15" r:id="rId87"/>
    <sheet name="01-39240-10" sheetId="14" r:id="rId88"/>
    <sheet name="01-39240-9" sheetId="13" r:id="rId89"/>
    <sheet name="01-39240-4" sheetId="18" r:id="rId90"/>
    <sheet name="01-39240-11" sheetId="17" r:id="rId91"/>
    <sheet name="01-39240-5" sheetId="16" r:id="rId92"/>
    <sheet name="Acomodo Familia C1" sheetId="3" state="hidden" r:id="rId93"/>
    <sheet name="Embalaje Familia C1" sheetId="4" state="hidden" r:id="rId94"/>
    <sheet name="114-5463-000" sheetId="90" r:id="rId95"/>
    <sheet name="Acomodo Familia D1" sheetId="91" state="hidden" r:id="rId96"/>
    <sheet name="Embalaje Familia D1" sheetId="92" state="hidden" r:id="rId97"/>
    <sheet name="01-34219" sheetId="127" r:id="rId98"/>
    <sheet name="114-5461-000" sheetId="104" r:id="rId99"/>
    <sheet name="Acomodo Familia Z1" sheetId="105" state="hidden" r:id="rId100"/>
    <sheet name="Embalaje Familia Z1" sheetId="106" state="hidden" r:id="rId101"/>
    <sheet name="114-5685-000" sheetId="107" r:id="rId102"/>
    <sheet name="Acomodo Familia E1" sheetId="108" r:id="rId103"/>
    <sheet name="Embalaje Familia E1" sheetId="109" r:id="rId104"/>
    <sheet name="TEMPLATE" sheetId="2" r:id="rId105"/>
    <sheet name="Compaginado" sheetId="10" r:id="rId106"/>
    <sheet name="Precios Papel" sheetId="9" state="hidden" r:id="rId107"/>
  </sheets>
  <functionGroups builtInGroupCount="18"/>
  <definedNames>
    <definedName name="_xlnm._FilterDatabase" localSheetId="106" hidden="1">'Precios Papel'!$E$21:$E$31</definedName>
    <definedName name="SegmentaciónDeDatos_ÁREA">#N/A</definedName>
    <definedName name="SegmentaciónDeDatos_CON_ETIQUETA">#N/A</definedName>
    <definedName name="SegmentaciónDeDatos_COTIZADO">#N/A</definedName>
    <definedName name="SegmentaciónDeDatos_FAMILIA">#N/A</definedName>
    <definedName name="SegmentaciónDeDatos_PAGINAS">#N/A</definedName>
    <definedName name="SegmentaciónDeDatos_PAPEL">#N/A</definedName>
    <definedName name="SegmentaciónDeDatos_PRIORIDAD">#N/A</definedName>
    <definedName name="SegmentaciónDeDatos_SUBFAMILIA">#N/A</definedName>
    <definedName name="SegmentaciónDeDatos_TINTAS">#N/A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8"/>
        <x14:slicerCache r:id="rId109"/>
        <x14:slicerCache r:id="rId110"/>
        <x14:slicerCache r:id="rId111"/>
        <x14:slicerCache r:id="rId112"/>
        <x14:slicerCache r:id="rId113"/>
        <x14:slicerCache r:id="rId114"/>
        <x14:slicerCache r:id="rId115"/>
        <x14:slicerCache r:id="rId11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40" i="11" l="1"/>
  <c r="C35" i="136"/>
  <c r="C36" i="136" s="1"/>
  <c r="C39" i="136" s="1"/>
  <c r="C40" i="136" s="1"/>
  <c r="B57" i="136"/>
  <c r="B54" i="136"/>
  <c r="B55" i="136" s="1"/>
  <c r="D45" i="136"/>
  <c r="B34" i="136"/>
  <c r="B33" i="136" s="1"/>
  <c r="I21" i="136"/>
  <c r="I15" i="136"/>
  <c r="I16" i="136" s="1"/>
  <c r="B15" i="136"/>
  <c r="D15" i="136" s="1"/>
  <c r="B57" i="135"/>
  <c r="B55" i="135"/>
  <c r="B54" i="135"/>
  <c r="G42" i="135"/>
  <c r="B34" i="135"/>
  <c r="B33" i="135" s="1"/>
  <c r="G21" i="135"/>
  <c r="B15" i="135" s="1"/>
  <c r="G16" i="135"/>
  <c r="G18" i="135" s="1"/>
  <c r="G15" i="135"/>
  <c r="B57" i="134"/>
  <c r="B55" i="134"/>
  <c r="B54" i="134"/>
  <c r="G42" i="134"/>
  <c r="B34" i="134"/>
  <c r="B32" i="134" s="1"/>
  <c r="G21" i="134"/>
  <c r="B15" i="134" s="1"/>
  <c r="G15" i="134"/>
  <c r="G16" i="134" s="1"/>
  <c r="B57" i="133"/>
  <c r="B55" i="133"/>
  <c r="B54" i="133"/>
  <c r="B34" i="133"/>
  <c r="B33" i="133" s="1"/>
  <c r="G21" i="133"/>
  <c r="G15" i="133"/>
  <c r="G16" i="133" s="1"/>
  <c r="B15" i="133"/>
  <c r="B57" i="132"/>
  <c r="B55" i="132"/>
  <c r="B54" i="132"/>
  <c r="B34" i="132"/>
  <c r="B33" i="132" s="1"/>
  <c r="G21" i="132"/>
  <c r="G15" i="132"/>
  <c r="G16" i="132" s="1"/>
  <c r="B15" i="132"/>
  <c r="B34" i="131"/>
  <c r="B32" i="131" s="1"/>
  <c r="G15" i="131"/>
  <c r="G16" i="131" s="1"/>
  <c r="E8" i="72"/>
  <c r="B57" i="131"/>
  <c r="B55" i="131"/>
  <c r="B54" i="131"/>
  <c r="G21" i="131"/>
  <c r="B15" i="131"/>
  <c r="X13" i="11"/>
  <c r="C62" i="101"/>
  <c r="C62" i="59"/>
  <c r="D62" i="59"/>
  <c r="B62" i="59"/>
  <c r="C40" i="59"/>
  <c r="D40" i="59"/>
  <c r="B40" i="59"/>
  <c r="C35" i="59"/>
  <c r="C62" i="39"/>
  <c r="D62" i="39"/>
  <c r="B62" i="39"/>
  <c r="C35" i="39"/>
  <c r="B62" i="23"/>
  <c r="D35" i="136" l="1"/>
  <c r="D33" i="136"/>
  <c r="I18" i="136"/>
  <c r="I17" i="136"/>
  <c r="B56" i="136" s="1"/>
  <c r="B58" i="136" s="1"/>
  <c r="C62" i="136"/>
  <c r="C63" i="136" s="1"/>
  <c r="C64" i="136"/>
  <c r="C41" i="136"/>
  <c r="C43" i="136" s="1"/>
  <c r="C44" i="136" s="1"/>
  <c r="B59" i="136"/>
  <c r="B8" i="136" s="1"/>
  <c r="B32" i="136"/>
  <c r="D34" i="136"/>
  <c r="G17" i="135"/>
  <c r="B56" i="135" s="1"/>
  <c r="B58" i="135" s="1"/>
  <c r="B32" i="135"/>
  <c r="G18" i="134"/>
  <c r="G17" i="134"/>
  <c r="B56" i="134" s="1"/>
  <c r="B58" i="134" s="1"/>
  <c r="B59" i="134" s="1"/>
  <c r="B8" i="134" s="1"/>
  <c r="B33" i="134"/>
  <c r="B32" i="133"/>
  <c r="G18" i="133"/>
  <c r="G17" i="133"/>
  <c r="B56" i="133" s="1"/>
  <c r="B58" i="133" s="1"/>
  <c r="B32" i="132"/>
  <c r="G18" i="132"/>
  <c r="G17" i="132"/>
  <c r="B56" i="132" s="1"/>
  <c r="B58" i="132" s="1"/>
  <c r="G18" i="131"/>
  <c r="G17" i="131"/>
  <c r="B56" i="131" s="1"/>
  <c r="B58" i="131" s="1"/>
  <c r="B33" i="131"/>
  <c r="X3" i="11"/>
  <c r="X4" i="11"/>
  <c r="X5" i="11"/>
  <c r="X6" i="11"/>
  <c r="X7" i="11"/>
  <c r="X8" i="11"/>
  <c r="X9" i="11"/>
  <c r="X10" i="11"/>
  <c r="X11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67" i="11"/>
  <c r="X68" i="11"/>
  <c r="X69" i="11"/>
  <c r="X70" i="11"/>
  <c r="X71" i="11"/>
  <c r="X72" i="11"/>
  <c r="X73" i="11"/>
  <c r="X74" i="11"/>
  <c r="X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88" i="11"/>
  <c r="X89" i="11"/>
  <c r="X90" i="11"/>
  <c r="X91" i="11"/>
  <c r="X92" i="11"/>
  <c r="X93" i="11"/>
  <c r="X94" i="11"/>
  <c r="X95" i="11"/>
  <c r="X96" i="11"/>
  <c r="X97" i="11"/>
  <c r="X98" i="11"/>
  <c r="X99" i="11"/>
  <c r="X100" i="11"/>
  <c r="X101" i="11"/>
  <c r="X102" i="11"/>
  <c r="X103" i="11"/>
  <c r="X104" i="11"/>
  <c r="X105" i="11"/>
  <c r="X106" i="11"/>
  <c r="X107" i="11"/>
  <c r="X108" i="11"/>
  <c r="X109" i="11"/>
  <c r="X110" i="11"/>
  <c r="X111" i="11"/>
  <c r="X112" i="11"/>
  <c r="X113" i="11"/>
  <c r="X114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X314" i="11"/>
  <c r="X315" i="11"/>
  <c r="X316" i="11"/>
  <c r="X317" i="11"/>
  <c r="X318" i="11"/>
  <c r="X319" i="11"/>
  <c r="X320" i="11"/>
  <c r="X321" i="11"/>
  <c r="X322" i="11"/>
  <c r="X323" i="11"/>
  <c r="X324" i="11"/>
  <c r="X325" i="11"/>
  <c r="X326" i="11"/>
  <c r="X327" i="11"/>
  <c r="X328" i="11"/>
  <c r="X329" i="11"/>
  <c r="X330" i="11"/>
  <c r="X331" i="11"/>
  <c r="X332" i="11"/>
  <c r="X333" i="11"/>
  <c r="X334" i="11"/>
  <c r="X335" i="11"/>
  <c r="X336" i="11"/>
  <c r="X337" i="11"/>
  <c r="X338" i="11"/>
  <c r="X339" i="11"/>
  <c r="X340" i="11"/>
  <c r="X341" i="11"/>
  <c r="X342" i="11"/>
  <c r="X343" i="11"/>
  <c r="X344" i="11"/>
  <c r="X345" i="11"/>
  <c r="X346" i="11"/>
  <c r="X347" i="11"/>
  <c r="X348" i="11"/>
  <c r="X349" i="11"/>
  <c r="X350" i="11"/>
  <c r="X351" i="11"/>
  <c r="X352" i="11"/>
  <c r="X353" i="11"/>
  <c r="X354" i="11"/>
  <c r="X355" i="11"/>
  <c r="X356" i="11"/>
  <c r="X357" i="11"/>
  <c r="X358" i="11"/>
  <c r="X359" i="11"/>
  <c r="X360" i="11"/>
  <c r="X361" i="11"/>
  <c r="X362" i="11"/>
  <c r="X363" i="11"/>
  <c r="X364" i="11"/>
  <c r="X365" i="11"/>
  <c r="X366" i="11"/>
  <c r="X367" i="11"/>
  <c r="X368" i="11"/>
  <c r="X369" i="11"/>
  <c r="X370" i="11"/>
  <c r="X371" i="11"/>
  <c r="X372" i="11"/>
  <c r="X373" i="11"/>
  <c r="X374" i="11"/>
  <c r="X375" i="11"/>
  <c r="X376" i="11"/>
  <c r="X377" i="11"/>
  <c r="X378" i="11"/>
  <c r="X379" i="11"/>
  <c r="X380" i="11"/>
  <c r="X381" i="11"/>
  <c r="X382" i="11"/>
  <c r="X383" i="11"/>
  <c r="X384" i="11"/>
  <c r="X385" i="11"/>
  <c r="X386" i="11"/>
  <c r="X387" i="11"/>
  <c r="X388" i="11"/>
  <c r="X389" i="11"/>
  <c r="X390" i="11"/>
  <c r="X391" i="11"/>
  <c r="X392" i="11"/>
  <c r="X393" i="11"/>
  <c r="X394" i="11"/>
  <c r="X395" i="11"/>
  <c r="X396" i="11"/>
  <c r="X397" i="11"/>
  <c r="X398" i="11"/>
  <c r="X399" i="11"/>
  <c r="X400" i="11"/>
  <c r="X401" i="11"/>
  <c r="X402" i="11"/>
  <c r="X403" i="11"/>
  <c r="X404" i="11"/>
  <c r="X405" i="11"/>
  <c r="X406" i="11"/>
  <c r="X407" i="11"/>
  <c r="X408" i="11"/>
  <c r="X409" i="11"/>
  <c r="X410" i="11"/>
  <c r="X411" i="11"/>
  <c r="X412" i="11"/>
  <c r="X413" i="11"/>
  <c r="X414" i="11"/>
  <c r="X415" i="11"/>
  <c r="X416" i="11"/>
  <c r="X417" i="11"/>
  <c r="X418" i="11"/>
  <c r="X419" i="11"/>
  <c r="X420" i="11"/>
  <c r="X421" i="11"/>
  <c r="X422" i="11"/>
  <c r="X423" i="11"/>
  <c r="X424" i="11"/>
  <c r="X425" i="11"/>
  <c r="X426" i="11"/>
  <c r="X427" i="11"/>
  <c r="X428" i="11"/>
  <c r="X429" i="11"/>
  <c r="X430" i="11"/>
  <c r="X431" i="11"/>
  <c r="X432" i="11"/>
  <c r="X433" i="11"/>
  <c r="X434" i="11"/>
  <c r="X435" i="11"/>
  <c r="X436" i="11"/>
  <c r="X437" i="11"/>
  <c r="X438" i="11"/>
  <c r="X439" i="11"/>
  <c r="X440" i="11"/>
  <c r="X441" i="11"/>
  <c r="X442" i="11"/>
  <c r="X443" i="11"/>
  <c r="X444" i="11"/>
  <c r="X445" i="11"/>
  <c r="X446" i="11"/>
  <c r="X447" i="11"/>
  <c r="X448" i="11"/>
  <c r="X449" i="11"/>
  <c r="X450" i="11"/>
  <c r="X451" i="11"/>
  <c r="X452" i="11"/>
  <c r="X453" i="11"/>
  <c r="X454" i="11"/>
  <c r="X455" i="11"/>
  <c r="X456" i="11"/>
  <c r="X457" i="11"/>
  <c r="X458" i="11"/>
  <c r="X459" i="11"/>
  <c r="X460" i="11"/>
  <c r="X461" i="11"/>
  <c r="X462" i="11"/>
  <c r="X463" i="11"/>
  <c r="X464" i="11"/>
  <c r="X465" i="11"/>
  <c r="X466" i="11"/>
  <c r="X467" i="11"/>
  <c r="X468" i="11"/>
  <c r="X469" i="11"/>
  <c r="X470" i="11"/>
  <c r="Z124" i="11"/>
  <c r="Z78" i="11"/>
  <c r="AB102" i="11"/>
  <c r="AB64" i="11"/>
  <c r="AB282" i="11"/>
  <c r="Z171" i="11"/>
  <c r="AB227" i="11"/>
  <c r="Z170" i="11"/>
  <c r="AB346" i="11"/>
  <c r="Z267" i="11"/>
  <c r="AB387" i="11"/>
  <c r="Z413" i="11"/>
  <c r="AB332" i="11"/>
  <c r="AB468" i="11"/>
  <c r="Z403" i="11"/>
  <c r="Z131" i="11"/>
  <c r="AB7" i="11"/>
  <c r="AB116" i="11"/>
  <c r="Z136" i="11"/>
  <c r="Z98" i="11"/>
  <c r="AB153" i="11"/>
  <c r="AB166" i="11"/>
  <c r="Z261" i="11"/>
  <c r="AB273" i="11"/>
  <c r="Z380" i="11"/>
  <c r="Z315" i="11"/>
  <c r="Z296" i="11"/>
  <c r="AB451" i="11"/>
  <c r="AB402" i="11"/>
  <c r="Z419" i="11"/>
  <c r="Z27" i="11"/>
  <c r="Z36" i="11"/>
  <c r="Z137" i="11"/>
  <c r="AB14" i="11"/>
  <c r="AB131" i="11"/>
  <c r="AB194" i="11"/>
  <c r="Z230" i="11"/>
  <c r="Z103" i="11"/>
  <c r="Z231" i="11"/>
  <c r="AB201" i="11"/>
  <c r="Z353" i="11"/>
  <c r="AB299" i="11"/>
  <c r="AB374" i="11"/>
  <c r="AB440" i="11"/>
  <c r="Z376" i="11"/>
  <c r="Z455" i="11"/>
  <c r="Z149" i="11"/>
  <c r="AB106" i="11"/>
  <c r="AB60" i="11"/>
  <c r="Z80" i="11"/>
  <c r="Z42" i="11"/>
  <c r="Z260" i="11"/>
  <c r="AB132" i="11"/>
  <c r="Z205" i="11"/>
  <c r="AB200" i="11"/>
  <c r="Z324" i="11"/>
  <c r="AB207" i="11"/>
  <c r="Z365" i="11"/>
  <c r="AB395" i="11"/>
  <c r="Z275" i="11"/>
  <c r="Z446" i="11"/>
  <c r="Z427" i="11"/>
  <c r="Z44" i="11"/>
  <c r="Z145" i="11"/>
  <c r="AB22" i="11"/>
  <c r="AB139" i="11"/>
  <c r="AB202" i="11"/>
  <c r="Z238" i="11"/>
  <c r="AB137" i="11"/>
  <c r="Z239" i="11"/>
  <c r="Z227" i="11"/>
  <c r="Z361" i="11"/>
  <c r="AB307" i="11"/>
  <c r="Z407" i="11"/>
  <c r="AB448" i="11"/>
  <c r="Z390" i="11"/>
  <c r="Z443" i="11"/>
  <c r="Z128" i="11"/>
  <c r="AB82" i="11"/>
  <c r="AB36" i="11"/>
  <c r="Z56" i="11"/>
  <c r="Z18" i="11"/>
  <c r="Z236" i="11"/>
  <c r="AB276" i="11"/>
  <c r="Z181" i="11"/>
  <c r="AB277" i="11"/>
  <c r="Z300" i="11"/>
  <c r="AB215" i="11"/>
  <c r="Z341" i="11"/>
  <c r="AB326" i="11"/>
  <c r="AB382" i="11"/>
  <c r="Z422" i="11"/>
  <c r="Z457" i="11"/>
  <c r="AB145" i="11"/>
  <c r="Z57" i="11"/>
  <c r="AB57" i="11"/>
  <c r="AB51" i="11"/>
  <c r="AB152" i="11"/>
  <c r="AB151" i="11"/>
  <c r="Z216" i="11"/>
  <c r="Z147" i="11"/>
  <c r="Z327" i="11"/>
  <c r="AB257" i="11"/>
  <c r="AB369" i="11"/>
  <c r="AB406" i="11"/>
  <c r="Z314" i="11"/>
  <c r="Z452" i="11"/>
  <c r="AB390" i="11"/>
  <c r="Z123" i="11"/>
  <c r="Z155" i="11"/>
  <c r="AB301" i="11"/>
  <c r="Z257" i="11"/>
  <c r="Z258" i="11"/>
  <c r="Z371" i="11"/>
  <c r="AB216" i="11"/>
  <c r="Z290" i="11"/>
  <c r="AB375" i="11"/>
  <c r="Z465" i="11"/>
  <c r="Z339" i="11"/>
  <c r="AB443" i="11"/>
  <c r="AB176" i="11"/>
  <c r="Z154" i="11"/>
  <c r="AB177" i="11"/>
  <c r="Z389" i="11"/>
  <c r="Z105" i="11"/>
  <c r="Z198" i="11"/>
  <c r="AB454" i="11"/>
  <c r="Z156" i="11"/>
  <c r="Z110" i="11"/>
  <c r="AB134" i="11"/>
  <c r="AB96" i="11"/>
  <c r="Z151" i="11"/>
  <c r="AB149" i="11"/>
  <c r="AB259" i="11"/>
  <c r="Z265" i="11"/>
  <c r="AB378" i="11"/>
  <c r="AB313" i="11"/>
  <c r="AB280" i="11"/>
  <c r="Z445" i="11"/>
  <c r="Z396" i="11"/>
  <c r="Z415" i="11"/>
  <c r="Z441" i="11"/>
  <c r="AB252" i="11"/>
  <c r="AB39" i="11"/>
  <c r="Z35" i="11"/>
  <c r="Z29" i="11"/>
  <c r="Z130" i="11"/>
  <c r="AB85" i="11"/>
  <c r="AB198" i="11"/>
  <c r="Z55" i="11"/>
  <c r="AB309" i="11"/>
  <c r="Z202" i="11"/>
  <c r="Z347" i="11"/>
  <c r="AB368" i="11"/>
  <c r="Z399" i="11"/>
  <c r="AB434" i="11"/>
  <c r="Z435" i="11"/>
  <c r="Z64" i="11"/>
  <c r="Z68" i="11"/>
  <c r="Z22" i="11"/>
  <c r="AB46" i="11"/>
  <c r="AB8" i="11"/>
  <c r="AB226" i="11"/>
  <c r="Z262" i="11"/>
  <c r="AB171" i="11"/>
  <c r="Z263" i="11"/>
  <c r="AB290" i="11"/>
  <c r="AB185" i="11"/>
  <c r="AB331" i="11"/>
  <c r="AB296" i="11"/>
  <c r="Z273" i="11"/>
  <c r="AB412" i="11"/>
  <c r="Z417" i="11"/>
  <c r="Z180" i="11"/>
  <c r="AB138" i="11"/>
  <c r="AB92" i="11"/>
  <c r="Z112" i="11"/>
  <c r="Z74" i="11"/>
  <c r="AB45" i="11"/>
  <c r="AB37" i="11"/>
  <c r="Z237" i="11"/>
  <c r="AB209" i="11"/>
  <c r="Z356" i="11"/>
  <c r="Z291" i="11"/>
  <c r="AB279" i="11"/>
  <c r="AB427" i="11"/>
  <c r="Z362" i="11"/>
  <c r="AB312" i="11"/>
  <c r="AB31" i="11"/>
  <c r="Z76" i="11"/>
  <c r="Z30" i="11"/>
  <c r="AB54" i="11"/>
  <c r="AB16" i="11"/>
  <c r="AB234" i="11"/>
  <c r="Z270" i="11"/>
  <c r="AB179" i="11"/>
  <c r="Z271" i="11"/>
  <c r="AB298" i="11"/>
  <c r="Z211" i="11"/>
  <c r="AB339" i="11"/>
  <c r="Z322" i="11"/>
  <c r="AB344" i="11"/>
  <c r="AB420" i="11"/>
  <c r="AB425" i="11"/>
  <c r="Z58" i="11"/>
  <c r="AB114" i="11"/>
  <c r="AB68" i="11"/>
  <c r="Z88" i="11"/>
  <c r="Z50" i="11"/>
  <c r="Z268" i="11"/>
  <c r="AB161" i="11"/>
  <c r="Z213" i="11"/>
  <c r="AB217" i="11"/>
  <c r="Z332" i="11"/>
  <c r="Z233" i="11"/>
  <c r="Z373" i="11"/>
  <c r="AB403" i="11"/>
  <c r="Z298" i="11"/>
  <c r="Z454" i="11"/>
  <c r="AB122" i="11"/>
  <c r="Z221" i="11"/>
  <c r="Z89" i="11"/>
  <c r="AB89" i="11"/>
  <c r="AB83" i="11"/>
  <c r="AB125" i="11"/>
  <c r="Z182" i="11"/>
  <c r="Z248" i="11"/>
  <c r="Z183" i="11"/>
  <c r="Z359" i="11"/>
  <c r="Z305" i="11"/>
  <c r="Z187" i="11"/>
  <c r="AB438" i="11"/>
  <c r="AB388" i="11"/>
  <c r="Z286" i="11"/>
  <c r="Z53" i="11"/>
  <c r="Z340" i="11"/>
  <c r="AB281" i="11"/>
  <c r="Z408" i="11"/>
  <c r="Z384" i="11"/>
  <c r="AB328" i="11"/>
  <c r="Z458" i="11"/>
  <c r="Z92" i="11"/>
  <c r="AB32" i="11"/>
  <c r="AB360" i="11"/>
  <c r="Z104" i="11"/>
  <c r="AB192" i="11"/>
  <c r="AB12" i="11"/>
  <c r="Z321" i="11"/>
  <c r="AB74" i="11"/>
  <c r="Z33" i="11"/>
  <c r="AB33" i="11"/>
  <c r="AB27" i="11"/>
  <c r="AB128" i="11"/>
  <c r="Z47" i="11"/>
  <c r="Z192" i="11"/>
  <c r="AB29" i="11"/>
  <c r="Z303" i="11"/>
  <c r="AB193" i="11"/>
  <c r="AB345" i="11"/>
  <c r="AB364" i="11"/>
  <c r="Z366" i="11"/>
  <c r="Z428" i="11"/>
  <c r="AB447" i="11"/>
  <c r="AB407" i="11"/>
  <c r="Z189" i="11"/>
  <c r="AB71" i="11"/>
  <c r="Z67" i="11"/>
  <c r="Z61" i="11"/>
  <c r="AB5" i="11"/>
  <c r="AB164" i="11"/>
  <c r="AB230" i="11"/>
  <c r="AB165" i="11"/>
  <c r="AB341" i="11"/>
  <c r="AB287" i="11"/>
  <c r="Z379" i="11"/>
  <c r="Z416" i="11"/>
  <c r="AB348" i="11"/>
  <c r="AB466" i="11"/>
  <c r="AB399" i="11"/>
  <c r="Z117" i="11"/>
  <c r="Z100" i="11"/>
  <c r="Z54" i="11"/>
  <c r="AB78" i="11"/>
  <c r="AB40" i="11"/>
  <c r="AB258" i="11"/>
  <c r="Z87" i="11"/>
  <c r="AB203" i="11"/>
  <c r="AB183" i="11"/>
  <c r="AB322" i="11"/>
  <c r="Z203" i="11"/>
  <c r="AB363" i="11"/>
  <c r="AB391" i="11"/>
  <c r="AB263" i="11"/>
  <c r="AB444" i="11"/>
  <c r="AB413" i="11"/>
  <c r="AB188" i="11"/>
  <c r="AB15" i="11"/>
  <c r="Z11" i="11"/>
  <c r="Z144" i="11"/>
  <c r="Z106" i="11"/>
  <c r="Z161" i="11"/>
  <c r="AB174" i="11"/>
  <c r="Z269" i="11"/>
  <c r="AB285" i="11"/>
  <c r="Z388" i="11"/>
  <c r="Z323" i="11"/>
  <c r="AB304" i="11"/>
  <c r="AB459" i="11"/>
  <c r="AB410" i="11"/>
  <c r="Z449" i="11"/>
  <c r="Z32" i="11"/>
  <c r="Z108" i="11"/>
  <c r="Z62" i="11"/>
  <c r="AB86" i="11"/>
  <c r="AB48" i="11"/>
  <c r="AB266" i="11"/>
  <c r="AB159" i="11"/>
  <c r="AB211" i="11"/>
  <c r="Z209" i="11"/>
  <c r="AB330" i="11"/>
  <c r="AB224" i="11"/>
  <c r="AB371" i="11"/>
  <c r="Z397" i="11"/>
  <c r="Z294" i="11"/>
  <c r="AB452" i="11"/>
  <c r="Z439" i="11"/>
  <c r="Z212" i="11"/>
  <c r="AB146" i="11"/>
  <c r="AB100" i="11"/>
  <c r="Z120" i="11"/>
  <c r="Z82" i="11"/>
  <c r="AB109" i="11"/>
  <c r="AB101" i="11"/>
  <c r="Z245" i="11"/>
  <c r="Z235" i="11"/>
  <c r="Z364" i="11"/>
  <c r="Z299" i="11"/>
  <c r="Z338" i="11"/>
  <c r="AB435" i="11"/>
  <c r="Z386" i="11"/>
  <c r="AB342" i="11"/>
  <c r="AB127" i="11"/>
  <c r="Z20" i="11"/>
  <c r="Z121" i="11"/>
  <c r="AB121" i="11"/>
  <c r="AB115" i="11"/>
  <c r="AB178" i="11"/>
  <c r="Z214" i="11"/>
  <c r="Z280" i="11"/>
  <c r="Z215" i="11"/>
  <c r="Z391" i="11"/>
  <c r="Z337" i="11"/>
  <c r="AB272" i="11"/>
  <c r="AB470" i="11"/>
  <c r="AB424" i="11"/>
  <c r="AB320" i="11"/>
  <c r="Z431" i="11"/>
  <c r="Z26" i="11"/>
  <c r="Z250" i="11"/>
  <c r="Z336" i="11"/>
  <c r="AB383" i="11"/>
  <c r="AB394" i="11"/>
  <c r="AB458" i="11"/>
  <c r="Z79" i="11"/>
  <c r="AB221" i="11"/>
  <c r="Z15" i="11"/>
  <c r="Z430" i="11"/>
  <c r="AB311" i="11"/>
  <c r="Z23" i="11"/>
  <c r="Z65" i="11"/>
  <c r="AB65" i="11"/>
  <c r="AB59" i="11"/>
  <c r="AB160" i="11"/>
  <c r="Z159" i="11"/>
  <c r="Z224" i="11"/>
  <c r="Z158" i="11"/>
  <c r="Z335" i="11"/>
  <c r="Z283" i="11"/>
  <c r="AB377" i="11"/>
  <c r="AB414" i="11"/>
  <c r="Z344" i="11"/>
  <c r="Z460" i="11"/>
  <c r="AB415" i="11"/>
  <c r="AB409" i="11"/>
  <c r="Z3" i="11"/>
  <c r="AB103" i="11"/>
  <c r="Z99" i="11"/>
  <c r="Z93" i="11"/>
  <c r="AB150" i="11"/>
  <c r="AB196" i="11"/>
  <c r="AB262" i="11"/>
  <c r="AB197" i="11"/>
  <c r="AB373" i="11"/>
  <c r="AB319" i="11"/>
  <c r="Z217" i="11"/>
  <c r="Z448" i="11"/>
  <c r="Z402" i="11"/>
  <c r="Z195" i="11"/>
  <c r="AB433" i="11"/>
  <c r="Z122" i="11"/>
  <c r="Z132" i="11"/>
  <c r="Z86" i="11"/>
  <c r="AB110" i="11"/>
  <c r="AB72" i="11"/>
  <c r="Z7" i="11"/>
  <c r="Z179" i="11"/>
  <c r="AB235" i="11"/>
  <c r="Z201" i="11"/>
  <c r="AB354" i="11"/>
  <c r="AB289" i="11"/>
  <c r="AB199" i="11"/>
  <c r="Z421" i="11"/>
  <c r="Z358" i="11"/>
  <c r="AB308" i="11"/>
  <c r="Z423" i="11"/>
  <c r="AB222" i="11"/>
  <c r="AB47" i="11"/>
  <c r="Z43" i="11"/>
  <c r="Z37" i="11"/>
  <c r="Z138" i="11"/>
  <c r="Z127" i="11"/>
  <c r="AB206" i="11"/>
  <c r="Z118" i="11"/>
  <c r="AB317" i="11"/>
  <c r="AB223" i="11"/>
  <c r="Z355" i="11"/>
  <c r="AB393" i="11"/>
  <c r="AB249" i="11"/>
  <c r="AB442" i="11"/>
  <c r="AB324" i="11"/>
  <c r="Z90" i="11"/>
  <c r="Z140" i="11"/>
  <c r="Z94" i="11"/>
  <c r="AB118" i="11"/>
  <c r="AB80" i="11"/>
  <c r="Z71" i="11"/>
  <c r="Z63" i="11"/>
  <c r="AB243" i="11"/>
  <c r="Z218" i="11"/>
  <c r="AB362" i="11"/>
  <c r="AB297" i="11"/>
  <c r="Z304" i="11"/>
  <c r="Z429" i="11"/>
  <c r="AB366" i="11"/>
  <c r="Z334" i="11"/>
  <c r="AB431" i="11"/>
  <c r="AB21" i="11"/>
  <c r="AB23" i="11"/>
  <c r="Z19" i="11"/>
  <c r="AB11" i="11"/>
  <c r="Z114" i="11"/>
  <c r="Z169" i="11"/>
  <c r="AB182" i="11"/>
  <c r="Z277" i="11"/>
  <c r="AB293" i="11"/>
  <c r="Z134" i="11"/>
  <c r="Z331" i="11"/>
  <c r="Z330" i="11"/>
  <c r="Z469" i="11"/>
  <c r="AB418" i="11"/>
  <c r="AB457" i="11"/>
  <c r="AB44" i="11"/>
  <c r="Z52" i="11"/>
  <c r="Z6" i="11"/>
  <c r="AB30" i="11"/>
  <c r="AB147" i="11"/>
  <c r="AB210" i="11"/>
  <c r="Z246" i="11"/>
  <c r="Z152" i="11"/>
  <c r="Z247" i="11"/>
  <c r="AB248" i="11"/>
  <c r="Z369" i="11"/>
  <c r="AB315" i="11"/>
  <c r="Z259" i="11"/>
  <c r="AB456" i="11"/>
  <c r="AB396" i="11"/>
  <c r="AB465" i="11"/>
  <c r="Z276" i="11"/>
  <c r="Z381" i="11"/>
  <c r="AB455" i="11"/>
  <c r="AB356" i="11"/>
  <c r="Z354" i="11"/>
  <c r="Z426" i="11"/>
  <c r="AB365" i="11"/>
  <c r="AB129" i="11"/>
  <c r="AB284" i="11"/>
  <c r="Z266" i="11"/>
  <c r="AB253" i="11"/>
  <c r="AB195" i="11"/>
  <c r="AB355" i="11"/>
  <c r="AB130" i="11"/>
  <c r="AB271" i="11"/>
  <c r="Z4" i="11"/>
  <c r="Z375" i="11"/>
  <c r="Z433" i="11"/>
  <c r="Z13" i="11"/>
  <c r="Z97" i="11"/>
  <c r="AB97" i="11"/>
  <c r="AB91" i="11"/>
  <c r="Z139" i="11"/>
  <c r="Z190" i="11"/>
  <c r="Z256" i="11"/>
  <c r="Z191" i="11"/>
  <c r="Z367" i="11"/>
  <c r="Z313" i="11"/>
  <c r="AB208" i="11"/>
  <c r="AB446" i="11"/>
  <c r="AB400" i="11"/>
  <c r="AB294" i="11"/>
  <c r="AB392" i="11"/>
  <c r="AB63" i="11"/>
  <c r="AB34" i="11"/>
  <c r="AB135" i="11"/>
  <c r="Z8" i="11"/>
  <c r="Z125" i="11"/>
  <c r="Z188" i="11"/>
  <c r="AB228" i="11"/>
  <c r="AB77" i="11"/>
  <c r="AB229" i="11"/>
  <c r="Z193" i="11"/>
  <c r="AB351" i="11"/>
  <c r="Z293" i="11"/>
  <c r="AB340" i="11"/>
  <c r="Z434" i="11"/>
  <c r="AB350" i="11"/>
  <c r="AB401" i="11"/>
  <c r="AB220" i="11"/>
  <c r="Z9" i="11"/>
  <c r="AB9" i="11"/>
  <c r="AB142" i="11"/>
  <c r="AB104" i="11"/>
  <c r="AB158" i="11"/>
  <c r="Z168" i="11"/>
  <c r="AB267" i="11"/>
  <c r="Z282" i="11"/>
  <c r="AB386" i="11"/>
  <c r="AB321" i="11"/>
  <c r="AB300" i="11"/>
  <c r="Z453" i="11"/>
  <c r="Z404" i="11"/>
  <c r="AB423" i="11"/>
  <c r="AB417" i="11"/>
  <c r="Z285" i="11"/>
  <c r="AB79" i="11"/>
  <c r="Z75" i="11"/>
  <c r="Z69" i="11"/>
  <c r="AB69" i="11"/>
  <c r="AB172" i="11"/>
  <c r="AB238" i="11"/>
  <c r="AB173" i="11"/>
  <c r="AB349" i="11"/>
  <c r="AB295" i="11"/>
  <c r="Z387" i="11"/>
  <c r="Z424" i="11"/>
  <c r="Z374" i="11"/>
  <c r="Z225" i="11"/>
  <c r="AB449" i="11"/>
  <c r="Z244" i="11"/>
  <c r="Z17" i="11"/>
  <c r="AB17" i="11"/>
  <c r="Z5" i="11"/>
  <c r="AB112" i="11"/>
  <c r="AB167" i="11"/>
  <c r="Z176" i="11"/>
  <c r="AB275" i="11"/>
  <c r="Z287" i="11"/>
  <c r="AB53" i="11"/>
  <c r="AB329" i="11"/>
  <c r="Z326" i="11"/>
  <c r="Z461" i="11"/>
  <c r="Z412" i="11"/>
  <c r="AB453" i="11"/>
  <c r="AB439" i="11"/>
  <c r="AB254" i="11"/>
  <c r="AB55" i="11"/>
  <c r="Z51" i="11"/>
  <c r="Z45" i="11"/>
  <c r="Z146" i="11"/>
  <c r="AB148" i="11"/>
  <c r="AB214" i="11"/>
  <c r="Z143" i="11"/>
  <c r="AB325" i="11"/>
  <c r="Z249" i="11"/>
  <c r="Z363" i="11"/>
  <c r="Z400" i="11"/>
  <c r="Z310" i="11"/>
  <c r="AB450" i="11"/>
  <c r="AB376" i="11"/>
  <c r="Z59" i="11"/>
  <c r="Z84" i="11"/>
  <c r="Z38" i="11"/>
  <c r="AB62" i="11"/>
  <c r="AB24" i="11"/>
  <c r="AB242" i="11"/>
  <c r="Z278" i="11"/>
  <c r="AB187" i="11"/>
  <c r="Z279" i="11"/>
  <c r="AB306" i="11"/>
  <c r="AB232" i="11"/>
  <c r="AB347" i="11"/>
  <c r="Z352" i="11"/>
  <c r="AB405" i="11"/>
  <c r="AB428" i="11"/>
  <c r="Z368" i="11"/>
  <c r="AB411" i="11"/>
  <c r="Z185" i="11"/>
  <c r="AB343" i="11"/>
  <c r="Z46" i="11"/>
  <c r="AB70" i="11"/>
  <c r="AB117" i="11"/>
  <c r="Z370" i="11"/>
  <c r="AB84" i="11"/>
  <c r="AB419" i="11"/>
  <c r="AB105" i="11"/>
  <c r="Z264" i="11"/>
  <c r="Z243" i="11"/>
  <c r="Z28" i="11"/>
  <c r="Z129" i="11"/>
  <c r="AB6" i="11"/>
  <c r="AB123" i="11"/>
  <c r="AB186" i="11"/>
  <c r="Z222" i="11"/>
  <c r="Z39" i="11"/>
  <c r="Z223" i="11"/>
  <c r="AB184" i="11"/>
  <c r="Z345" i="11"/>
  <c r="AB291" i="11"/>
  <c r="Z302" i="11"/>
  <c r="AB432" i="11"/>
  <c r="Z346" i="11"/>
  <c r="AB429" i="11"/>
  <c r="Z91" i="11"/>
  <c r="AB66" i="11"/>
  <c r="AB20" i="11"/>
  <c r="Z40" i="11"/>
  <c r="Z157" i="11"/>
  <c r="Z220" i="11"/>
  <c r="AB260" i="11"/>
  <c r="Z165" i="11"/>
  <c r="AB261" i="11"/>
  <c r="Z274" i="11"/>
  <c r="Z162" i="11"/>
  <c r="Z325" i="11"/>
  <c r="AB292" i="11"/>
  <c r="Z466" i="11"/>
  <c r="Z406" i="11"/>
  <c r="AB154" i="11"/>
  <c r="AB190" i="11"/>
  <c r="Z41" i="11"/>
  <c r="AB41" i="11"/>
  <c r="AB35" i="11"/>
  <c r="AB136" i="11"/>
  <c r="Z111" i="11"/>
  <c r="Z200" i="11"/>
  <c r="AB93" i="11"/>
  <c r="Z311" i="11"/>
  <c r="Z219" i="11"/>
  <c r="AB353" i="11"/>
  <c r="AB384" i="11"/>
  <c r="Z177" i="11"/>
  <c r="Z436" i="11"/>
  <c r="AB469" i="11"/>
  <c r="AB58" i="11"/>
  <c r="AB10" i="11"/>
  <c r="AB111" i="11"/>
  <c r="Z107" i="11"/>
  <c r="Z101" i="11"/>
  <c r="Z164" i="11"/>
  <c r="AB204" i="11"/>
  <c r="AB270" i="11"/>
  <c r="AB205" i="11"/>
  <c r="AB381" i="11"/>
  <c r="AB327" i="11"/>
  <c r="Z234" i="11"/>
  <c r="Z456" i="11"/>
  <c r="Z410" i="11"/>
  <c r="AB286" i="11"/>
  <c r="AB437" i="11"/>
  <c r="AB169" i="11"/>
  <c r="Z49" i="11"/>
  <c r="AB49" i="11"/>
  <c r="AB43" i="11"/>
  <c r="AB144" i="11"/>
  <c r="AB140" i="11"/>
  <c r="Z208" i="11"/>
  <c r="AB124" i="11"/>
  <c r="Z319" i="11"/>
  <c r="AB240" i="11"/>
  <c r="AB361" i="11"/>
  <c r="AB398" i="11"/>
  <c r="AB288" i="11"/>
  <c r="Z444" i="11"/>
  <c r="AB358" i="11"/>
  <c r="Z409" i="11"/>
  <c r="Z153" i="11"/>
  <c r="AB87" i="11"/>
  <c r="Z83" i="11"/>
  <c r="Z77" i="11"/>
  <c r="Z119" i="11"/>
  <c r="AB180" i="11"/>
  <c r="AB246" i="11"/>
  <c r="AB181" i="11"/>
  <c r="AB357" i="11"/>
  <c r="AB303" i="11"/>
  <c r="Z178" i="11"/>
  <c r="Z432" i="11"/>
  <c r="Z382" i="11"/>
  <c r="AB264" i="11"/>
  <c r="Z447" i="11"/>
  <c r="Z85" i="11"/>
  <c r="Z116" i="11"/>
  <c r="Z70" i="11"/>
  <c r="AB94" i="11"/>
  <c r="AB56" i="11"/>
  <c r="AB274" i="11"/>
  <c r="Z163" i="11"/>
  <c r="AB219" i="11"/>
  <c r="Z226" i="11"/>
  <c r="AB338" i="11"/>
  <c r="AB241" i="11"/>
  <c r="AB379" i="11"/>
  <c r="Z405" i="11"/>
  <c r="AB302" i="11"/>
  <c r="AB460" i="11"/>
  <c r="Z350" i="11"/>
  <c r="AB13" i="11"/>
  <c r="Z328" i="11"/>
  <c r="AB318" i="11"/>
  <c r="AB256" i="11"/>
  <c r="Z360" i="11"/>
  <c r="Z317" i="11"/>
  <c r="AB191" i="11"/>
  <c r="Z281" i="11"/>
  <c r="AB189" i="11"/>
  <c r="Z411" i="11"/>
  <c r="AB426" i="11"/>
  <c r="Z440" i="11"/>
  <c r="AB250" i="11"/>
  <c r="AB314" i="11"/>
  <c r="Z395" i="11"/>
  <c r="Z66" i="11"/>
  <c r="Z229" i="11"/>
  <c r="AB336" i="11"/>
  <c r="AB99" i="11"/>
  <c r="Z199" i="11"/>
  <c r="AB408" i="11"/>
  <c r="Z60" i="11"/>
  <c r="Z14" i="11"/>
  <c r="AB38" i="11"/>
  <c r="AB155" i="11"/>
  <c r="AB218" i="11"/>
  <c r="Z254" i="11"/>
  <c r="AB163" i="11"/>
  <c r="Z255" i="11"/>
  <c r="AB265" i="11"/>
  <c r="Z377" i="11"/>
  <c r="AB323" i="11"/>
  <c r="Z288" i="11"/>
  <c r="AB464" i="11"/>
  <c r="AB404" i="11"/>
  <c r="Z401" i="11"/>
  <c r="Z21" i="11"/>
  <c r="AB98" i="11"/>
  <c r="AB52" i="11"/>
  <c r="Z72" i="11"/>
  <c r="Z34" i="11"/>
  <c r="Z252" i="11"/>
  <c r="AB61" i="11"/>
  <c r="Z197" i="11"/>
  <c r="AB168" i="11"/>
  <c r="Z316" i="11"/>
  <c r="Z186" i="11"/>
  <c r="Z357" i="11"/>
  <c r="Z385" i="11"/>
  <c r="Z241" i="11"/>
  <c r="Z438" i="11"/>
  <c r="AB95" i="11"/>
  <c r="Z253" i="11"/>
  <c r="Z73" i="11"/>
  <c r="AB73" i="11"/>
  <c r="AB67" i="11"/>
  <c r="Z31" i="11"/>
  <c r="Z166" i="11"/>
  <c r="Z232" i="11"/>
  <c r="Z167" i="11"/>
  <c r="Z343" i="11"/>
  <c r="Z289" i="11"/>
  <c r="AB385" i="11"/>
  <c r="AB422" i="11"/>
  <c r="AB352" i="11"/>
  <c r="Z468" i="11"/>
  <c r="AB445" i="11"/>
  <c r="AB108" i="11"/>
  <c r="AB42" i="11"/>
  <c r="AB143" i="11"/>
  <c r="Z16" i="11"/>
  <c r="Z133" i="11"/>
  <c r="Z196" i="11"/>
  <c r="AB236" i="11"/>
  <c r="AB133" i="11"/>
  <c r="AB237" i="11"/>
  <c r="Z210" i="11"/>
  <c r="AB359" i="11"/>
  <c r="Z301" i="11"/>
  <c r="AB397" i="11"/>
  <c r="Z442" i="11"/>
  <c r="AB380" i="11"/>
  <c r="AB463" i="11"/>
  <c r="AB157" i="11"/>
  <c r="Z81" i="11"/>
  <c r="AB81" i="11"/>
  <c r="AB75" i="11"/>
  <c r="Z95" i="11"/>
  <c r="Z174" i="11"/>
  <c r="Z240" i="11"/>
  <c r="Z175" i="11"/>
  <c r="Z351" i="11"/>
  <c r="Z297" i="11"/>
  <c r="Z150" i="11"/>
  <c r="AB430" i="11"/>
  <c r="Z378" i="11"/>
  <c r="Z242" i="11"/>
  <c r="Z467" i="11"/>
  <c r="AB90" i="11"/>
  <c r="AB18" i="11"/>
  <c r="AB119" i="11"/>
  <c r="Z115" i="11"/>
  <c r="Z109" i="11"/>
  <c r="Z172" i="11"/>
  <c r="AB212" i="11"/>
  <c r="AB278" i="11"/>
  <c r="AB213" i="11"/>
  <c r="AB389" i="11"/>
  <c r="AB335" i="11"/>
  <c r="AB255" i="11"/>
  <c r="Z464" i="11"/>
  <c r="Z418" i="11"/>
  <c r="AB316" i="11"/>
  <c r="Z463" i="11"/>
  <c r="Z135" i="11"/>
  <c r="Z148" i="11"/>
  <c r="Z102" i="11"/>
  <c r="AB126" i="11"/>
  <c r="AB88" i="11"/>
  <c r="Z126" i="11"/>
  <c r="AB141" i="11"/>
  <c r="AB251" i="11"/>
  <c r="AB239" i="11"/>
  <c r="AB370" i="11"/>
  <c r="AB305" i="11"/>
  <c r="AB233" i="11"/>
  <c r="Z437" i="11"/>
  <c r="Z392" i="11"/>
  <c r="Z320" i="11"/>
  <c r="AB461" i="11"/>
  <c r="Z462" i="11"/>
  <c r="Z372" i="11"/>
  <c r="Z398" i="11"/>
  <c r="AB467" i="11"/>
  <c r="AB436" i="11"/>
  <c r="Z284" i="11"/>
  <c r="Z348" i="11"/>
  <c r="Z470" i="11"/>
  <c r="AB162" i="11"/>
  <c r="AB225" i="11"/>
  <c r="Z96" i="11"/>
  <c r="Z318" i="11"/>
  <c r="Z306" i="11"/>
  <c r="Z10" i="11"/>
  <c r="Z228" i="11"/>
  <c r="AB310" i="11"/>
  <c r="Z206" i="11"/>
  <c r="Z312" i="11"/>
  <c r="AB244" i="11"/>
  <c r="Z393" i="11"/>
  <c r="Z184" i="11"/>
  <c r="Z459" i="11"/>
  <c r="Z394" i="11"/>
  <c r="AB268" i="11"/>
  <c r="Z414" i="11"/>
  <c r="Z272" i="11"/>
  <c r="AB441" i="11"/>
  <c r="Z142" i="11"/>
  <c r="Z451" i="11"/>
  <c r="AB283" i="11"/>
  <c r="AB26" i="11"/>
  <c r="Z425" i="11"/>
  <c r="AB25" i="11"/>
  <c r="Z194" i="11"/>
  <c r="Z251" i="11"/>
  <c r="Z24" i="11"/>
  <c r="AB334" i="11"/>
  <c r="Z307" i="11"/>
  <c r="Z333" i="11"/>
  <c r="Z141" i="11"/>
  <c r="AB120" i="11"/>
  <c r="Z450" i="11"/>
  <c r="Z420" i="11"/>
  <c r="AB416" i="11"/>
  <c r="Z173" i="11"/>
  <c r="AB421" i="11"/>
  <c r="Z207" i="11"/>
  <c r="AB76" i="11"/>
  <c r="AB245" i="11"/>
  <c r="AB156" i="11"/>
  <c r="Z295" i="11"/>
  <c r="Z308" i="11"/>
  <c r="Z160" i="11"/>
  <c r="Z292" i="11"/>
  <c r="Z329" i="11"/>
  <c r="AB4" i="11"/>
  <c r="Z342" i="11"/>
  <c r="AB113" i="11"/>
  <c r="AB19" i="11"/>
  <c r="AB107" i="11"/>
  <c r="AB247" i="11"/>
  <c r="AB170" i="11"/>
  <c r="AB175" i="11"/>
  <c r="AB269" i="11"/>
  <c r="Z12" i="11"/>
  <c r="Z383" i="11"/>
  <c r="AB50" i="11"/>
  <c r="AB231" i="11"/>
  <c r="Z25" i="11"/>
  <c r="AB372" i="11"/>
  <c r="Z113" i="11"/>
  <c r="AB367" i="11"/>
  <c r="AB337" i="11"/>
  <c r="AB28" i="11"/>
  <c r="Z309" i="11"/>
  <c r="Z48" i="11"/>
  <c r="AB462" i="11"/>
  <c r="AB333" i="11"/>
  <c r="Z204" i="11"/>
  <c r="Z349" i="11"/>
  <c r="AA349" i="11" l="1"/>
  <c r="AC349" i="11"/>
  <c r="AD349" i="11" s="1"/>
  <c r="AC204" i="11"/>
  <c r="AD204" i="11" s="1"/>
  <c r="AA204" i="11"/>
  <c r="AA48" i="11"/>
  <c r="AC48" i="11"/>
  <c r="AD48" i="11" s="1"/>
  <c r="AC309" i="11"/>
  <c r="AD309" i="11" s="1"/>
  <c r="AA309" i="11"/>
  <c r="AA113" i="11"/>
  <c r="AC113" i="11" s="1"/>
  <c r="AD113" i="11" s="1"/>
  <c r="AA25" i="11"/>
  <c r="AC25" i="11" s="1"/>
  <c r="AD25" i="11" s="1"/>
  <c r="AA383" i="11"/>
  <c r="AC383" i="11"/>
  <c r="AA12" i="11"/>
  <c r="AC12" i="11" s="1"/>
  <c r="AD12" i="11" s="1"/>
  <c r="AA342" i="11"/>
  <c r="AC342" i="11"/>
  <c r="AD342" i="11" s="1"/>
  <c r="AC329" i="11"/>
  <c r="AA329" i="11"/>
  <c r="AC292" i="11"/>
  <c r="AD292" i="11" s="1"/>
  <c r="AA292" i="11"/>
  <c r="AA160" i="11"/>
  <c r="AC160" i="11"/>
  <c r="AD160" i="11" s="1"/>
  <c r="AA308" i="11"/>
  <c r="AC308" i="11"/>
  <c r="AD308" i="11" s="1"/>
  <c r="AA295" i="11"/>
  <c r="AC295" i="11"/>
  <c r="AA207" i="11"/>
  <c r="AC207" i="11"/>
  <c r="AC173" i="11"/>
  <c r="AA173" i="11"/>
  <c r="AA420" i="11"/>
  <c r="AC420" i="11"/>
  <c r="AD420" i="11" s="1"/>
  <c r="AC450" i="11"/>
  <c r="AD450" i="11" s="1"/>
  <c r="AA450" i="11"/>
  <c r="AC141" i="11"/>
  <c r="AD141" i="11" s="1"/>
  <c r="AA141" i="11"/>
  <c r="AC333" i="11"/>
  <c r="AA333" i="11"/>
  <c r="AA307" i="11"/>
  <c r="AC307" i="11"/>
  <c r="AD307" i="11" s="1"/>
  <c r="AA24" i="11"/>
  <c r="AC24" i="11"/>
  <c r="AA251" i="11"/>
  <c r="AC251" i="11"/>
  <c r="AC194" i="11"/>
  <c r="AA194" i="11"/>
  <c r="AA425" i="11"/>
  <c r="AC425" i="11"/>
  <c r="AD425" i="11" s="1"/>
  <c r="AA451" i="11"/>
  <c r="AC451" i="11"/>
  <c r="AC142" i="11"/>
  <c r="AD142" i="11" s="1"/>
  <c r="AA142" i="11"/>
  <c r="AA272" i="11"/>
  <c r="AC272" i="11"/>
  <c r="AA414" i="11"/>
  <c r="AC414" i="11"/>
  <c r="AD414" i="11" s="1"/>
  <c r="AA394" i="11"/>
  <c r="AC394" i="11"/>
  <c r="AA459" i="11"/>
  <c r="AC459" i="11"/>
  <c r="AA184" i="11"/>
  <c r="AC184" i="11"/>
  <c r="AC393" i="11"/>
  <c r="AA393" i="11"/>
  <c r="AC312" i="11"/>
  <c r="AA312" i="11"/>
  <c r="AA206" i="11"/>
  <c r="AC206" i="11"/>
  <c r="AA228" i="11"/>
  <c r="AC228" i="11"/>
  <c r="AD228" i="11" s="1"/>
  <c r="AA10" i="11"/>
  <c r="AC10" i="11" s="1"/>
  <c r="AD10" i="11" s="1"/>
  <c r="AC306" i="11"/>
  <c r="AD306" i="11" s="1"/>
  <c r="AA306" i="11"/>
  <c r="AC318" i="11"/>
  <c r="AA318" i="11"/>
  <c r="AA96" i="11"/>
  <c r="AC96" i="11"/>
  <c r="AC470" i="11"/>
  <c r="AA470" i="11"/>
  <c r="AC348" i="11"/>
  <c r="AD348" i="11" s="1"/>
  <c r="AA348" i="11"/>
  <c r="AA284" i="11"/>
  <c r="AC284" i="11"/>
  <c r="AA398" i="11"/>
  <c r="AC398" i="11"/>
  <c r="AD398" i="11" s="1"/>
  <c r="AC372" i="11"/>
  <c r="AA372" i="11"/>
  <c r="AC462" i="11"/>
  <c r="AA462" i="11"/>
  <c r="AC320" i="11"/>
  <c r="AA320" i="11"/>
  <c r="AC392" i="11"/>
  <c r="AA392" i="11"/>
  <c r="AA437" i="11"/>
  <c r="AC437" i="11"/>
  <c r="AD437" i="11" s="1"/>
  <c r="AA126" i="11"/>
  <c r="AC126" i="11" s="1"/>
  <c r="AD126" i="11" s="1"/>
  <c r="AC102" i="11"/>
  <c r="AA102" i="11"/>
  <c r="AA148" i="11"/>
  <c r="AC148" i="11"/>
  <c r="AA135" i="11"/>
  <c r="AC135" i="11"/>
  <c r="AA463" i="11"/>
  <c r="AC463" i="11"/>
  <c r="AC418" i="11"/>
  <c r="AD418" i="11" s="1"/>
  <c r="AA418" i="11"/>
  <c r="AA464" i="11"/>
  <c r="AC464" i="11"/>
  <c r="AA172" i="11"/>
  <c r="AC172" i="11"/>
  <c r="AC109" i="11"/>
  <c r="AA109" i="11"/>
  <c r="AA115" i="11"/>
  <c r="AC115" i="11"/>
  <c r="AA467" i="11"/>
  <c r="AC467" i="11"/>
  <c r="AA242" i="11"/>
  <c r="AC242" i="11"/>
  <c r="AD242" i="11" s="1"/>
  <c r="AA378" i="11"/>
  <c r="AC378" i="11"/>
  <c r="AD378" i="11" s="1"/>
  <c r="AA150" i="11"/>
  <c r="AC150" i="11"/>
  <c r="AA297" i="11"/>
  <c r="AC297" i="11"/>
  <c r="AC351" i="11"/>
  <c r="AA351" i="11"/>
  <c r="AA175" i="11"/>
  <c r="AC175" i="11"/>
  <c r="AD175" i="11" s="1"/>
  <c r="AC240" i="11"/>
  <c r="AD240" i="11" s="1"/>
  <c r="AA240" i="11"/>
  <c r="AC174" i="11"/>
  <c r="AA174" i="11"/>
  <c r="AC95" i="11"/>
  <c r="AA95" i="11"/>
  <c r="AA81" i="11"/>
  <c r="AC81" i="11"/>
  <c r="AD81" i="11" s="1"/>
  <c r="AA442" i="11"/>
  <c r="AC442" i="11"/>
  <c r="AA301" i="11"/>
  <c r="AC301" i="11"/>
  <c r="AD301" i="11" s="1"/>
  <c r="AA210" i="11"/>
  <c r="AC210" i="11"/>
  <c r="AD210" i="11" s="1"/>
  <c r="AA196" i="11"/>
  <c r="AC196" i="11"/>
  <c r="AC133" i="11"/>
  <c r="AD133" i="11" s="1"/>
  <c r="AA133" i="11"/>
  <c r="AA16" i="11"/>
  <c r="AC16" i="11"/>
  <c r="AC468" i="11"/>
  <c r="AA468" i="11"/>
  <c r="AC289" i="11"/>
  <c r="AA289" i="11"/>
  <c r="AA343" i="11"/>
  <c r="AC343" i="11"/>
  <c r="AA167" i="11"/>
  <c r="AC167" i="11" s="1"/>
  <c r="AD167" i="11" s="1"/>
  <c r="AA232" i="11"/>
  <c r="AC232" i="11"/>
  <c r="AC166" i="11"/>
  <c r="AD166" i="11" s="1"/>
  <c r="AA166" i="11"/>
  <c r="AA31" i="11"/>
  <c r="AC31" i="11" s="1"/>
  <c r="AD31" i="11" s="1"/>
  <c r="AC73" i="11"/>
  <c r="AD73" i="11" s="1"/>
  <c r="AA73" i="11"/>
  <c r="AC253" i="11"/>
  <c r="AA253" i="11"/>
  <c r="AC438" i="11"/>
  <c r="AA438" i="11"/>
  <c r="AA241" i="11"/>
  <c r="AC241" i="11"/>
  <c r="AC385" i="11"/>
  <c r="AD385" i="11" s="1"/>
  <c r="AA385" i="11"/>
  <c r="AC357" i="11"/>
  <c r="AD357" i="11" s="1"/>
  <c r="AA357" i="11"/>
  <c r="AC186" i="11"/>
  <c r="AA186" i="11"/>
  <c r="AC316" i="11"/>
  <c r="AA316" i="11"/>
  <c r="AC197" i="11"/>
  <c r="AA197" i="11"/>
  <c r="AA252" i="11"/>
  <c r="AC252" i="11" s="1"/>
  <c r="AD252" i="11" s="1"/>
  <c r="AC34" i="11"/>
  <c r="AA34" i="11"/>
  <c r="AA72" i="11"/>
  <c r="AC72" i="11"/>
  <c r="AC21" i="11"/>
  <c r="AD21" i="11" s="1"/>
  <c r="AA21" i="11"/>
  <c r="AC401" i="11"/>
  <c r="AA401" i="11"/>
  <c r="AC288" i="11"/>
  <c r="AD288" i="11" s="1"/>
  <c r="AA288" i="11"/>
  <c r="AA377" i="11"/>
  <c r="AC377" i="11"/>
  <c r="AA255" i="11"/>
  <c r="AC255" i="11"/>
  <c r="AA254" i="11"/>
  <c r="AC254" i="11"/>
  <c r="AD254" i="11" s="1"/>
  <c r="AA14" i="11"/>
  <c r="AC14" i="11" s="1"/>
  <c r="AD14" i="11" s="1"/>
  <c r="AA60" i="11"/>
  <c r="AC60" i="11"/>
  <c r="AC199" i="11"/>
  <c r="AA199" i="11"/>
  <c r="AC229" i="11"/>
  <c r="AD229" i="11" s="1"/>
  <c r="AA229" i="11"/>
  <c r="AC66" i="11"/>
  <c r="AA66" i="11"/>
  <c r="AC395" i="11"/>
  <c r="AA395" i="11"/>
  <c r="AC440" i="11"/>
  <c r="AA440" i="11"/>
  <c r="AA411" i="11"/>
  <c r="AC411" i="11"/>
  <c r="AC281" i="11"/>
  <c r="AA281" i="11"/>
  <c r="AA317" i="11"/>
  <c r="AC317" i="11"/>
  <c r="AD317" i="11" s="1"/>
  <c r="AA360" i="11"/>
  <c r="AC360" i="11"/>
  <c r="AD360" i="11" s="1"/>
  <c r="AC328" i="11"/>
  <c r="AA328" i="11"/>
  <c r="AA350" i="11"/>
  <c r="AC350" i="11"/>
  <c r="AD350" i="11" s="1"/>
  <c r="AA405" i="11"/>
  <c r="AC405" i="11"/>
  <c r="AA226" i="11"/>
  <c r="AC226" i="11"/>
  <c r="AA163" i="11"/>
  <c r="AC163" i="11"/>
  <c r="AA70" i="11"/>
  <c r="AC70" i="11"/>
  <c r="AD70" i="11" s="1"/>
  <c r="AA116" i="11"/>
  <c r="AC116" i="11"/>
  <c r="AD116" i="11" s="1"/>
  <c r="AA85" i="11"/>
  <c r="AC85" i="11" s="1"/>
  <c r="AD85" i="11" s="1"/>
  <c r="AA447" i="11"/>
  <c r="AC447" i="11"/>
  <c r="AC382" i="11"/>
  <c r="AA382" i="11"/>
  <c r="AA432" i="11"/>
  <c r="AC432" i="11"/>
  <c r="AA178" i="11"/>
  <c r="AC178" i="11"/>
  <c r="AA119" i="11"/>
  <c r="AC119" i="11"/>
  <c r="AA77" i="11"/>
  <c r="AC77" i="11" s="1"/>
  <c r="AD77" i="11" s="1"/>
  <c r="AA83" i="11"/>
  <c r="AC83" i="11"/>
  <c r="AD83" i="11" s="1"/>
  <c r="AA153" i="11"/>
  <c r="AC153" i="11"/>
  <c r="AC409" i="11"/>
  <c r="AA409" i="11"/>
  <c r="AA444" i="11"/>
  <c r="AC444" i="11"/>
  <c r="AC319" i="11"/>
  <c r="AA319" i="11"/>
  <c r="AA208" i="11"/>
  <c r="AC208" i="11"/>
  <c r="Y140" i="11"/>
  <c r="AA49" i="11"/>
  <c r="AC49" i="11"/>
  <c r="AA410" i="11"/>
  <c r="AC410" i="11"/>
  <c r="AC456" i="11"/>
  <c r="AA456" i="11"/>
  <c r="AC234" i="11"/>
  <c r="AA234" i="11"/>
  <c r="AC164" i="11"/>
  <c r="AD164" i="11" s="1"/>
  <c r="AA164" i="11"/>
  <c r="AC101" i="11"/>
  <c r="AA101" i="11"/>
  <c r="AA107" i="11"/>
  <c r="AC107" i="11"/>
  <c r="AA436" i="11"/>
  <c r="AC436" i="11"/>
  <c r="AD436" i="11" s="1"/>
  <c r="AC177" i="11"/>
  <c r="AA177" i="11"/>
  <c r="AA219" i="11"/>
  <c r="AC219" i="11"/>
  <c r="AD219" i="11" s="1"/>
  <c r="AC311" i="11"/>
  <c r="AA311" i="11"/>
  <c r="AC200" i="11"/>
  <c r="AA200" i="11"/>
  <c r="AC111" i="11"/>
  <c r="AA111" i="11"/>
  <c r="AA41" i="11"/>
  <c r="AC41" i="11" s="1"/>
  <c r="AD41" i="11" s="1"/>
  <c r="AA406" i="11"/>
  <c r="AC406" i="11"/>
  <c r="AD406" i="11" s="1"/>
  <c r="AC466" i="11"/>
  <c r="AA466" i="11"/>
  <c r="AC325" i="11"/>
  <c r="AA325" i="11"/>
  <c r="AA162" i="11"/>
  <c r="AC162" i="11"/>
  <c r="AC274" i="11"/>
  <c r="AA274" i="11"/>
  <c r="AA165" i="11"/>
  <c r="AC165" i="11"/>
  <c r="AD165" i="11" s="1"/>
  <c r="AC220" i="11"/>
  <c r="AA220" i="11"/>
  <c r="AA157" i="11"/>
  <c r="AC157" i="11"/>
  <c r="AA40" i="11"/>
  <c r="AC40" i="11" s="1"/>
  <c r="AD40" i="11" s="1"/>
  <c r="AC91" i="11"/>
  <c r="AA91" i="11"/>
  <c r="AC346" i="11"/>
  <c r="AA346" i="11"/>
  <c r="AC302" i="11"/>
  <c r="AA302" i="11"/>
  <c r="AA345" i="11"/>
  <c r="AC345" i="11"/>
  <c r="AA223" i="11"/>
  <c r="AC223" i="11"/>
  <c r="AA39" i="11"/>
  <c r="AC39" i="11"/>
  <c r="AC222" i="11"/>
  <c r="AD222" i="11" s="1"/>
  <c r="AA222" i="11"/>
  <c r="AC129" i="11"/>
  <c r="AA129" i="11"/>
  <c r="AA28" i="11"/>
  <c r="AC28" i="11" s="1"/>
  <c r="AD28" i="11" s="1"/>
  <c r="AA243" i="11"/>
  <c r="AC243" i="11"/>
  <c r="AC264" i="11"/>
  <c r="AA264" i="11"/>
  <c r="AC370" i="11"/>
  <c r="AD370" i="11" s="1"/>
  <c r="AA370" i="11"/>
  <c r="AC46" i="11"/>
  <c r="AA46" i="11"/>
  <c r="AA185" i="11"/>
  <c r="AC185" i="11"/>
  <c r="AD185" i="11" s="1"/>
  <c r="AC368" i="11"/>
  <c r="AA368" i="11"/>
  <c r="AA352" i="11"/>
  <c r="AC352" i="11"/>
  <c r="AC279" i="11"/>
  <c r="AA279" i="11"/>
  <c r="AA278" i="11"/>
  <c r="AC278" i="11"/>
  <c r="AA38" i="11"/>
  <c r="AC38" i="11" s="1"/>
  <c r="AD38" i="11" s="1"/>
  <c r="AA84" i="11"/>
  <c r="AC84" i="11" s="1"/>
  <c r="AD84" i="11" s="1"/>
  <c r="AA59" i="11"/>
  <c r="AC59" i="11" s="1"/>
  <c r="AD59" i="11" s="1"/>
  <c r="AA310" i="11"/>
  <c r="AC310" i="11"/>
  <c r="AD310" i="11" s="1"/>
  <c r="AA400" i="11"/>
  <c r="AC400" i="11"/>
  <c r="AC363" i="11"/>
  <c r="AA363" i="11"/>
  <c r="AA249" i="11"/>
  <c r="AC249" i="11"/>
  <c r="AA143" i="11"/>
  <c r="AC143" i="11"/>
  <c r="AA146" i="11"/>
  <c r="AC146" i="11"/>
  <c r="AC45" i="11"/>
  <c r="AA45" i="11"/>
  <c r="AA51" i="11"/>
  <c r="AC51" i="11"/>
  <c r="AC412" i="11"/>
  <c r="AA412" i="11"/>
  <c r="AC461" i="11"/>
  <c r="AD461" i="11" s="1"/>
  <c r="AA461" i="11"/>
  <c r="AC326" i="11"/>
  <c r="AA326" i="11"/>
  <c r="AC287" i="11"/>
  <c r="AA287" i="11"/>
  <c r="AA176" i="11"/>
  <c r="AC176" i="11"/>
  <c r="AA5" i="11"/>
  <c r="AC5" i="11" s="1"/>
  <c r="AD5" i="11" s="1"/>
  <c r="AC17" i="11"/>
  <c r="AA17" i="11"/>
  <c r="AA244" i="11"/>
  <c r="AC244" i="11"/>
  <c r="AC225" i="11"/>
  <c r="AD225" i="11" s="1"/>
  <c r="AA225" i="11"/>
  <c r="AA374" i="11"/>
  <c r="AC374" i="11"/>
  <c r="AC424" i="11"/>
  <c r="AA424" i="11"/>
  <c r="AA387" i="11"/>
  <c r="AC387" i="11"/>
  <c r="AA69" i="11"/>
  <c r="AC69" i="11"/>
  <c r="AA75" i="11"/>
  <c r="AC75" i="11" s="1"/>
  <c r="AD75" i="11" s="1"/>
  <c r="AA285" i="11"/>
  <c r="AC285" i="11"/>
  <c r="AA404" i="11"/>
  <c r="AC404" i="11"/>
  <c r="AA453" i="11"/>
  <c r="AC453" i="11"/>
  <c r="AC282" i="11"/>
  <c r="AA282" i="11"/>
  <c r="AA168" i="11"/>
  <c r="AC168" i="11"/>
  <c r="AA9" i="11"/>
  <c r="AC9" i="11" s="1"/>
  <c r="AD9" i="11" s="1"/>
  <c r="AC434" i="11"/>
  <c r="AA434" i="11"/>
  <c r="AA293" i="11"/>
  <c r="AC293" i="11"/>
  <c r="AA193" i="11"/>
  <c r="AC193" i="11"/>
  <c r="AD193" i="11" s="1"/>
  <c r="AA188" i="11"/>
  <c r="AC188" i="11"/>
  <c r="AC125" i="11"/>
  <c r="AA125" i="11"/>
  <c r="AA8" i="11"/>
  <c r="AC8" i="11" s="1"/>
  <c r="AD8" i="11" s="1"/>
  <c r="AA313" i="11"/>
  <c r="AC313" i="11"/>
  <c r="AD313" i="11" s="1"/>
  <c r="AC367" i="11"/>
  <c r="AD367" i="11" s="1"/>
  <c r="AA367" i="11"/>
  <c r="AC191" i="11"/>
  <c r="AA191" i="11"/>
  <c r="AA256" i="11"/>
  <c r="AC256" i="11"/>
  <c r="AC190" i="11"/>
  <c r="AA190" i="11"/>
  <c r="AC139" i="11"/>
  <c r="AD139" i="11" s="1"/>
  <c r="AA139" i="11"/>
  <c r="AA97" i="11"/>
  <c r="AC97" i="11" s="1"/>
  <c r="AD97" i="11" s="1"/>
  <c r="AA13" i="11"/>
  <c r="AC13" i="11" s="1"/>
  <c r="AD13" i="11" s="1"/>
  <c r="AC433" i="11"/>
  <c r="AA433" i="11"/>
  <c r="AA375" i="11"/>
  <c r="AC375" i="11"/>
  <c r="AD375" i="11" s="1"/>
  <c r="AA4" i="11"/>
  <c r="AC4" i="11" s="1"/>
  <c r="AD4" i="11" s="1"/>
  <c r="AC266" i="11"/>
  <c r="AA266" i="11"/>
  <c r="AA426" i="11"/>
  <c r="AC426" i="11"/>
  <c r="AD426" i="11" s="1"/>
  <c r="AA354" i="11"/>
  <c r="AC354" i="11"/>
  <c r="AA381" i="11"/>
  <c r="AC381" i="11"/>
  <c r="AD381" i="11" s="1"/>
  <c r="AA276" i="11"/>
  <c r="AC276" i="11"/>
  <c r="AD276" i="11" s="1"/>
  <c r="AC259" i="11"/>
  <c r="AA259" i="11"/>
  <c r="AC369" i="11"/>
  <c r="AD369" i="11" s="1"/>
  <c r="AA369" i="11"/>
  <c r="AC247" i="11"/>
  <c r="AA247" i="11"/>
  <c r="AC152" i="11"/>
  <c r="AA152" i="11"/>
  <c r="AA246" i="11"/>
  <c r="AC246" i="11"/>
  <c r="AA6" i="11"/>
  <c r="AC6" i="11"/>
  <c r="AA52" i="11"/>
  <c r="AC52" i="11"/>
  <c r="AA469" i="11"/>
  <c r="AC469" i="11"/>
  <c r="AA330" i="11"/>
  <c r="AC330" i="11"/>
  <c r="AC331" i="11"/>
  <c r="AA331" i="11"/>
  <c r="AA134" i="11"/>
  <c r="AC134" i="11"/>
  <c r="AD134" i="11" s="1"/>
  <c r="AC277" i="11"/>
  <c r="AA277" i="11"/>
  <c r="AA169" i="11"/>
  <c r="AC169" i="11"/>
  <c r="AC114" i="11"/>
  <c r="AD114" i="11" s="1"/>
  <c r="AA114" i="11"/>
  <c r="AC19" i="11"/>
  <c r="AA19" i="11"/>
  <c r="AC334" i="11"/>
  <c r="AA334" i="11"/>
  <c r="AC429" i="11"/>
  <c r="AA429" i="11"/>
  <c r="AC304" i="11"/>
  <c r="AA304" i="11"/>
  <c r="AA218" i="11"/>
  <c r="AC218" i="11"/>
  <c r="AD218" i="11" s="1"/>
  <c r="AA63" i="11"/>
  <c r="AC63" i="11" s="1"/>
  <c r="AD63" i="11" s="1"/>
  <c r="AA71" i="11"/>
  <c r="AC71" i="11"/>
  <c r="AD71" i="11" s="1"/>
  <c r="AA94" i="11"/>
  <c r="AC94" i="11"/>
  <c r="AA140" i="11"/>
  <c r="AC140" i="11" s="1"/>
  <c r="AD140" i="11" s="1"/>
  <c r="AC90" i="11"/>
  <c r="AA90" i="11"/>
  <c r="AC355" i="11"/>
  <c r="AA355" i="11"/>
  <c r="AC118" i="11"/>
  <c r="AA118" i="11"/>
  <c r="AC127" i="11"/>
  <c r="AD127" i="11" s="1"/>
  <c r="AA127" i="11"/>
  <c r="AC138" i="11"/>
  <c r="AA138" i="11"/>
  <c r="AC37" i="11"/>
  <c r="AA37" i="11"/>
  <c r="AA43" i="11"/>
  <c r="AC43" i="11"/>
  <c r="AA423" i="11"/>
  <c r="AC423" i="11"/>
  <c r="AC358" i="11"/>
  <c r="AA358" i="11"/>
  <c r="AA421" i="11"/>
  <c r="AC421" i="11"/>
  <c r="AA201" i="11"/>
  <c r="AC201" i="11" s="1"/>
  <c r="AD201" i="11" s="1"/>
  <c r="AC179" i="11"/>
  <c r="AD179" i="11" s="1"/>
  <c r="AA179" i="11"/>
  <c r="AA7" i="11"/>
  <c r="AC7" i="11" s="1"/>
  <c r="AD7" i="11" s="1"/>
  <c r="AA86" i="11"/>
  <c r="AC86" i="11" s="1"/>
  <c r="AD86" i="11" s="1"/>
  <c r="AA132" i="11"/>
  <c r="AC132" i="11" s="1"/>
  <c r="AD132" i="11" s="1"/>
  <c r="AA122" i="11"/>
  <c r="AC122" i="11" s="1"/>
  <c r="AD122" i="11" s="1"/>
  <c r="AC195" i="11"/>
  <c r="AA195" i="11"/>
  <c r="AC402" i="11"/>
  <c r="AA402" i="11"/>
  <c r="AA448" i="11"/>
  <c r="AC448" i="11"/>
  <c r="AA217" i="11"/>
  <c r="AC217" i="11"/>
  <c r="AA93" i="11"/>
  <c r="AC93" i="11" s="1"/>
  <c r="AD93" i="11" s="1"/>
  <c r="AC99" i="11"/>
  <c r="AA99" i="11"/>
  <c r="AC460" i="11"/>
  <c r="AD460" i="11" s="1"/>
  <c r="AA460" i="11"/>
  <c r="AC344" i="11"/>
  <c r="AA344" i="11"/>
  <c r="AC283" i="11"/>
  <c r="AA283" i="11"/>
  <c r="AC335" i="11"/>
  <c r="AA335" i="11"/>
  <c r="AC158" i="11"/>
  <c r="AD158" i="11" s="1"/>
  <c r="AA158" i="11"/>
  <c r="AC224" i="11"/>
  <c r="AA224" i="11"/>
  <c r="AA159" i="11"/>
  <c r="AC159" i="11"/>
  <c r="AD159" i="11" s="1"/>
  <c r="AC65" i="11"/>
  <c r="AA65" i="11"/>
  <c r="AA23" i="11"/>
  <c r="AC23" i="11"/>
  <c r="AA430" i="11"/>
  <c r="AC430" i="11"/>
  <c r="AD430" i="11" s="1"/>
  <c r="AA15" i="11"/>
  <c r="AC15" i="11" s="1"/>
  <c r="AD15" i="11" s="1"/>
  <c r="AA79" i="11"/>
  <c r="AC79" i="11"/>
  <c r="AD79" i="11" s="1"/>
  <c r="AC336" i="11"/>
  <c r="AA336" i="11"/>
  <c r="AA250" i="11"/>
  <c r="AC250" i="11"/>
  <c r="AA26" i="11"/>
  <c r="AC26" i="11" s="1"/>
  <c r="AD26" i="11" s="1"/>
  <c r="AA431" i="11"/>
  <c r="AC431" i="11"/>
  <c r="AA337" i="11"/>
  <c r="AC337" i="11"/>
  <c r="AA391" i="11"/>
  <c r="AC391" i="11"/>
  <c r="AC215" i="11"/>
  <c r="AA215" i="11"/>
  <c r="AA280" i="11"/>
  <c r="AC280" i="11"/>
  <c r="AA214" i="11"/>
  <c r="AC214" i="11"/>
  <c r="AC121" i="11"/>
  <c r="AD121" i="11" s="1"/>
  <c r="AA121" i="11"/>
  <c r="AA20" i="11"/>
  <c r="AC20" i="11"/>
  <c r="AD20" i="11" s="1"/>
  <c r="AC386" i="11"/>
  <c r="AD386" i="11" s="1"/>
  <c r="AA386" i="11"/>
  <c r="AA338" i="11"/>
  <c r="AC338" i="11"/>
  <c r="AC299" i="11"/>
  <c r="AD299" i="11" s="1"/>
  <c r="AA299" i="11"/>
  <c r="AC364" i="11"/>
  <c r="AA364" i="11"/>
  <c r="AA235" i="11"/>
  <c r="AC235" i="11"/>
  <c r="AC245" i="11"/>
  <c r="AA245" i="11"/>
  <c r="AA82" i="11"/>
  <c r="AC82" i="11" s="1"/>
  <c r="AD82" i="11" s="1"/>
  <c r="AA120" i="11"/>
  <c r="AC120" i="11" s="1"/>
  <c r="AD120" i="11" s="1"/>
  <c r="AC212" i="11"/>
  <c r="AA212" i="11"/>
  <c r="AA439" i="11"/>
  <c r="AC439" i="11"/>
  <c r="AD439" i="11" s="1"/>
  <c r="AC294" i="11"/>
  <c r="AA294" i="11"/>
  <c r="AA397" i="11"/>
  <c r="AC397" i="11"/>
  <c r="AC209" i="11"/>
  <c r="AA209" i="11"/>
  <c r="AA62" i="11"/>
  <c r="AC62" i="11" s="1"/>
  <c r="AD62" i="11" s="1"/>
  <c r="AC108" i="11"/>
  <c r="AA108" i="11"/>
  <c r="AA32" i="11"/>
  <c r="AC32" i="11" s="1"/>
  <c r="AD32" i="11" s="1"/>
  <c r="AA449" i="11"/>
  <c r="AC449" i="11"/>
  <c r="AA323" i="11"/>
  <c r="AC323" i="11"/>
  <c r="AD323" i="11" s="1"/>
  <c r="AC388" i="11"/>
  <c r="AA388" i="11"/>
  <c r="AA269" i="11"/>
  <c r="AC269" i="11"/>
  <c r="AA161" i="11"/>
  <c r="AC161" i="11"/>
  <c r="AA106" i="11"/>
  <c r="AC106" i="11"/>
  <c r="AA144" i="11"/>
  <c r="AC144" i="11"/>
  <c r="AA11" i="11"/>
  <c r="AC11" i="11" s="1"/>
  <c r="AD11" i="11" s="1"/>
  <c r="AC203" i="11"/>
  <c r="AA203" i="11"/>
  <c r="AA87" i="11"/>
  <c r="AC87" i="11"/>
  <c r="AD87" i="11" s="1"/>
  <c r="AA54" i="11"/>
  <c r="AC54" i="11" s="1"/>
  <c r="AD54" i="11" s="1"/>
  <c r="AC100" i="11"/>
  <c r="AA100" i="11"/>
  <c r="AC117" i="11"/>
  <c r="AA117" i="11"/>
  <c r="AA416" i="11"/>
  <c r="AC416" i="11"/>
  <c r="AC379" i="11"/>
  <c r="AD379" i="11" s="1"/>
  <c r="AA379" i="11"/>
  <c r="AA61" i="11"/>
  <c r="AC61" i="11" s="1"/>
  <c r="AD61" i="11" s="1"/>
  <c r="AA67" i="11"/>
  <c r="AC67" i="11"/>
  <c r="AC189" i="11"/>
  <c r="AA189" i="11"/>
  <c r="AC428" i="11"/>
  <c r="AA428" i="11"/>
  <c r="AC366" i="11"/>
  <c r="AA366" i="11"/>
  <c r="AC303" i="11"/>
  <c r="AA303" i="11"/>
  <c r="AA192" i="11"/>
  <c r="AC192" i="11"/>
  <c r="AA47" i="11"/>
  <c r="AC47" i="11"/>
  <c r="AD47" i="11" s="1"/>
  <c r="AA33" i="11"/>
  <c r="AC33" i="11"/>
  <c r="AC321" i="11"/>
  <c r="AA321" i="11"/>
  <c r="AA104" i="11"/>
  <c r="AC104" i="11"/>
  <c r="AC92" i="11"/>
  <c r="AA92" i="11"/>
  <c r="AA458" i="11"/>
  <c r="AC458" i="11"/>
  <c r="AA384" i="11"/>
  <c r="AC384" i="11"/>
  <c r="AD384" i="11" s="1"/>
  <c r="AC408" i="11"/>
  <c r="AA408" i="11"/>
  <c r="AC340" i="11"/>
  <c r="AA340" i="11"/>
  <c r="AC53" i="11"/>
  <c r="AD53" i="11" s="1"/>
  <c r="AA53" i="11"/>
  <c r="AC286" i="11"/>
  <c r="AA286" i="11"/>
  <c r="AC187" i="11"/>
  <c r="AA187" i="11"/>
  <c r="AC305" i="11"/>
  <c r="AA305" i="11"/>
  <c r="AA359" i="11"/>
  <c r="AC359" i="11"/>
  <c r="AC183" i="11"/>
  <c r="AA183" i="11"/>
  <c r="AA248" i="11"/>
  <c r="AC248" i="11"/>
  <c r="AD248" i="11" s="1"/>
  <c r="AA182" i="11"/>
  <c r="AC182" i="11"/>
  <c r="AD182" i="11" s="1"/>
  <c r="AA89" i="11"/>
  <c r="AC89" i="11"/>
  <c r="AC221" i="11"/>
  <c r="AA221" i="11"/>
  <c r="AC454" i="11"/>
  <c r="AA454" i="11"/>
  <c r="AC298" i="11"/>
  <c r="AA298" i="11"/>
  <c r="AC373" i="11"/>
  <c r="AD373" i="11" s="1"/>
  <c r="AA373" i="11"/>
  <c r="AC233" i="11"/>
  <c r="AA233" i="11"/>
  <c r="AC332" i="11"/>
  <c r="AD332" i="11" s="1"/>
  <c r="AA332" i="11"/>
  <c r="AC213" i="11"/>
  <c r="AA213" i="11"/>
  <c r="AC268" i="11"/>
  <c r="AA268" i="11"/>
  <c r="AC50" i="11"/>
  <c r="AA50" i="11"/>
  <c r="AA88" i="11"/>
  <c r="AC88" i="11"/>
  <c r="AD88" i="11" s="1"/>
  <c r="AA58" i="11"/>
  <c r="AC58" i="11"/>
  <c r="AD58" i="11" s="1"/>
  <c r="AA322" i="11"/>
  <c r="AC322" i="11"/>
  <c r="AC211" i="11"/>
  <c r="AA211" i="11"/>
  <c r="AA271" i="11"/>
  <c r="AC271" i="11"/>
  <c r="AC270" i="11"/>
  <c r="AA270" i="11"/>
  <c r="AA30" i="11"/>
  <c r="AC30" i="11"/>
  <c r="AA76" i="11"/>
  <c r="AC76" i="11" s="1"/>
  <c r="AD76" i="11" s="1"/>
  <c r="AC362" i="11"/>
  <c r="AA362" i="11"/>
  <c r="AC291" i="11"/>
  <c r="AD291" i="11" s="1"/>
  <c r="AA291" i="11"/>
  <c r="AA356" i="11"/>
  <c r="AC356" i="11"/>
  <c r="AA237" i="11"/>
  <c r="AC237" i="11"/>
  <c r="AA74" i="11"/>
  <c r="AC74" i="11" s="1"/>
  <c r="AD74" i="11" s="1"/>
  <c r="AA112" i="11"/>
  <c r="AC112" i="11"/>
  <c r="AD112" i="11" s="1"/>
  <c r="AA180" i="11"/>
  <c r="AC180" i="11"/>
  <c r="AA417" i="11"/>
  <c r="AC417" i="11"/>
  <c r="AC273" i="11"/>
  <c r="AA273" i="11"/>
  <c r="AA263" i="11"/>
  <c r="AC263" i="11"/>
  <c r="AC262" i="11"/>
  <c r="AA262" i="11"/>
  <c r="AA22" i="11"/>
  <c r="AC22" i="11" s="1"/>
  <c r="AD22" i="11" s="1"/>
  <c r="AA68" i="11"/>
  <c r="AC68" i="11"/>
  <c r="AD68" i="11" s="1"/>
  <c r="AA64" i="11"/>
  <c r="AC64" i="11"/>
  <c r="AA435" i="11"/>
  <c r="AD435" i="11" s="1"/>
  <c r="AC435" i="11"/>
  <c r="AA399" i="11"/>
  <c r="AC399" i="11"/>
  <c r="AC347" i="11"/>
  <c r="AA347" i="11"/>
  <c r="AA202" i="11"/>
  <c r="AC202" i="11"/>
  <c r="AD202" i="11" s="1"/>
  <c r="AA55" i="11"/>
  <c r="AC55" i="11" s="1"/>
  <c r="AD55" i="11" s="1"/>
  <c r="AA130" i="11"/>
  <c r="AC130" i="11" s="1"/>
  <c r="AD130" i="11" s="1"/>
  <c r="AC29" i="11"/>
  <c r="AA29" i="11"/>
  <c r="AA35" i="11"/>
  <c r="AC35" i="11"/>
  <c r="AA441" i="11"/>
  <c r="AC441" i="11"/>
  <c r="AD441" i="11" s="1"/>
  <c r="AC415" i="11"/>
  <c r="AD415" i="11" s="1"/>
  <c r="AA415" i="11"/>
  <c r="AA396" i="11"/>
  <c r="AC396" i="11"/>
  <c r="AA445" i="11"/>
  <c r="AC445" i="11"/>
  <c r="AD445" i="11" s="1"/>
  <c r="AA265" i="11"/>
  <c r="AC265" i="11"/>
  <c r="AD265" i="11" s="1"/>
  <c r="AA151" i="11"/>
  <c r="AD151" i="11" s="1"/>
  <c r="AC151" i="11"/>
  <c r="AA110" i="11"/>
  <c r="AC110" i="11"/>
  <c r="AC156" i="11"/>
  <c r="AA156" i="11"/>
  <c r="AA198" i="11"/>
  <c r="AC198" i="11"/>
  <c r="AD198" i="11" s="1"/>
  <c r="AA105" i="11"/>
  <c r="AC105" i="11"/>
  <c r="AC389" i="11"/>
  <c r="AD389" i="11" s="1"/>
  <c r="AA389" i="11"/>
  <c r="AA154" i="11"/>
  <c r="AC154" i="11"/>
  <c r="AA339" i="11"/>
  <c r="AC339" i="11"/>
  <c r="AD339" i="11" s="1"/>
  <c r="AA465" i="11"/>
  <c r="AC465" i="11"/>
  <c r="AC290" i="11"/>
  <c r="AA290" i="11"/>
  <c r="AC371" i="11"/>
  <c r="AA371" i="11"/>
  <c r="AC258" i="11"/>
  <c r="AA258" i="11"/>
  <c r="AD258" i="11" s="1"/>
  <c r="AA257" i="11"/>
  <c r="AC257" i="11"/>
  <c r="AC155" i="11"/>
  <c r="AA155" i="11"/>
  <c r="AC123" i="11"/>
  <c r="AA123" i="11"/>
  <c r="AA452" i="11"/>
  <c r="AC452" i="11"/>
  <c r="AD452" i="11" s="1"/>
  <c r="AC314" i="11"/>
  <c r="AD314" i="11" s="1"/>
  <c r="AA314" i="11"/>
  <c r="AA327" i="11"/>
  <c r="AC327" i="11"/>
  <c r="AA147" i="11"/>
  <c r="AC147" i="11"/>
  <c r="AA216" i="11"/>
  <c r="AC216" i="11"/>
  <c r="AD216" i="11" s="1"/>
  <c r="AC57" i="11"/>
  <c r="AD57" i="11" s="1"/>
  <c r="AA57" i="11"/>
  <c r="AC457" i="11"/>
  <c r="AA457" i="11"/>
  <c r="AC422" i="11"/>
  <c r="AA422" i="11"/>
  <c r="AC341" i="11"/>
  <c r="AA341" i="11"/>
  <c r="AC300" i="11"/>
  <c r="AD300" i="11" s="1"/>
  <c r="AA300" i="11"/>
  <c r="AC181" i="11"/>
  <c r="AD181" i="11" s="1"/>
  <c r="AA181" i="11"/>
  <c r="AA236" i="11"/>
  <c r="AC236" i="11"/>
  <c r="AA18" i="11"/>
  <c r="AC18" i="11" s="1"/>
  <c r="AD18" i="11" s="1"/>
  <c r="AA56" i="11"/>
  <c r="AC56" i="11" s="1"/>
  <c r="AD56" i="11" s="1"/>
  <c r="AA128" i="11"/>
  <c r="AC128" i="11"/>
  <c r="AC443" i="11"/>
  <c r="AA443" i="11"/>
  <c r="AC390" i="11"/>
  <c r="AA390" i="11"/>
  <c r="AA407" i="11"/>
  <c r="AC407" i="11"/>
  <c r="AD407" i="11" s="1"/>
  <c r="AC361" i="11"/>
  <c r="AA361" i="11"/>
  <c r="AC227" i="11"/>
  <c r="AA227" i="11"/>
  <c r="AC239" i="11"/>
  <c r="AA239" i="11"/>
  <c r="AC238" i="11"/>
  <c r="AA238" i="11"/>
  <c r="AC145" i="11"/>
  <c r="AD145" i="11" s="1"/>
  <c r="AA145" i="11"/>
  <c r="AC44" i="11"/>
  <c r="AD44" i="11" s="1"/>
  <c r="AA44" i="11"/>
  <c r="AA427" i="11"/>
  <c r="AC427" i="11"/>
  <c r="AC446" i="11"/>
  <c r="AA446" i="11"/>
  <c r="AC275" i="11"/>
  <c r="AD275" i="11" s="1"/>
  <c r="AA275" i="11"/>
  <c r="AC365" i="11"/>
  <c r="AD365" i="11" s="1"/>
  <c r="AA365" i="11"/>
  <c r="AA324" i="11"/>
  <c r="AC324" i="11"/>
  <c r="AA205" i="11"/>
  <c r="AC205" i="11"/>
  <c r="AD205" i="11" s="1"/>
  <c r="AC260" i="11"/>
  <c r="AD260" i="11" s="1"/>
  <c r="AA260" i="11"/>
  <c r="AA42" i="11"/>
  <c r="AC42" i="11" s="1"/>
  <c r="AD42" i="11" s="1"/>
  <c r="AA80" i="11"/>
  <c r="AC80" i="11"/>
  <c r="AD80" i="11" s="1"/>
  <c r="AA149" i="11"/>
  <c r="AC149" i="11"/>
  <c r="AD149" i="11" s="1"/>
  <c r="AC455" i="11"/>
  <c r="AD455" i="11" s="1"/>
  <c r="AA455" i="11"/>
  <c r="AC376" i="11"/>
  <c r="AA376" i="11"/>
  <c r="AC353" i="11"/>
  <c r="AA353" i="11"/>
  <c r="AC231" i="11"/>
  <c r="AA231" i="11"/>
  <c r="AA103" i="11"/>
  <c r="AC103" i="11"/>
  <c r="AD103" i="11" s="1"/>
  <c r="AA230" i="11"/>
  <c r="AC230" i="11"/>
  <c r="AD230" i="11" s="1"/>
  <c r="AC137" i="11"/>
  <c r="AA137" i="11"/>
  <c r="AA36" i="11"/>
  <c r="AC36" i="11"/>
  <c r="AD36" i="11" s="1"/>
  <c r="AC27" i="11"/>
  <c r="AD27" i="11" s="1"/>
  <c r="AA27" i="11"/>
  <c r="AC419" i="11"/>
  <c r="AA419" i="11"/>
  <c r="AA296" i="11"/>
  <c r="AC296" i="11"/>
  <c r="AD296" i="11" s="1"/>
  <c r="AA315" i="11"/>
  <c r="AC315" i="11"/>
  <c r="AD315" i="11" s="1"/>
  <c r="AA380" i="11"/>
  <c r="AC380" i="11"/>
  <c r="AD380" i="11" s="1"/>
  <c r="AA261" i="11"/>
  <c r="AC261" i="11" s="1"/>
  <c r="AD261" i="11" s="1"/>
  <c r="AC98" i="11"/>
  <c r="AD98" i="11" s="1"/>
  <c r="AA98" i="11"/>
  <c r="AC136" i="11"/>
  <c r="AA136" i="11"/>
  <c r="AA131" i="11"/>
  <c r="AC131" i="11"/>
  <c r="AD131" i="11" s="1"/>
  <c r="AC403" i="11"/>
  <c r="AD403" i="11" s="1"/>
  <c r="AA403" i="11"/>
  <c r="AC413" i="11"/>
  <c r="AD413" i="11" s="1"/>
  <c r="AA413" i="11"/>
  <c r="AA267" i="11"/>
  <c r="AC267" i="11"/>
  <c r="AD267" i="11" s="1"/>
  <c r="AC170" i="11"/>
  <c r="AA170" i="11"/>
  <c r="AC171" i="11"/>
  <c r="AD171" i="11" s="1"/>
  <c r="AA171" i="11"/>
  <c r="AC78" i="11"/>
  <c r="AD78" i="11" s="1"/>
  <c r="AA78" i="11"/>
  <c r="AA124" i="11"/>
  <c r="AC124" i="11"/>
  <c r="AD124" i="11" s="1"/>
  <c r="Y15" i="11"/>
  <c r="AD92" i="11"/>
  <c r="AD65" i="11"/>
  <c r="AD224" i="11"/>
  <c r="AD191" i="11"/>
  <c r="AD283" i="11"/>
  <c r="AD99" i="11"/>
  <c r="AD136" i="11"/>
  <c r="AD399" i="11"/>
  <c r="AD241" i="11"/>
  <c r="AD64" i="11"/>
  <c r="AD231" i="11"/>
  <c r="AD343" i="11"/>
  <c r="AD453" i="11"/>
  <c r="AD404" i="11"/>
  <c r="AD423" i="11"/>
  <c r="AD285" i="11"/>
  <c r="AD16" i="11"/>
  <c r="AD144" i="11"/>
  <c r="AD138" i="11"/>
  <c r="AD388" i="11"/>
  <c r="AD355" i="11"/>
  <c r="AD318" i="11"/>
  <c r="AD244" i="11"/>
  <c r="AD146" i="11"/>
  <c r="AD236" i="11"/>
  <c r="AD143" i="11"/>
  <c r="AD330" i="11"/>
  <c r="AD469" i="11"/>
  <c r="AD451" i="11"/>
  <c r="AD278" i="11"/>
  <c r="AD226" i="11"/>
  <c r="AD391" i="11"/>
  <c r="AD405" i="11"/>
  <c r="AD188" i="11"/>
  <c r="AD263" i="11"/>
  <c r="AD161" i="11"/>
  <c r="AD237" i="11"/>
  <c r="AD387" i="11"/>
  <c r="AD374" i="11"/>
  <c r="AD449" i="11"/>
  <c r="AD287" i="11"/>
  <c r="AD227" i="11"/>
  <c r="AD211" i="11"/>
  <c r="AD326" i="11"/>
  <c r="AD429" i="11"/>
  <c r="AD412" i="11"/>
  <c r="AD390" i="11"/>
  <c r="AD212" i="11"/>
  <c r="AD281" i="11"/>
  <c r="AD303" i="11"/>
  <c r="AD302" i="11"/>
  <c r="AD366" i="11"/>
  <c r="AD428" i="11"/>
  <c r="AD401" i="11"/>
  <c r="AD91" i="11"/>
  <c r="AD189" i="11"/>
  <c r="AD29" i="11"/>
  <c r="AD34" i="11"/>
  <c r="AD197" i="11"/>
  <c r="AD274" i="11"/>
  <c r="AD347" i="11"/>
  <c r="AD325" i="11"/>
  <c r="AD402" i="11"/>
  <c r="AD195" i="11"/>
  <c r="AD419" i="11"/>
  <c r="AD117" i="11"/>
  <c r="AD105" i="11"/>
  <c r="AD353" i="11"/>
  <c r="AD177" i="11"/>
  <c r="AD433" i="11"/>
  <c r="AD43" i="11"/>
  <c r="AD37" i="11"/>
  <c r="AD196" i="11"/>
  <c r="AD269" i="11"/>
  <c r="AD324" i="11"/>
  <c r="AD410" i="11"/>
  <c r="AD427" i="11"/>
  <c r="AD49" i="11"/>
  <c r="AD270" i="11"/>
  <c r="AD272" i="11"/>
  <c r="AD271" i="11"/>
  <c r="AD297" i="11"/>
  <c r="AD150" i="11"/>
  <c r="AD444" i="11"/>
  <c r="AD153" i="11"/>
  <c r="AD115" i="11"/>
  <c r="AD268" i="11"/>
  <c r="AD213" i="11"/>
  <c r="AD331" i="11"/>
  <c r="AD341" i="11"/>
  <c r="AD298" i="11"/>
  <c r="AD454" i="11"/>
  <c r="AD457" i="11"/>
  <c r="AD215" i="11"/>
  <c r="AD187" i="11"/>
  <c r="AD39" i="11"/>
  <c r="AD255" i="11"/>
  <c r="AD345" i="11"/>
  <c r="AD35" i="11"/>
  <c r="AD72" i="11"/>
  <c r="AD162" i="11"/>
  <c r="AD448" i="11"/>
  <c r="AD100" i="11"/>
  <c r="AD111" i="11"/>
  <c r="AD262" i="11"/>
  <c r="AD200" i="11"/>
  <c r="AD282" i="11"/>
  <c r="AD203" i="11"/>
  <c r="AD273" i="11"/>
  <c r="AD468" i="11"/>
  <c r="AD174" i="11"/>
  <c r="AD172" i="11"/>
  <c r="AD169" i="11"/>
  <c r="AD249" i="11"/>
  <c r="AD432" i="11"/>
  <c r="AD447" i="11"/>
  <c r="AD52" i="11"/>
  <c r="AD214" i="11"/>
  <c r="AD184" i="11"/>
  <c r="AD327" i="11"/>
  <c r="AD465" i="11"/>
  <c r="AD336" i="11"/>
  <c r="AD371" i="11"/>
  <c r="AD440" i="11"/>
  <c r="AD60" i="11"/>
  <c r="AD33" i="11"/>
  <c r="AD192" i="11"/>
  <c r="AD377" i="11"/>
  <c r="AD154" i="11"/>
  <c r="AD67" i="11"/>
  <c r="AD104" i="11"/>
  <c r="AD284" i="11"/>
  <c r="AD217" i="11"/>
  <c r="AD253" i="11"/>
  <c r="AD137" i="11"/>
  <c r="AD232" i="11"/>
  <c r="AD199" i="11"/>
  <c r="AD311" i="11"/>
  <c r="AD421" i="11"/>
  <c r="AD243" i="11"/>
  <c r="AD417" i="11"/>
  <c r="AD180" i="11"/>
  <c r="AD107" i="11"/>
  <c r="AD106" i="11"/>
  <c r="AD173" i="11"/>
  <c r="AD456" i="11"/>
  <c r="AD442" i="11"/>
  <c r="AD108" i="11"/>
  <c r="AD209" i="11"/>
  <c r="AD351" i="11"/>
  <c r="AD329" i="11"/>
  <c r="AD19" i="11"/>
  <c r="AD178" i="11"/>
  <c r="AD338" i="11"/>
  <c r="AD464" i="11"/>
  <c r="AD463" i="11"/>
  <c r="AD135" i="11"/>
  <c r="AD89" i="11"/>
  <c r="AD246" i="11"/>
  <c r="AD147" i="11"/>
  <c r="AD359" i="11"/>
  <c r="AD337" i="11"/>
  <c r="AD352" i="11"/>
  <c r="AD431" i="11"/>
  <c r="AD155" i="11"/>
  <c r="AD328" i="11"/>
  <c r="AD266" i="11"/>
  <c r="AD408" i="11"/>
  <c r="AD208" i="11"/>
  <c r="AD207" i="11"/>
  <c r="AD361" i="11"/>
  <c r="AD304" i="11"/>
  <c r="AD294" i="11"/>
  <c r="AD312" i="11"/>
  <c r="AD443" i="11"/>
  <c r="AD102" i="11"/>
  <c r="AD340" i="11"/>
  <c r="AD462" i="11"/>
  <c r="AD372" i="11"/>
  <c r="AD290" i="11"/>
  <c r="C65" i="136"/>
  <c r="B10" i="136"/>
  <c r="B7" i="136"/>
  <c r="B9" i="136"/>
  <c r="D8" i="136"/>
  <c r="D32" i="136"/>
  <c r="B60" i="136"/>
  <c r="B9" i="135"/>
  <c r="B59" i="135"/>
  <c r="B8" i="135" s="1"/>
  <c r="B10" i="135"/>
  <c r="B7" i="135"/>
  <c r="B60" i="135"/>
  <c r="B60" i="134"/>
  <c r="B9" i="134"/>
  <c r="B10" i="134"/>
  <c r="B7" i="134"/>
  <c r="B7" i="133"/>
  <c r="B9" i="133"/>
  <c r="B10" i="133"/>
  <c r="B60" i="133"/>
  <c r="B59" i="133"/>
  <c r="B8" i="133" s="1"/>
  <c r="B9" i="132"/>
  <c r="B7" i="132"/>
  <c r="B10" i="132"/>
  <c r="B60" i="132"/>
  <c r="B59" i="132"/>
  <c r="B8" i="132" s="1"/>
  <c r="B7" i="131"/>
  <c r="B10" i="131"/>
  <c r="B9" i="131"/>
  <c r="B60" i="131"/>
  <c r="B59" i="131"/>
  <c r="B8" i="131" s="1"/>
  <c r="E8" i="129"/>
  <c r="B57" i="130"/>
  <c r="B54" i="130"/>
  <c r="B55" i="130" s="1"/>
  <c r="I8" i="129"/>
  <c r="R101" i="128"/>
  <c r="J100" i="128"/>
  <c r="J105" i="128" s="1"/>
  <c r="J107" i="128" s="1"/>
  <c r="R98" i="128"/>
  <c r="O97" i="128"/>
  <c r="J91" i="128"/>
  <c r="J92" i="128" s="1"/>
  <c r="T88" i="128"/>
  <c r="T89" i="128" s="1"/>
  <c r="T87" i="128"/>
  <c r="R87" i="128"/>
  <c r="L82" i="128"/>
  <c r="J82" i="128"/>
  <c r="L80" i="128"/>
  <c r="J80" i="128"/>
  <c r="R72" i="128"/>
  <c r="R70" i="128"/>
  <c r="O65" i="128"/>
  <c r="J62" i="128"/>
  <c r="T58" i="128"/>
  <c r="R58" i="128"/>
  <c r="R62" i="128" s="1"/>
  <c r="L46" i="128"/>
  <c r="L44" i="128"/>
  <c r="L43" i="128"/>
  <c r="R39" i="128"/>
  <c r="R40" i="128" s="1"/>
  <c r="L36" i="128"/>
  <c r="L37" i="128" s="1"/>
  <c r="T35" i="128"/>
  <c r="T36" i="128" s="1"/>
  <c r="T37" i="128" s="1"/>
  <c r="R35" i="128"/>
  <c r="R18" i="128"/>
  <c r="R17" i="128"/>
  <c r="O12" i="128"/>
  <c r="J9" i="128"/>
  <c r="J10" i="128" s="1"/>
  <c r="T5" i="128"/>
  <c r="T6" i="128" s="1"/>
  <c r="T7" i="128" s="1"/>
  <c r="R5" i="128"/>
  <c r="R9" i="128" s="1"/>
  <c r="D3" i="128"/>
  <c r="R97" i="128" s="1"/>
  <c r="F2" i="128"/>
  <c r="D2" i="128" s="1"/>
  <c r="B57" i="127"/>
  <c r="B55" i="127"/>
  <c r="B54" i="127"/>
  <c r="B57" i="126"/>
  <c r="B54" i="126"/>
  <c r="B55" i="126" s="1"/>
  <c r="B57" i="125"/>
  <c r="B54" i="125"/>
  <c r="B55" i="125" s="1"/>
  <c r="E8" i="124"/>
  <c r="I8" i="124"/>
  <c r="T100" i="123"/>
  <c r="L99" i="123"/>
  <c r="O97" i="123"/>
  <c r="T91" i="123"/>
  <c r="T92" i="123" s="1"/>
  <c r="T87" i="123"/>
  <c r="R87" i="123"/>
  <c r="W97" i="123" s="1"/>
  <c r="L80" i="123"/>
  <c r="L82" i="123" s="1"/>
  <c r="J80" i="123"/>
  <c r="J82" i="123" s="1"/>
  <c r="O65" i="123"/>
  <c r="T58" i="123"/>
  <c r="R58" i="123"/>
  <c r="R59" i="123" s="1"/>
  <c r="R60" i="123" s="1"/>
  <c r="J45" i="123"/>
  <c r="T35" i="123"/>
  <c r="R35" i="123"/>
  <c r="T12" i="123"/>
  <c r="O12" i="123"/>
  <c r="T5" i="123"/>
  <c r="R5" i="123"/>
  <c r="F3" i="123"/>
  <c r="B5" i="124" s="1"/>
  <c r="F2" i="123"/>
  <c r="B3" i="124" s="1"/>
  <c r="D2" i="123"/>
  <c r="T97" i="123" s="1"/>
  <c r="B57" i="122"/>
  <c r="B55" i="122"/>
  <c r="B54" i="122"/>
  <c r="B57" i="121"/>
  <c r="B54" i="121"/>
  <c r="B55" i="121" s="1"/>
  <c r="AD94" i="11" l="1"/>
  <c r="AD256" i="11"/>
  <c r="AD51" i="11"/>
  <c r="AD119" i="11"/>
  <c r="AD170" i="11"/>
  <c r="AD446" i="11"/>
  <c r="AD238" i="11"/>
  <c r="AD362" i="11"/>
  <c r="AD245" i="11"/>
  <c r="AD335" i="11"/>
  <c r="AD118" i="11"/>
  <c r="AD259" i="11"/>
  <c r="AD125" i="11"/>
  <c r="AD434" i="11"/>
  <c r="AD368" i="11"/>
  <c r="AD264" i="11"/>
  <c r="AD220" i="11"/>
  <c r="AD409" i="11"/>
  <c r="AD316" i="11"/>
  <c r="AD289" i="11"/>
  <c r="AD109" i="11"/>
  <c r="AD393" i="11"/>
  <c r="AD50" i="11"/>
  <c r="AD233" i="11"/>
  <c r="AD221" i="11"/>
  <c r="AD183" i="11"/>
  <c r="AD286" i="11"/>
  <c r="AD321" i="11"/>
  <c r="AD235" i="11"/>
  <c r="AD280" i="11"/>
  <c r="AD45" i="11"/>
  <c r="AD363" i="11"/>
  <c r="AD346" i="11"/>
  <c r="AD234" i="11"/>
  <c r="AD470" i="11"/>
  <c r="AD239" i="11"/>
  <c r="AD422" i="11"/>
  <c r="AD123" i="11"/>
  <c r="AD156" i="11"/>
  <c r="AD30" i="11"/>
  <c r="AD322" i="11"/>
  <c r="AD458" i="11"/>
  <c r="AD334" i="11"/>
  <c r="AD277" i="11"/>
  <c r="AD152" i="11"/>
  <c r="AD168" i="11"/>
  <c r="AD424" i="11"/>
  <c r="AD17" i="11"/>
  <c r="AD400" i="11"/>
  <c r="AD223" i="11"/>
  <c r="AD466" i="11"/>
  <c r="AD395" i="11"/>
  <c r="AD186" i="11"/>
  <c r="AD438" i="11"/>
  <c r="AD95" i="11"/>
  <c r="AD96" i="11"/>
  <c r="AD194" i="11"/>
  <c r="AD333" i="11"/>
  <c r="AD383" i="11"/>
  <c r="AD110" i="11"/>
  <c r="AD396" i="11"/>
  <c r="AD356" i="11"/>
  <c r="AD467" i="11"/>
  <c r="AD148" i="11"/>
  <c r="AD392" i="11"/>
  <c r="AD206" i="11"/>
  <c r="AD459" i="11"/>
  <c r="AD251" i="11"/>
  <c r="AD364" i="11"/>
  <c r="AD250" i="11"/>
  <c r="AD344" i="11"/>
  <c r="AD358" i="11"/>
  <c r="AD90" i="11"/>
  <c r="AD247" i="11"/>
  <c r="AD176" i="11"/>
  <c r="AD279" i="11"/>
  <c r="AD46" i="11"/>
  <c r="AD319" i="11"/>
  <c r="AD66" i="11"/>
  <c r="AD376" i="11"/>
  <c r="AD128" i="11"/>
  <c r="AD257" i="11"/>
  <c r="AD305" i="11"/>
  <c r="AD416" i="11"/>
  <c r="AD397" i="11"/>
  <c r="AD23" i="11"/>
  <c r="AD6" i="11"/>
  <c r="AD354" i="11"/>
  <c r="AD190" i="11"/>
  <c r="AD293" i="11"/>
  <c r="AD69" i="11"/>
  <c r="AD129" i="11"/>
  <c r="AD157" i="11"/>
  <c r="AD101" i="11"/>
  <c r="AD382" i="11"/>
  <c r="AD163" i="11"/>
  <c r="AD411" i="11"/>
  <c r="AD320" i="11"/>
  <c r="AD394" i="11"/>
  <c r="AD24" i="11"/>
  <c r="AD295" i="11"/>
  <c r="D9" i="136"/>
  <c r="D7" i="136"/>
  <c r="B28" i="136"/>
  <c r="B36" i="136" s="1"/>
  <c r="D10" i="136"/>
  <c r="B28" i="135"/>
  <c r="B36" i="135" s="1"/>
  <c r="B28" i="134"/>
  <c r="B36" i="134" s="1"/>
  <c r="B28" i="133"/>
  <c r="B36" i="133" s="1"/>
  <c r="B28" i="132"/>
  <c r="B36" i="132" s="1"/>
  <c r="B28" i="131"/>
  <c r="B36" i="131" s="1"/>
  <c r="L100" i="128"/>
  <c r="L105" i="128" s="1"/>
  <c r="L107" i="128" s="1"/>
  <c r="J36" i="128"/>
  <c r="M36" i="128" s="1"/>
  <c r="T9" i="128"/>
  <c r="T10" i="128" s="1"/>
  <c r="T69" i="128"/>
  <c r="J43" i="128"/>
  <c r="J97" i="128"/>
  <c r="T68" i="123"/>
  <c r="R36" i="123"/>
  <c r="R37" i="123" s="1"/>
  <c r="W68" i="123"/>
  <c r="T71" i="123"/>
  <c r="R19" i="128"/>
  <c r="R68" i="128"/>
  <c r="R88" i="128"/>
  <c r="J99" i="128"/>
  <c r="R36" i="128"/>
  <c r="R37" i="128" s="1"/>
  <c r="U37" i="128" s="1"/>
  <c r="J6" i="123"/>
  <c r="J7" i="123" s="1"/>
  <c r="J12" i="123" s="1"/>
  <c r="J14" i="123" s="1"/>
  <c r="J16" i="123" s="1"/>
  <c r="T62" i="123"/>
  <c r="T63" i="123" s="1"/>
  <c r="L9" i="123"/>
  <c r="L10" i="123" s="1"/>
  <c r="R10" i="128"/>
  <c r="U10" i="128" s="1"/>
  <c r="U9" i="128"/>
  <c r="U88" i="128"/>
  <c r="R89" i="128"/>
  <c r="U89" i="128" s="1"/>
  <c r="O98" i="128"/>
  <c r="O99" i="128" s="1"/>
  <c r="O100" i="128" s="1"/>
  <c r="M10" i="128"/>
  <c r="R63" i="128"/>
  <c r="R6" i="128"/>
  <c r="J46" i="128"/>
  <c r="J50" i="128" s="1"/>
  <c r="J52" i="128" s="1"/>
  <c r="T39" i="128"/>
  <c r="T40" i="128" s="1"/>
  <c r="U40" i="128" s="1"/>
  <c r="J59" i="128"/>
  <c r="J42" i="128"/>
  <c r="J88" i="128"/>
  <c r="R105" i="128"/>
  <c r="R107" i="128" s="1"/>
  <c r="L9" i="128"/>
  <c r="L10" i="128" s="1"/>
  <c r="R12" i="128"/>
  <c r="L42" i="128"/>
  <c r="J45" i="128"/>
  <c r="R59" i="128"/>
  <c r="T68" i="128"/>
  <c r="R71" i="128"/>
  <c r="L88" i="128"/>
  <c r="L89" i="128" s="1"/>
  <c r="R91" i="128"/>
  <c r="W97" i="128"/>
  <c r="L99" i="128"/>
  <c r="R100" i="128"/>
  <c r="R20" i="128"/>
  <c r="T62" i="128"/>
  <c r="T63" i="128" s="1"/>
  <c r="T97" i="128"/>
  <c r="J6" i="128"/>
  <c r="T12" i="128"/>
  <c r="J37" i="128"/>
  <c r="M37" i="128" s="1"/>
  <c r="O37" i="128" s="1"/>
  <c r="J39" i="128"/>
  <c r="R42" i="128"/>
  <c r="L45" i="128"/>
  <c r="T59" i="128"/>
  <c r="T60" i="128" s="1"/>
  <c r="J63" i="128"/>
  <c r="W68" i="128"/>
  <c r="T71" i="128"/>
  <c r="T91" i="128"/>
  <c r="T92" i="128" s="1"/>
  <c r="J98" i="128"/>
  <c r="T100" i="128"/>
  <c r="L97" i="128"/>
  <c r="L6" i="128"/>
  <c r="L7" i="128" s="1"/>
  <c r="L12" i="128" s="1"/>
  <c r="L14" i="128" s="1"/>
  <c r="L16" i="128" s="1"/>
  <c r="T17" i="128"/>
  <c r="L39" i="128"/>
  <c r="L40" i="128" s="1"/>
  <c r="T42" i="128"/>
  <c r="R45" i="128"/>
  <c r="R69" i="128"/>
  <c r="L98" i="128"/>
  <c r="R99" i="128"/>
  <c r="T99" i="128"/>
  <c r="L62" i="128"/>
  <c r="L63" i="128" s="1"/>
  <c r="T72" i="128"/>
  <c r="T76" i="128" s="1"/>
  <c r="T78" i="128" s="1"/>
  <c r="T18" i="128"/>
  <c r="T101" i="128"/>
  <c r="T105" i="128" s="1"/>
  <c r="T107" i="128" s="1"/>
  <c r="T43" i="128"/>
  <c r="T45" i="128" s="1"/>
  <c r="R76" i="128"/>
  <c r="R78" i="128" s="1"/>
  <c r="T98" i="128"/>
  <c r="T19" i="128"/>
  <c r="T20" i="128" s="1"/>
  <c r="J44" i="128"/>
  <c r="L47" i="128"/>
  <c r="L50" i="128" s="1"/>
  <c r="L52" i="128" s="1"/>
  <c r="L59" i="128"/>
  <c r="L60" i="128" s="1"/>
  <c r="L68" i="128" s="1"/>
  <c r="T70" i="128"/>
  <c r="L91" i="128"/>
  <c r="L92" i="128" s="1"/>
  <c r="M92" i="128" s="1"/>
  <c r="J4" i="124"/>
  <c r="I6" i="124"/>
  <c r="E6" i="124"/>
  <c r="C6" i="124"/>
  <c r="C8" i="124" s="1"/>
  <c r="F8" i="124" s="1"/>
  <c r="M8" i="124" s="1"/>
  <c r="D6" i="124"/>
  <c r="G5" i="124"/>
  <c r="E2" i="124"/>
  <c r="D2" i="124"/>
  <c r="D8" i="124" s="1"/>
  <c r="H4" i="124"/>
  <c r="C2" i="124"/>
  <c r="G3" i="124"/>
  <c r="I2" i="124"/>
  <c r="T17" i="123"/>
  <c r="L39" i="123"/>
  <c r="L40" i="123" s="1"/>
  <c r="T42" i="123"/>
  <c r="R88" i="123"/>
  <c r="L98" i="123"/>
  <c r="T9" i="123"/>
  <c r="T10" i="123" s="1"/>
  <c r="J36" i="123"/>
  <c r="J43" i="123"/>
  <c r="T69" i="123"/>
  <c r="T99" i="123"/>
  <c r="R6" i="123"/>
  <c r="T18" i="123"/>
  <c r="J46" i="123"/>
  <c r="J50" i="123" s="1"/>
  <c r="J52" i="123" s="1"/>
  <c r="L62" i="123"/>
  <c r="L63" i="123" s="1"/>
  <c r="T72" i="123"/>
  <c r="L97" i="123"/>
  <c r="T101" i="123"/>
  <c r="T105" i="123" s="1"/>
  <c r="T107" i="123" s="1"/>
  <c r="D3" i="123"/>
  <c r="T36" i="123" s="1"/>
  <c r="T39" i="123"/>
  <c r="T40" i="123" s="1"/>
  <c r="T43" i="123"/>
  <c r="T45" i="123" s="1"/>
  <c r="J59" i="123"/>
  <c r="T98" i="123"/>
  <c r="J44" i="123"/>
  <c r="T70" i="123"/>
  <c r="T76" i="123"/>
  <c r="T78" i="123" s="1"/>
  <c r="L91" i="123"/>
  <c r="L92" i="123" s="1"/>
  <c r="L100" i="123"/>
  <c r="L105" i="123" s="1"/>
  <c r="L107" i="123" s="1"/>
  <c r="T19" i="123"/>
  <c r="T20" i="123" s="1"/>
  <c r="J42" i="123"/>
  <c r="J88" i="123"/>
  <c r="AB3" i="11"/>
  <c r="L13" i="136" l="1"/>
  <c r="B48" i="136"/>
  <c r="B39" i="136"/>
  <c r="B40" i="136" s="1"/>
  <c r="D36" i="136"/>
  <c r="L7" i="136"/>
  <c r="L11" i="136"/>
  <c r="L14" i="136"/>
  <c r="L10" i="136"/>
  <c r="L12" i="136"/>
  <c r="L6" i="136"/>
  <c r="L9" i="136"/>
  <c r="D28" i="136"/>
  <c r="L8" i="136"/>
  <c r="B48" i="135"/>
  <c r="B39" i="135"/>
  <c r="B40" i="135" s="1"/>
  <c r="J13" i="135"/>
  <c r="J7" i="135"/>
  <c r="J11" i="135"/>
  <c r="J10" i="135"/>
  <c r="J6" i="135"/>
  <c r="J15" i="135" s="1"/>
  <c r="J12" i="135"/>
  <c r="J9" i="135"/>
  <c r="J14" i="135"/>
  <c r="J8" i="135"/>
  <c r="J6" i="134"/>
  <c r="J9" i="134"/>
  <c r="J12" i="134"/>
  <c r="B48" i="134"/>
  <c r="B39" i="134"/>
  <c r="B40" i="134" s="1"/>
  <c r="J13" i="134"/>
  <c r="J10" i="134"/>
  <c r="J11" i="134"/>
  <c r="J7" i="134"/>
  <c r="J14" i="134"/>
  <c r="J8" i="134"/>
  <c r="J6" i="133"/>
  <c r="J14" i="133"/>
  <c r="J8" i="133"/>
  <c r="B39" i="133"/>
  <c r="B40" i="133" s="1"/>
  <c r="B48" i="133"/>
  <c r="J11" i="133"/>
  <c r="J7" i="133"/>
  <c r="J15" i="133" s="1"/>
  <c r="J10" i="133"/>
  <c r="J13" i="133"/>
  <c r="J12" i="133"/>
  <c r="J9" i="133"/>
  <c r="B39" i="132"/>
  <c r="B40" i="132" s="1"/>
  <c r="B48" i="132"/>
  <c r="J13" i="132"/>
  <c r="J11" i="132"/>
  <c r="J10" i="132"/>
  <c r="J7" i="132"/>
  <c r="J14" i="132"/>
  <c r="J9" i="132"/>
  <c r="J12" i="132"/>
  <c r="J6" i="132"/>
  <c r="J8" i="132"/>
  <c r="B39" i="131"/>
  <c r="B40" i="131" s="1"/>
  <c r="B48" i="131"/>
  <c r="J13" i="131"/>
  <c r="J11" i="131"/>
  <c r="J10" i="131"/>
  <c r="J7" i="131"/>
  <c r="J14" i="131"/>
  <c r="J12" i="131"/>
  <c r="J9" i="131"/>
  <c r="J6" i="131"/>
  <c r="J8" i="131"/>
  <c r="Y215" i="11"/>
  <c r="Y432" i="11"/>
  <c r="Y254" i="11"/>
  <c r="Y102" i="11"/>
  <c r="Y147" i="11"/>
  <c r="Y383" i="11"/>
  <c r="Y134" i="11"/>
  <c r="Y213" i="11"/>
  <c r="Y205" i="11"/>
  <c r="Y133" i="11"/>
  <c r="Y61" i="11"/>
  <c r="Y342" i="11"/>
  <c r="Y93" i="11"/>
  <c r="Y172" i="11"/>
  <c r="Y164" i="11"/>
  <c r="Y92" i="11"/>
  <c r="Y20" i="11"/>
  <c r="Y73" i="11"/>
  <c r="Y287" i="11"/>
  <c r="Y246" i="11"/>
  <c r="Y417" i="11"/>
  <c r="Y301" i="11"/>
  <c r="Y52" i="11"/>
  <c r="Y131" i="11"/>
  <c r="Y123" i="11"/>
  <c r="Y51" i="11"/>
  <c r="Y346" i="11"/>
  <c r="Y260" i="11"/>
  <c r="Y11" i="11"/>
  <c r="Y385" i="11"/>
  <c r="Y444" i="11"/>
  <c r="Y321" i="11"/>
  <c r="Y467" i="11"/>
  <c r="Y113" i="11"/>
  <c r="Y19" i="11"/>
  <c r="Y369" i="11"/>
  <c r="Y33" i="11"/>
  <c r="Y224" i="11"/>
  <c r="Y282" i="11"/>
  <c r="Y175" i="11"/>
  <c r="Y219" i="11"/>
  <c r="Y169" i="11"/>
  <c r="Y275" i="11"/>
  <c r="Y394" i="11"/>
  <c r="Y386" i="11"/>
  <c r="Y314" i="11"/>
  <c r="Y242" i="11"/>
  <c r="Y170" i="11"/>
  <c r="Y313" i="11"/>
  <c r="Y465" i="11"/>
  <c r="Y17" i="11"/>
  <c r="Y165" i="11"/>
  <c r="Y274" i="11"/>
  <c r="Y344" i="11"/>
  <c r="Y336" i="11"/>
  <c r="Y264" i="11"/>
  <c r="Y192" i="11"/>
  <c r="Y120" i="11"/>
  <c r="Y121" i="11"/>
  <c r="Y295" i="11"/>
  <c r="Y143" i="11"/>
  <c r="Y71" i="11"/>
  <c r="Y174" i="11"/>
  <c r="Y30" i="11"/>
  <c r="Y34" i="11"/>
  <c r="Y447" i="11"/>
  <c r="Y406" i="11"/>
  <c r="Y365" i="11"/>
  <c r="Y324" i="11"/>
  <c r="Y283" i="11"/>
  <c r="Y334" i="11"/>
  <c r="Y433" i="11"/>
  <c r="Y338" i="11"/>
  <c r="Y288" i="11"/>
  <c r="Y239" i="11"/>
  <c r="Y198" i="11"/>
  <c r="Y157" i="11"/>
  <c r="Y116" i="11"/>
  <c r="Y75" i="11"/>
  <c r="Y316" i="11"/>
  <c r="Y458" i="11"/>
  <c r="Y408" i="11"/>
  <c r="Y359" i="11"/>
  <c r="Y318" i="11"/>
  <c r="Y277" i="11"/>
  <c r="Y236" i="11"/>
  <c r="Y195" i="11"/>
  <c r="Y357" i="11"/>
  <c r="Y450" i="11"/>
  <c r="Y400" i="11"/>
  <c r="Y351" i="11"/>
  <c r="Y310" i="11"/>
  <c r="Y269" i="11"/>
  <c r="Y228" i="11"/>
  <c r="Y187" i="11"/>
  <c r="Y252" i="11"/>
  <c r="Y257" i="11"/>
  <c r="Y378" i="11"/>
  <c r="Y328" i="11"/>
  <c r="Y279" i="11"/>
  <c r="Y238" i="11"/>
  <c r="Y197" i="11"/>
  <c r="Y156" i="11"/>
  <c r="Y115" i="11"/>
  <c r="Y188" i="11"/>
  <c r="Y425" i="11"/>
  <c r="Y306" i="11"/>
  <c r="Y256" i="11"/>
  <c r="Y207" i="11"/>
  <c r="Y166" i="11"/>
  <c r="Y125" i="11"/>
  <c r="Y84" i="11"/>
  <c r="Y43" i="11"/>
  <c r="Y241" i="11"/>
  <c r="Y234" i="11"/>
  <c r="Y184" i="11"/>
  <c r="Y135" i="11"/>
  <c r="Y94" i="11"/>
  <c r="Y53" i="11"/>
  <c r="Y12" i="11"/>
  <c r="Y460" i="11"/>
  <c r="Y419" i="11"/>
  <c r="Y296" i="11"/>
  <c r="Y441" i="11"/>
  <c r="Y418" i="11"/>
  <c r="Y368" i="11"/>
  <c r="Y319" i="11"/>
  <c r="Y278" i="11"/>
  <c r="Y237" i="11"/>
  <c r="Y196" i="11"/>
  <c r="Y155" i="11"/>
  <c r="Y403" i="11"/>
  <c r="Y353" i="11"/>
  <c r="Y210" i="11"/>
  <c r="Y160" i="11"/>
  <c r="Y111" i="11"/>
  <c r="Y70" i="11"/>
  <c r="Y29" i="11"/>
  <c r="Y459" i="11"/>
  <c r="Y9" i="11"/>
  <c r="Y305" i="11"/>
  <c r="Y330" i="11"/>
  <c r="Y280" i="11"/>
  <c r="Y231" i="11"/>
  <c r="Y190" i="11"/>
  <c r="Y149" i="11"/>
  <c r="Y108" i="11"/>
  <c r="Y67" i="11"/>
  <c r="Y60" i="11"/>
  <c r="Y177" i="11"/>
  <c r="Y322" i="11"/>
  <c r="Y272" i="11"/>
  <c r="Y223" i="11"/>
  <c r="Y182" i="11"/>
  <c r="Y141" i="11"/>
  <c r="Y100" i="11"/>
  <c r="Y59" i="11"/>
  <c r="Y211" i="11"/>
  <c r="Y377" i="11"/>
  <c r="Y250" i="11"/>
  <c r="Y200" i="11"/>
  <c r="Y151" i="11"/>
  <c r="Y110" i="11"/>
  <c r="Y69" i="11"/>
  <c r="Y28" i="11"/>
  <c r="Y218" i="11"/>
  <c r="Y97" i="11"/>
  <c r="Y178" i="11"/>
  <c r="Y128" i="11"/>
  <c r="Y79" i="11"/>
  <c r="Y38" i="11"/>
  <c r="Y468" i="11"/>
  <c r="Y427" i="11"/>
  <c r="Y40" i="11"/>
  <c r="Y25" i="11"/>
  <c r="Y106" i="11"/>
  <c r="Y56" i="11"/>
  <c r="Y7" i="11"/>
  <c r="Y437" i="11"/>
  <c r="Y396" i="11"/>
  <c r="Y355" i="11"/>
  <c r="Y55" i="11"/>
  <c r="Y65" i="11"/>
  <c r="Y354" i="11"/>
  <c r="Y304" i="11"/>
  <c r="Y255" i="11"/>
  <c r="Y214" i="11"/>
  <c r="Y173" i="11"/>
  <c r="Y132" i="11"/>
  <c r="Y91" i="11"/>
  <c r="Y345" i="11"/>
  <c r="Y146" i="11"/>
  <c r="Y96" i="11"/>
  <c r="Y47" i="11"/>
  <c r="Y6" i="11"/>
  <c r="Y436" i="11"/>
  <c r="Y395" i="11"/>
  <c r="Y90" i="11"/>
  <c r="Y105" i="11"/>
  <c r="Y266" i="11"/>
  <c r="Y216" i="11"/>
  <c r="Y167" i="11"/>
  <c r="Y126" i="11"/>
  <c r="Y85" i="11"/>
  <c r="Y44" i="11"/>
  <c r="Y3" i="11"/>
  <c r="Y83" i="11"/>
  <c r="Y41" i="11"/>
  <c r="Y258" i="11"/>
  <c r="Y208" i="11"/>
  <c r="Y159" i="11"/>
  <c r="Y118" i="11"/>
  <c r="Y77" i="11"/>
  <c r="Y36" i="11"/>
  <c r="Y154" i="11"/>
  <c r="Y161" i="11"/>
  <c r="Y186" i="11"/>
  <c r="Y136" i="11"/>
  <c r="Y87" i="11"/>
  <c r="Y46" i="11"/>
  <c r="Y5" i="11"/>
  <c r="Y435" i="11"/>
  <c r="Y360" i="11"/>
  <c r="Y89" i="11"/>
  <c r="Y114" i="11"/>
  <c r="Y64" i="11"/>
  <c r="Y445" i="11"/>
  <c r="Y404" i="11"/>
  <c r="Y363" i="11"/>
  <c r="Y119" i="11"/>
  <c r="Y81" i="11"/>
  <c r="Y42" i="11"/>
  <c r="Y455" i="11"/>
  <c r="Y414" i="11"/>
  <c r="Y373" i="11"/>
  <c r="Y332" i="11"/>
  <c r="Y291" i="11"/>
  <c r="Y185" i="11"/>
  <c r="Y233" i="11"/>
  <c r="Y14" i="11"/>
  <c r="Y297" i="11"/>
  <c r="Y290" i="11"/>
  <c r="Y240" i="11"/>
  <c r="Y191" i="11"/>
  <c r="Y150" i="11"/>
  <c r="Y109" i="11"/>
  <c r="Y68" i="11"/>
  <c r="Y27" i="11"/>
  <c r="Y401" i="11"/>
  <c r="Y82" i="11"/>
  <c r="Y32" i="11"/>
  <c r="Y454" i="11"/>
  <c r="Y413" i="11"/>
  <c r="Y372" i="11"/>
  <c r="Y331" i="11"/>
  <c r="Y104" i="11"/>
  <c r="Y289" i="11"/>
  <c r="Y202" i="11"/>
  <c r="Y152" i="11"/>
  <c r="Y103" i="11"/>
  <c r="Y62" i="11"/>
  <c r="Y21" i="11"/>
  <c r="Y451" i="11"/>
  <c r="Y26" i="11"/>
  <c r="Y225" i="11"/>
  <c r="Y194" i="11"/>
  <c r="Y144" i="11"/>
  <c r="Y95" i="11"/>
  <c r="Y54" i="11"/>
  <c r="Y13" i="11"/>
  <c r="Y443" i="11"/>
  <c r="Y232" i="11"/>
  <c r="Y153" i="11"/>
  <c r="Y122" i="11"/>
  <c r="Y72" i="11"/>
  <c r="Y23" i="11"/>
  <c r="Y453" i="11"/>
  <c r="Y412" i="11"/>
  <c r="Y371" i="11"/>
  <c r="Y439" i="11"/>
  <c r="Y145" i="11"/>
  <c r="Y50" i="11"/>
  <c r="Y463" i="11"/>
  <c r="Y422" i="11"/>
  <c r="Y381" i="11"/>
  <c r="Y340" i="11"/>
  <c r="Y299" i="11"/>
  <c r="Y142" i="11"/>
  <c r="Y137" i="11"/>
  <c r="Y440" i="11"/>
  <c r="Y391" i="11"/>
  <c r="Y350" i="11"/>
  <c r="Y309" i="11"/>
  <c r="Y268" i="11"/>
  <c r="Y227" i="11"/>
  <c r="Y226" i="11"/>
  <c r="Y86" i="11"/>
  <c r="Y4" i="11"/>
  <c r="Y457" i="11"/>
  <c r="Y18" i="11"/>
  <c r="Y431" i="11"/>
  <c r="Y390" i="11"/>
  <c r="Y349" i="11"/>
  <c r="Y308" i="11"/>
  <c r="Y267" i="11"/>
  <c r="Y183" i="11"/>
  <c r="Y281" i="11"/>
  <c r="Y138" i="11"/>
  <c r="Y88" i="11"/>
  <c r="Y39" i="11"/>
  <c r="Y469" i="11"/>
  <c r="Y428" i="11"/>
  <c r="Y387" i="11"/>
  <c r="Y168" i="11"/>
  <c r="Y217" i="11"/>
  <c r="Y130" i="11"/>
  <c r="Y80" i="11"/>
  <c r="Y31" i="11"/>
  <c r="Y461" i="11"/>
  <c r="Y420" i="11"/>
  <c r="Y379" i="11"/>
  <c r="Y311" i="11"/>
  <c r="Y209" i="11"/>
  <c r="Y58" i="11"/>
  <c r="Y8" i="11"/>
  <c r="Y430" i="11"/>
  <c r="Y389" i="11"/>
  <c r="Y348" i="11"/>
  <c r="Y307" i="11"/>
  <c r="Y462" i="11"/>
  <c r="Y201" i="11"/>
  <c r="Y448" i="11"/>
  <c r="Y399" i="11"/>
  <c r="Y358" i="11"/>
  <c r="Y317" i="11"/>
  <c r="Y276" i="11"/>
  <c r="Y235" i="11"/>
  <c r="Y293" i="11"/>
  <c r="AA3" i="11"/>
  <c r="AC3" i="11" s="1"/>
  <c r="Y426" i="11"/>
  <c r="Y376" i="11"/>
  <c r="Y327" i="11"/>
  <c r="Y286" i="11"/>
  <c r="Y245" i="11"/>
  <c r="Y204" i="11"/>
  <c r="Y163" i="11"/>
  <c r="Y37" i="11"/>
  <c r="Y49" i="11"/>
  <c r="Y176" i="11"/>
  <c r="Y127" i="11"/>
  <c r="Y45" i="11"/>
  <c r="Y410" i="11"/>
  <c r="Y409" i="11"/>
  <c r="Y124" i="11"/>
  <c r="Y57" i="11"/>
  <c r="Y162" i="11"/>
  <c r="Y112" i="11"/>
  <c r="Y63" i="11"/>
  <c r="Y22" i="11"/>
  <c r="Y452" i="11"/>
  <c r="Y411" i="11"/>
  <c r="Y424" i="11"/>
  <c r="Y466" i="11"/>
  <c r="Y416" i="11"/>
  <c r="Y367" i="11"/>
  <c r="Y326" i="11"/>
  <c r="Y285" i="11"/>
  <c r="Y244" i="11"/>
  <c r="Y203" i="11"/>
  <c r="Y206" i="11"/>
  <c r="Y337" i="11"/>
  <c r="Y74" i="11"/>
  <c r="Y24" i="11"/>
  <c r="Y446" i="11"/>
  <c r="Y405" i="11"/>
  <c r="Y364" i="11"/>
  <c r="Y323" i="11"/>
  <c r="Y247" i="11"/>
  <c r="Y273" i="11"/>
  <c r="Y66" i="11"/>
  <c r="Y16" i="11"/>
  <c r="Y438" i="11"/>
  <c r="Y397" i="11"/>
  <c r="Y356" i="11"/>
  <c r="Y315" i="11"/>
  <c r="Y398" i="11"/>
  <c r="Y265" i="11"/>
  <c r="Y456" i="11"/>
  <c r="Y407" i="11"/>
  <c r="Y366" i="11"/>
  <c r="Y325" i="11"/>
  <c r="Y284" i="11"/>
  <c r="Y243" i="11"/>
  <c r="Y78" i="11"/>
  <c r="Y434" i="11"/>
  <c r="Y384" i="11"/>
  <c r="Y335" i="11"/>
  <c r="Y294" i="11"/>
  <c r="Y253" i="11"/>
  <c r="Y212" i="11"/>
  <c r="Y171" i="11"/>
  <c r="Y380" i="11"/>
  <c r="Y129" i="11"/>
  <c r="Y362" i="11"/>
  <c r="Y312" i="11"/>
  <c r="Y263" i="11"/>
  <c r="Y222" i="11"/>
  <c r="Y181" i="11"/>
  <c r="Y99" i="11"/>
  <c r="Y249" i="11"/>
  <c r="Y98" i="11"/>
  <c r="Y48" i="11"/>
  <c r="Y470" i="11"/>
  <c r="Y429" i="11"/>
  <c r="Y388" i="11"/>
  <c r="Y347" i="11"/>
  <c r="Y375" i="11"/>
  <c r="Y449" i="11"/>
  <c r="Y402" i="11"/>
  <c r="Y352" i="11"/>
  <c r="Y303" i="11"/>
  <c r="Y262" i="11"/>
  <c r="Y221" i="11"/>
  <c r="Y180" i="11"/>
  <c r="Y139" i="11"/>
  <c r="Y229" i="11"/>
  <c r="Y393" i="11"/>
  <c r="Y10" i="11"/>
  <c r="Y423" i="11"/>
  <c r="Y382" i="11"/>
  <c r="Y341" i="11"/>
  <c r="Y300" i="11"/>
  <c r="Y259" i="11"/>
  <c r="Y270" i="11"/>
  <c r="Y329" i="11"/>
  <c r="Y464" i="11"/>
  <c r="Y415" i="11"/>
  <c r="Y374" i="11"/>
  <c r="Y333" i="11"/>
  <c r="Y292" i="11"/>
  <c r="Y251" i="11"/>
  <c r="Y421" i="11"/>
  <c r="Y442" i="11"/>
  <c r="Y392" i="11"/>
  <c r="Y343" i="11"/>
  <c r="Y302" i="11"/>
  <c r="Y261" i="11"/>
  <c r="Y220" i="11"/>
  <c r="Y179" i="11"/>
  <c r="Y101" i="11"/>
  <c r="Y193" i="11"/>
  <c r="Y370" i="11"/>
  <c r="Y320" i="11"/>
  <c r="Y271" i="11"/>
  <c r="Y230" i="11"/>
  <c r="Y189" i="11"/>
  <c r="Y148" i="11"/>
  <c r="Y107" i="11"/>
  <c r="Y339" i="11"/>
  <c r="Y361" i="11"/>
  <c r="Y298" i="11"/>
  <c r="Y248" i="11"/>
  <c r="Y199" i="11"/>
  <c r="Y158" i="11"/>
  <c r="Y117" i="11"/>
  <c r="Y76" i="11"/>
  <c r="Y35" i="11"/>
  <c r="U63" i="128"/>
  <c r="W10" i="128"/>
  <c r="U62" i="128"/>
  <c r="W63" i="128" s="1"/>
  <c r="B34" i="125"/>
  <c r="B34" i="126"/>
  <c r="B34" i="122"/>
  <c r="U36" i="128"/>
  <c r="W37" i="128" s="1"/>
  <c r="R39" i="123"/>
  <c r="U39" i="123" s="1"/>
  <c r="W69" i="128"/>
  <c r="W70" i="128" s="1"/>
  <c r="W71" i="128" s="1"/>
  <c r="M6" i="128"/>
  <c r="J7" i="128"/>
  <c r="U6" i="128"/>
  <c r="R7" i="128"/>
  <c r="U7" i="128" s="1"/>
  <c r="W7" i="128" s="1"/>
  <c r="M91" i="128"/>
  <c r="O92" i="128" s="1"/>
  <c r="M39" i="128"/>
  <c r="J40" i="128"/>
  <c r="M40" i="128" s="1"/>
  <c r="M59" i="128"/>
  <c r="J60" i="128"/>
  <c r="M63" i="128"/>
  <c r="O63" i="128" s="1"/>
  <c r="U91" i="128"/>
  <c r="R92" i="128"/>
  <c r="U92" i="128" s="1"/>
  <c r="W92" i="128" s="1"/>
  <c r="M9" i="128"/>
  <c r="O10" i="128" s="1"/>
  <c r="W89" i="128"/>
  <c r="J89" i="128"/>
  <c r="M89" i="128" s="1"/>
  <c r="O89" i="128" s="1"/>
  <c r="M88" i="128"/>
  <c r="M62" i="128"/>
  <c r="U39" i="128"/>
  <c r="W40" i="128" s="1"/>
  <c r="U59" i="128"/>
  <c r="R60" i="128"/>
  <c r="U60" i="128" s="1"/>
  <c r="W60" i="128" s="1"/>
  <c r="W98" i="128"/>
  <c r="W99" i="128" s="1"/>
  <c r="W100" i="128" s="1"/>
  <c r="T37" i="123"/>
  <c r="U37" i="123" s="1"/>
  <c r="W37" i="123" s="1"/>
  <c r="U36" i="123"/>
  <c r="R7" i="123"/>
  <c r="R40" i="123"/>
  <c r="U40" i="123" s="1"/>
  <c r="J37" i="123"/>
  <c r="J89" i="123"/>
  <c r="R89" i="123"/>
  <c r="J99" i="123"/>
  <c r="R68" i="123"/>
  <c r="L44" i="123"/>
  <c r="J9" i="123"/>
  <c r="L45" i="123"/>
  <c r="L42" i="123"/>
  <c r="R97" i="123"/>
  <c r="L59" i="123"/>
  <c r="L60" i="123" s="1"/>
  <c r="L68" i="123" s="1"/>
  <c r="L47" i="123"/>
  <c r="L50" i="123" s="1"/>
  <c r="L52" i="123" s="1"/>
  <c r="R100" i="123"/>
  <c r="R91" i="123"/>
  <c r="J100" i="123"/>
  <c r="J105" i="123" s="1"/>
  <c r="J107" i="123" s="1"/>
  <c r="O98" i="123" s="1"/>
  <c r="O99" i="123" s="1"/>
  <c r="O100" i="123" s="1"/>
  <c r="J91" i="123"/>
  <c r="R70" i="123"/>
  <c r="L46" i="123"/>
  <c r="R19" i="123"/>
  <c r="R20" i="123" s="1"/>
  <c r="R42" i="123"/>
  <c r="R45" i="123" s="1"/>
  <c r="R17" i="123"/>
  <c r="R71" i="123"/>
  <c r="R12" i="123"/>
  <c r="R98" i="123"/>
  <c r="L43" i="123"/>
  <c r="L36" i="123"/>
  <c r="L37" i="123" s="1"/>
  <c r="R101" i="123"/>
  <c r="R105" i="123" s="1"/>
  <c r="R107" i="123" s="1"/>
  <c r="W98" i="123" s="1"/>
  <c r="W99" i="123" s="1"/>
  <c r="W100" i="123" s="1"/>
  <c r="J97" i="123"/>
  <c r="T88" i="123"/>
  <c r="T89" i="123" s="1"/>
  <c r="R72" i="123"/>
  <c r="R76" i="123" s="1"/>
  <c r="R78" i="123" s="1"/>
  <c r="W69" i="123" s="1"/>
  <c r="W70" i="123" s="1"/>
  <c r="W71" i="123" s="1"/>
  <c r="J62" i="123"/>
  <c r="R18" i="123"/>
  <c r="J98" i="123"/>
  <c r="T59" i="123"/>
  <c r="L88" i="123"/>
  <c r="L89" i="123" s="1"/>
  <c r="R99" i="123"/>
  <c r="R69" i="123"/>
  <c r="R9" i="123"/>
  <c r="L6" i="123"/>
  <c r="J39" i="123"/>
  <c r="J60" i="123"/>
  <c r="R62" i="123"/>
  <c r="H6" i="124"/>
  <c r="H2" i="124"/>
  <c r="H8" i="124" s="1"/>
  <c r="T6" i="123"/>
  <c r="T7" i="123" s="1"/>
  <c r="J6" i="124"/>
  <c r="J8" i="124" s="1"/>
  <c r="J2" i="124"/>
  <c r="L15" i="136" l="1"/>
  <c r="D39" i="136"/>
  <c r="D40" i="136" s="1"/>
  <c r="B41" i="136"/>
  <c r="B62" i="136"/>
  <c r="B63" i="136" s="1"/>
  <c r="B64" i="136"/>
  <c r="B65" i="136" s="1"/>
  <c r="D48" i="136"/>
  <c r="B64" i="135"/>
  <c r="B62" i="135"/>
  <c r="B63" i="135" s="1"/>
  <c r="B41" i="135"/>
  <c r="J15" i="134"/>
  <c r="B41" i="134"/>
  <c r="B62" i="134"/>
  <c r="B63" i="134" s="1"/>
  <c r="B64" i="134"/>
  <c r="B65" i="134" s="1"/>
  <c r="B62" i="133"/>
  <c r="B63" i="133" s="1"/>
  <c r="B41" i="133"/>
  <c r="B64" i="133"/>
  <c r="J15" i="132"/>
  <c r="B62" i="132"/>
  <c r="B63" i="132" s="1"/>
  <c r="B41" i="132"/>
  <c r="B64" i="132"/>
  <c r="B62" i="131"/>
  <c r="B63" i="131" s="1"/>
  <c r="B41" i="131"/>
  <c r="B64" i="131"/>
  <c r="J15" i="131"/>
  <c r="O40" i="128"/>
  <c r="U88" i="123"/>
  <c r="B32" i="126"/>
  <c r="B33" i="126"/>
  <c r="B32" i="122"/>
  <c r="B33" i="122"/>
  <c r="U89" i="123"/>
  <c r="B33" i="125"/>
  <c r="B32" i="125"/>
  <c r="W40" i="123"/>
  <c r="M36" i="123"/>
  <c r="M60" i="128"/>
  <c r="O60" i="128" s="1"/>
  <c r="J68" i="128"/>
  <c r="O66" i="128" s="1"/>
  <c r="O67" i="128" s="1"/>
  <c r="O68" i="128" s="1"/>
  <c r="M7" i="128"/>
  <c r="J12" i="128"/>
  <c r="J14" i="128" s="1"/>
  <c r="J16" i="128" s="1"/>
  <c r="O13" i="128" s="1"/>
  <c r="O14" i="128" s="1"/>
  <c r="O15" i="128" s="1"/>
  <c r="M60" i="123"/>
  <c r="J68" i="123"/>
  <c r="O66" i="123" s="1"/>
  <c r="O67" i="123" s="1"/>
  <c r="O68" i="123" s="1"/>
  <c r="T60" i="123"/>
  <c r="U60" i="123" s="1"/>
  <c r="W60" i="123" s="1"/>
  <c r="U59" i="123"/>
  <c r="U7" i="123"/>
  <c r="M59" i="123"/>
  <c r="J40" i="123"/>
  <c r="M40" i="123" s="1"/>
  <c r="M39" i="123"/>
  <c r="W89" i="123"/>
  <c r="U6" i="123"/>
  <c r="L7" i="123"/>
  <c r="M6" i="123"/>
  <c r="U9" i="123"/>
  <c r="R10" i="123"/>
  <c r="U10" i="123" s="1"/>
  <c r="W10" i="123" s="1"/>
  <c r="J10" i="123"/>
  <c r="M10" i="123" s="1"/>
  <c r="M9" i="123"/>
  <c r="R63" i="123"/>
  <c r="U63" i="123" s="1"/>
  <c r="U62" i="123"/>
  <c r="J63" i="123"/>
  <c r="M63" i="123" s="1"/>
  <c r="O63" i="123" s="1"/>
  <c r="M62" i="123"/>
  <c r="M91" i="123"/>
  <c r="J92" i="123"/>
  <c r="M92" i="123" s="1"/>
  <c r="O92" i="123" s="1"/>
  <c r="M88" i="123"/>
  <c r="M89" i="123"/>
  <c r="K8" i="124"/>
  <c r="R92" i="123"/>
  <c r="U92" i="123" s="1"/>
  <c r="U91" i="123"/>
  <c r="M37" i="123"/>
  <c r="C35" i="119"/>
  <c r="D38" i="119"/>
  <c r="C35" i="118"/>
  <c r="B47" i="136" l="1"/>
  <c r="B43" i="136"/>
  <c r="B44" i="136" s="1"/>
  <c r="B46" i="136" s="1"/>
  <c r="D46" i="136" s="1"/>
  <c r="D62" i="136"/>
  <c r="D63" i="136" s="1"/>
  <c r="D64" i="136"/>
  <c r="D65" i="136" s="1"/>
  <c r="D41" i="136"/>
  <c r="D43" i="136" s="1"/>
  <c r="D44" i="136" s="1"/>
  <c r="B43" i="135"/>
  <c r="B44" i="135" s="1"/>
  <c r="B46" i="135" s="1"/>
  <c r="B47" i="135"/>
  <c r="B65" i="135"/>
  <c r="B43" i="134"/>
  <c r="B44" i="134" s="1"/>
  <c r="B46" i="134" s="1"/>
  <c r="B47" i="134"/>
  <c r="B65" i="133"/>
  <c r="B43" i="133"/>
  <c r="B44" i="133" s="1"/>
  <c r="B46" i="133" s="1"/>
  <c r="B47" i="133"/>
  <c r="B65" i="132"/>
  <c r="B43" i="132"/>
  <c r="B44" i="132" s="1"/>
  <c r="B46" i="132" s="1"/>
  <c r="B47" i="132"/>
  <c r="B65" i="131"/>
  <c r="B43" i="131"/>
  <c r="B44" i="131" s="1"/>
  <c r="B46" i="131" s="1"/>
  <c r="B47" i="131"/>
  <c r="O89" i="123"/>
  <c r="G15" i="126"/>
  <c r="G16" i="126" s="1"/>
  <c r="G15" i="125"/>
  <c r="G16" i="125" s="1"/>
  <c r="G15" i="122"/>
  <c r="G16" i="122" s="1"/>
  <c r="O7" i="128"/>
  <c r="G15" i="130"/>
  <c r="G16" i="130" s="1"/>
  <c r="W7" i="123"/>
  <c r="O37" i="123"/>
  <c r="O10" i="123"/>
  <c r="O40" i="123"/>
  <c r="W92" i="123"/>
  <c r="L12" i="123"/>
  <c r="L14" i="123" s="1"/>
  <c r="L16" i="123" s="1"/>
  <c r="O13" i="123" s="1"/>
  <c r="O14" i="123" s="1"/>
  <c r="O15" i="123" s="1"/>
  <c r="M7" i="123"/>
  <c r="O7" i="123" s="1"/>
  <c r="W63" i="123"/>
  <c r="O60" i="123"/>
  <c r="E8" i="89"/>
  <c r="B49" i="136" l="1"/>
  <c r="D47" i="136"/>
  <c r="D51" i="136" s="1"/>
  <c r="B51" i="136"/>
  <c r="B49" i="135"/>
  <c r="B50" i="135" s="1"/>
  <c r="B51" i="135"/>
  <c r="B49" i="134"/>
  <c r="B50" i="134" s="1"/>
  <c r="B51" i="134"/>
  <c r="B49" i="133"/>
  <c r="B50" i="133" s="1"/>
  <c r="B51" i="133"/>
  <c r="B49" i="132"/>
  <c r="B50" i="132" s="1"/>
  <c r="B51" i="132"/>
  <c r="B49" i="131"/>
  <c r="B50" i="131" s="1"/>
  <c r="B51" i="131"/>
  <c r="G18" i="130"/>
  <c r="G17" i="130"/>
  <c r="B56" i="130" s="1"/>
  <c r="G18" i="122"/>
  <c r="G17" i="122"/>
  <c r="B56" i="122" s="1"/>
  <c r="G18" i="125"/>
  <c r="G17" i="125"/>
  <c r="B56" i="125" s="1"/>
  <c r="G18" i="126"/>
  <c r="G17" i="126"/>
  <c r="B56" i="126" s="1"/>
  <c r="D49" i="136" l="1"/>
  <c r="D50" i="136" s="1"/>
  <c r="B50" i="136"/>
  <c r="B58" i="126"/>
  <c r="B60" i="126"/>
  <c r="B60" i="125"/>
  <c r="B58" i="125"/>
  <c r="B58" i="122"/>
  <c r="B60" i="122"/>
  <c r="B58" i="130"/>
  <c r="B60" i="130"/>
  <c r="B9" i="130" l="1"/>
  <c r="B7" i="130"/>
  <c r="B10" i="130"/>
  <c r="B59" i="130"/>
  <c r="B8" i="130" s="1"/>
  <c r="B59" i="122"/>
  <c r="B8" i="122" s="1"/>
  <c r="B7" i="122"/>
  <c r="B10" i="122"/>
  <c r="B9" i="122"/>
  <c r="B7" i="125"/>
  <c r="B9" i="125"/>
  <c r="B10" i="125"/>
  <c r="B59" i="125"/>
  <c r="B8" i="125" s="1"/>
  <c r="B9" i="126"/>
  <c r="B7" i="126"/>
  <c r="B10" i="126"/>
  <c r="B59" i="126"/>
  <c r="B8" i="126" s="1"/>
  <c r="G12" i="114"/>
  <c r="G12" i="62"/>
  <c r="G12" i="71"/>
  <c r="G12" i="83"/>
  <c r="G12" i="113"/>
  <c r="I12" i="33"/>
  <c r="B57" i="119" l="1"/>
  <c r="D45" i="119"/>
  <c r="C36" i="119"/>
  <c r="C39" i="119" s="1"/>
  <c r="C40" i="119" s="1"/>
  <c r="C62" i="119" s="1"/>
  <c r="B54" i="119"/>
  <c r="B55" i="119" s="1"/>
  <c r="D35" i="119" l="1"/>
  <c r="C63" i="119"/>
  <c r="E8" i="117"/>
  <c r="B57" i="118"/>
  <c r="C36" i="118"/>
  <c r="B54" i="118"/>
  <c r="B55" i="118" s="1"/>
  <c r="I8" i="117"/>
  <c r="C6" i="117"/>
  <c r="C8" i="117" s="1"/>
  <c r="F8" i="117" s="1"/>
  <c r="M8" i="117" s="1"/>
  <c r="D34" i="118" s="1"/>
  <c r="D33" i="118" s="1"/>
  <c r="B5" i="117"/>
  <c r="J4" i="117" s="1"/>
  <c r="B3" i="117"/>
  <c r="D2" i="117" s="1"/>
  <c r="D8" i="117" s="1"/>
  <c r="E2" i="117"/>
  <c r="O97" i="116"/>
  <c r="T87" i="116"/>
  <c r="T88" i="116" s="1"/>
  <c r="T89" i="116" s="1"/>
  <c r="R87" i="116"/>
  <c r="W97" i="116" s="1"/>
  <c r="L80" i="116"/>
  <c r="L82" i="116" s="1"/>
  <c r="J80" i="116"/>
  <c r="J82" i="116" s="1"/>
  <c r="O65" i="116"/>
  <c r="T58" i="116"/>
  <c r="R58" i="116"/>
  <c r="R62" i="116" s="1"/>
  <c r="J39" i="116"/>
  <c r="J40" i="116" s="1"/>
  <c r="T35" i="116"/>
  <c r="R35" i="116"/>
  <c r="O12" i="116"/>
  <c r="L9" i="116"/>
  <c r="L10" i="116" s="1"/>
  <c r="J9" i="116"/>
  <c r="J10" i="116" s="1"/>
  <c r="T5" i="116"/>
  <c r="T6" i="116" s="1"/>
  <c r="T7" i="116" s="1"/>
  <c r="R5" i="116"/>
  <c r="D3" i="116"/>
  <c r="J99" i="116" s="1"/>
  <c r="D2" i="116"/>
  <c r="T97" i="116" s="1"/>
  <c r="B54" i="114"/>
  <c r="B55" i="114" s="1"/>
  <c r="B57" i="114"/>
  <c r="E8" i="112"/>
  <c r="B57" i="113"/>
  <c r="B54" i="113"/>
  <c r="B55" i="113" s="1"/>
  <c r="I8" i="112"/>
  <c r="B5" i="112"/>
  <c r="J4" i="112" s="1"/>
  <c r="B3" i="112"/>
  <c r="D2" i="112" s="1"/>
  <c r="D8" i="112" s="1"/>
  <c r="R100" i="111"/>
  <c r="T99" i="111"/>
  <c r="W97" i="111"/>
  <c r="O97" i="111"/>
  <c r="R92" i="111"/>
  <c r="R91" i="111"/>
  <c r="T88" i="111"/>
  <c r="T89" i="111" s="1"/>
  <c r="T87" i="111"/>
  <c r="R87" i="111"/>
  <c r="J82" i="111"/>
  <c r="L80" i="111"/>
  <c r="L82" i="111" s="1"/>
  <c r="J80" i="111"/>
  <c r="O65" i="111"/>
  <c r="T62" i="111"/>
  <c r="T63" i="111" s="1"/>
  <c r="J62" i="111"/>
  <c r="T58" i="111"/>
  <c r="R58" i="111"/>
  <c r="R62" i="111" s="1"/>
  <c r="L42" i="111"/>
  <c r="J42" i="111"/>
  <c r="T36" i="111"/>
  <c r="T37" i="111" s="1"/>
  <c r="T35" i="111"/>
  <c r="R35" i="111"/>
  <c r="R18" i="111"/>
  <c r="R17" i="111"/>
  <c r="T12" i="111"/>
  <c r="O12" i="111"/>
  <c r="J6" i="111"/>
  <c r="J7" i="111" s="1"/>
  <c r="J12" i="111" s="1"/>
  <c r="J14" i="111" s="1"/>
  <c r="J16" i="111" s="1"/>
  <c r="T5" i="111"/>
  <c r="T6" i="111" s="1"/>
  <c r="T7" i="111" s="1"/>
  <c r="R5" i="111"/>
  <c r="R6" i="111" s="1"/>
  <c r="D3" i="111"/>
  <c r="R97" i="111" s="1"/>
  <c r="D2" i="111"/>
  <c r="L100" i="111" s="1"/>
  <c r="L105" i="111" s="1"/>
  <c r="L107" i="111" s="1"/>
  <c r="B57" i="110"/>
  <c r="B54" i="110"/>
  <c r="B55" i="110" s="1"/>
  <c r="E8" i="109"/>
  <c r="F2" i="108"/>
  <c r="I8" i="109"/>
  <c r="O97" i="108"/>
  <c r="T87" i="108"/>
  <c r="R87" i="108"/>
  <c r="W97" i="108" s="1"/>
  <c r="L80" i="108"/>
  <c r="L82" i="108" s="1"/>
  <c r="J80" i="108"/>
  <c r="J82" i="108" s="1"/>
  <c r="O65" i="108"/>
  <c r="T58" i="108"/>
  <c r="R58" i="108"/>
  <c r="T35" i="108"/>
  <c r="R35" i="108"/>
  <c r="O12" i="108"/>
  <c r="T5" i="108"/>
  <c r="R5" i="108"/>
  <c r="D3" i="108"/>
  <c r="D2" i="108"/>
  <c r="B57" i="107"/>
  <c r="B54" i="107"/>
  <c r="B55" i="107" s="1"/>
  <c r="E8" i="106"/>
  <c r="L99" i="111" l="1"/>
  <c r="G5" i="117"/>
  <c r="R36" i="111"/>
  <c r="J43" i="111"/>
  <c r="R68" i="111"/>
  <c r="J97" i="111"/>
  <c r="R101" i="111"/>
  <c r="R105" i="111" s="1"/>
  <c r="R107" i="111" s="1"/>
  <c r="T12" i="116"/>
  <c r="D6" i="117"/>
  <c r="J9" i="111"/>
  <c r="J10" i="111" s="1"/>
  <c r="M10" i="111" s="1"/>
  <c r="T39" i="111"/>
  <c r="T40" i="111" s="1"/>
  <c r="L44" i="111"/>
  <c r="T68" i="111"/>
  <c r="R17" i="116"/>
  <c r="W68" i="116"/>
  <c r="L9" i="111"/>
  <c r="L10" i="111" s="1"/>
  <c r="J36" i="111"/>
  <c r="J45" i="111"/>
  <c r="T69" i="111"/>
  <c r="T97" i="111"/>
  <c r="E2" i="112"/>
  <c r="R36" i="116"/>
  <c r="R37" i="116" s="1"/>
  <c r="U37" i="116" s="1"/>
  <c r="I2" i="117"/>
  <c r="R71" i="111"/>
  <c r="J88" i="111"/>
  <c r="J89" i="111" s="1"/>
  <c r="T39" i="116"/>
  <c r="T40" i="116" s="1"/>
  <c r="R12" i="111"/>
  <c r="J39" i="111"/>
  <c r="J40" i="111" s="1"/>
  <c r="R72" i="111"/>
  <c r="L88" i="111"/>
  <c r="L89" i="111" s="1"/>
  <c r="J99" i="111"/>
  <c r="J6" i="116"/>
  <c r="J7" i="116" s="1"/>
  <c r="T36" i="116"/>
  <c r="T37" i="116" s="1"/>
  <c r="G3" i="117"/>
  <c r="M10" i="116"/>
  <c r="C64" i="119"/>
  <c r="C65" i="119" s="1"/>
  <c r="C41" i="119"/>
  <c r="C43" i="119" s="1"/>
  <c r="C44" i="119" s="1"/>
  <c r="D32" i="118"/>
  <c r="C39" i="118"/>
  <c r="C40" i="118" s="1"/>
  <c r="C62" i="118" s="1"/>
  <c r="C48" i="118"/>
  <c r="D35" i="118"/>
  <c r="J12" i="116"/>
  <c r="J14" i="116" s="1"/>
  <c r="J16" i="116" s="1"/>
  <c r="J6" i="117"/>
  <c r="J8" i="117" s="1"/>
  <c r="J2" i="117"/>
  <c r="R63" i="116"/>
  <c r="R12" i="116"/>
  <c r="L42" i="116"/>
  <c r="J45" i="116"/>
  <c r="R59" i="116"/>
  <c r="T68" i="116"/>
  <c r="R71" i="116"/>
  <c r="L88" i="116"/>
  <c r="L89" i="116" s="1"/>
  <c r="R91" i="116"/>
  <c r="L99" i="116"/>
  <c r="R100" i="116"/>
  <c r="M9" i="116"/>
  <c r="R42" i="116"/>
  <c r="L45" i="116"/>
  <c r="T59" i="116"/>
  <c r="T60" i="116" s="1"/>
  <c r="T71" i="116"/>
  <c r="T91" i="116"/>
  <c r="T92" i="116" s="1"/>
  <c r="J98" i="116"/>
  <c r="T100" i="116"/>
  <c r="L6" i="116"/>
  <c r="L7" i="116" s="1"/>
  <c r="L12" i="116" s="1"/>
  <c r="L14" i="116" s="1"/>
  <c r="L16" i="116" s="1"/>
  <c r="R9" i="116"/>
  <c r="T17" i="116"/>
  <c r="L39" i="116"/>
  <c r="L40" i="116" s="1"/>
  <c r="M40" i="116" s="1"/>
  <c r="T42" i="116"/>
  <c r="R45" i="116"/>
  <c r="R69" i="116"/>
  <c r="R88" i="116"/>
  <c r="L98" i="116"/>
  <c r="R99" i="116"/>
  <c r="T9" i="116"/>
  <c r="T10" i="116" s="1"/>
  <c r="R18" i="116"/>
  <c r="J36" i="116"/>
  <c r="M39" i="116"/>
  <c r="J43" i="116"/>
  <c r="J62" i="116"/>
  <c r="T69" i="116"/>
  <c r="R72" i="116"/>
  <c r="R76" i="116" s="1"/>
  <c r="R78" i="116" s="1"/>
  <c r="J97" i="116"/>
  <c r="T99" i="116"/>
  <c r="R101" i="116"/>
  <c r="R105" i="116" s="1"/>
  <c r="R107" i="116" s="1"/>
  <c r="E6" i="117"/>
  <c r="R6" i="116"/>
  <c r="T18" i="116"/>
  <c r="L36" i="116"/>
  <c r="L37" i="116" s="1"/>
  <c r="R39" i="116"/>
  <c r="L43" i="116"/>
  <c r="J46" i="116"/>
  <c r="J50" i="116" s="1"/>
  <c r="J52" i="116" s="1"/>
  <c r="L62" i="116"/>
  <c r="L63" i="116" s="1"/>
  <c r="T72" i="116"/>
  <c r="T76" i="116" s="1"/>
  <c r="T78" i="116" s="1"/>
  <c r="L97" i="116"/>
  <c r="R98" i="116"/>
  <c r="T101" i="116"/>
  <c r="T105" i="116" s="1"/>
  <c r="T107" i="116" s="1"/>
  <c r="R19" i="116"/>
  <c r="R20" i="116" s="1"/>
  <c r="T43" i="116"/>
  <c r="T45" i="116" s="1"/>
  <c r="L46" i="116"/>
  <c r="J59" i="116"/>
  <c r="R70" i="116"/>
  <c r="J91" i="116"/>
  <c r="T98" i="116"/>
  <c r="J100" i="116"/>
  <c r="J105" i="116" s="1"/>
  <c r="J107" i="116" s="1"/>
  <c r="O98" i="116" s="1"/>
  <c r="O99" i="116" s="1"/>
  <c r="O100" i="116" s="1"/>
  <c r="C2" i="117"/>
  <c r="H4" i="117"/>
  <c r="I6" i="117"/>
  <c r="T19" i="116"/>
  <c r="T20" i="116" s="1"/>
  <c r="J44" i="116"/>
  <c r="L47" i="116"/>
  <c r="L50" i="116" s="1"/>
  <c r="L52" i="116" s="1"/>
  <c r="L59" i="116"/>
  <c r="L60" i="116" s="1"/>
  <c r="L68" i="116" s="1"/>
  <c r="T70" i="116"/>
  <c r="L91" i="116"/>
  <c r="L92" i="116" s="1"/>
  <c r="R97" i="116"/>
  <c r="L100" i="116"/>
  <c r="L105" i="116" s="1"/>
  <c r="L107" i="116" s="1"/>
  <c r="J42" i="116"/>
  <c r="L44" i="116"/>
  <c r="T62" i="116"/>
  <c r="T63" i="116" s="1"/>
  <c r="R68" i="116"/>
  <c r="J88" i="116"/>
  <c r="R37" i="111"/>
  <c r="U37" i="111" s="1"/>
  <c r="U36" i="111"/>
  <c r="R63" i="111"/>
  <c r="U63" i="111" s="1"/>
  <c r="U62" i="111"/>
  <c r="J6" i="112"/>
  <c r="J8" i="112" s="1"/>
  <c r="J2" i="112"/>
  <c r="U6" i="111"/>
  <c r="R7" i="111"/>
  <c r="U7" i="111" s="1"/>
  <c r="M62" i="111"/>
  <c r="G5" i="112"/>
  <c r="M9" i="111"/>
  <c r="O10" i="111" s="1"/>
  <c r="J37" i="111"/>
  <c r="M37" i="111" s="1"/>
  <c r="R42" i="111"/>
  <c r="R45" i="111" s="1"/>
  <c r="L45" i="111"/>
  <c r="T59" i="111"/>
  <c r="T60" i="111" s="1"/>
  <c r="J63" i="111"/>
  <c r="W68" i="111"/>
  <c r="T71" i="111"/>
  <c r="T91" i="111"/>
  <c r="T92" i="111" s="1"/>
  <c r="U92" i="111" s="1"/>
  <c r="J98" i="111"/>
  <c r="T100" i="111"/>
  <c r="I2" i="112"/>
  <c r="C6" i="112"/>
  <c r="C8" i="112" s="1"/>
  <c r="F8" i="112" s="1"/>
  <c r="M8" i="112" s="1"/>
  <c r="B34" i="113" s="1"/>
  <c r="B33" i="113" s="1"/>
  <c r="R59" i="111"/>
  <c r="L6" i="111"/>
  <c r="R9" i="111"/>
  <c r="T17" i="111"/>
  <c r="L39" i="111"/>
  <c r="T42" i="111"/>
  <c r="R69" i="111"/>
  <c r="R88" i="111"/>
  <c r="L98" i="111"/>
  <c r="R99" i="111"/>
  <c r="D6" i="112"/>
  <c r="T9" i="111"/>
  <c r="T10" i="111" s="1"/>
  <c r="T18" i="111"/>
  <c r="L36" i="111"/>
  <c r="L37" i="111" s="1"/>
  <c r="R39" i="111"/>
  <c r="L43" i="111"/>
  <c r="J46" i="111"/>
  <c r="J50" i="111" s="1"/>
  <c r="J52" i="111" s="1"/>
  <c r="L62" i="111"/>
  <c r="L63" i="111" s="1"/>
  <c r="T72" i="111"/>
  <c r="T76" i="111" s="1"/>
  <c r="T78" i="111" s="1"/>
  <c r="L97" i="111"/>
  <c r="R98" i="111"/>
  <c r="T101" i="111"/>
  <c r="T105" i="111" s="1"/>
  <c r="T107" i="111" s="1"/>
  <c r="G3" i="112"/>
  <c r="E6" i="112"/>
  <c r="R19" i="111"/>
  <c r="R20" i="111" s="1"/>
  <c r="T43" i="111"/>
  <c r="T45" i="111" s="1"/>
  <c r="L46" i="111"/>
  <c r="J59" i="111"/>
  <c r="R70" i="111"/>
  <c r="R76" i="111"/>
  <c r="R78" i="111" s="1"/>
  <c r="J91" i="111"/>
  <c r="T98" i="111"/>
  <c r="J100" i="111"/>
  <c r="J105" i="111" s="1"/>
  <c r="J107" i="111" s="1"/>
  <c r="O98" i="111" s="1"/>
  <c r="O99" i="111" s="1"/>
  <c r="O100" i="111" s="1"/>
  <c r="C2" i="112"/>
  <c r="H4" i="112"/>
  <c r="I6" i="112"/>
  <c r="T19" i="111"/>
  <c r="T20" i="111" s="1"/>
  <c r="J44" i="111"/>
  <c r="L47" i="111"/>
  <c r="L50" i="111" s="1"/>
  <c r="L52" i="111" s="1"/>
  <c r="L59" i="111"/>
  <c r="L60" i="111" s="1"/>
  <c r="L68" i="111" s="1"/>
  <c r="T70" i="111"/>
  <c r="L91" i="111"/>
  <c r="L92" i="111" s="1"/>
  <c r="T97" i="108"/>
  <c r="J88" i="108"/>
  <c r="J42" i="108"/>
  <c r="L100" i="108"/>
  <c r="L105" i="108" s="1"/>
  <c r="L107" i="108" s="1"/>
  <c r="L91" i="108"/>
  <c r="L92" i="108" s="1"/>
  <c r="T70" i="108"/>
  <c r="J44" i="108"/>
  <c r="R36" i="108"/>
  <c r="T19" i="108"/>
  <c r="T20" i="108" s="1"/>
  <c r="T18" i="108"/>
  <c r="T98" i="108"/>
  <c r="J59" i="108"/>
  <c r="T43" i="108"/>
  <c r="T45" i="108" s="1"/>
  <c r="T101" i="108"/>
  <c r="T105" i="108" s="1"/>
  <c r="T107" i="108" s="1"/>
  <c r="L97" i="108"/>
  <c r="T72" i="108"/>
  <c r="T76" i="108" s="1"/>
  <c r="T78" i="108" s="1"/>
  <c r="L62" i="108"/>
  <c r="L63" i="108" s="1"/>
  <c r="J46" i="108"/>
  <c r="J50" i="108" s="1"/>
  <c r="J52" i="108" s="1"/>
  <c r="R6" i="108"/>
  <c r="T99" i="108"/>
  <c r="T69" i="108"/>
  <c r="J43" i="108"/>
  <c r="J36" i="108"/>
  <c r="T71" i="108"/>
  <c r="J6" i="108"/>
  <c r="R59" i="108"/>
  <c r="L98" i="108"/>
  <c r="R88" i="108"/>
  <c r="T42" i="108"/>
  <c r="L39" i="108"/>
  <c r="L40" i="108" s="1"/>
  <c r="T17" i="108"/>
  <c r="T12" i="108"/>
  <c r="T68" i="108"/>
  <c r="J45" i="108"/>
  <c r="T100" i="108"/>
  <c r="L99" i="108"/>
  <c r="L9" i="108"/>
  <c r="L10" i="108" s="1"/>
  <c r="R76" i="108"/>
  <c r="R78" i="108" s="1"/>
  <c r="T6" i="108"/>
  <c r="T7" i="108" s="1"/>
  <c r="J99" i="108"/>
  <c r="R68" i="108"/>
  <c r="L44" i="108"/>
  <c r="J9" i="108"/>
  <c r="R97" i="108"/>
  <c r="R62" i="108"/>
  <c r="L59" i="108"/>
  <c r="L60" i="108" s="1"/>
  <c r="L68" i="108" s="1"/>
  <c r="L47" i="108"/>
  <c r="L50" i="108" s="1"/>
  <c r="L52" i="108" s="1"/>
  <c r="J100" i="108"/>
  <c r="J105" i="108" s="1"/>
  <c r="J107" i="108" s="1"/>
  <c r="J91" i="108"/>
  <c r="R70" i="108"/>
  <c r="L46" i="108"/>
  <c r="R19" i="108"/>
  <c r="R20" i="108" s="1"/>
  <c r="R98" i="108"/>
  <c r="L43" i="108"/>
  <c r="R39" i="108"/>
  <c r="L36" i="108"/>
  <c r="L37" i="108" s="1"/>
  <c r="R101" i="108"/>
  <c r="R105" i="108" s="1"/>
  <c r="R107" i="108" s="1"/>
  <c r="W98" i="108" s="1"/>
  <c r="W99" i="108" s="1"/>
  <c r="W100" i="108" s="1"/>
  <c r="J97" i="108"/>
  <c r="R72" i="108"/>
  <c r="J62" i="108"/>
  <c r="R18" i="108"/>
  <c r="L45" i="108"/>
  <c r="J39" i="108"/>
  <c r="R17" i="108"/>
  <c r="R100" i="108"/>
  <c r="R99" i="108"/>
  <c r="R69" i="108"/>
  <c r="R9" i="108"/>
  <c r="L6" i="108"/>
  <c r="L7" i="108" s="1"/>
  <c r="L12" i="108" s="1"/>
  <c r="L14" i="108" s="1"/>
  <c r="L16" i="108" s="1"/>
  <c r="R42" i="108"/>
  <c r="J98" i="108"/>
  <c r="R91" i="108"/>
  <c r="L88" i="108"/>
  <c r="L89" i="108" s="1"/>
  <c r="R71" i="108"/>
  <c r="L42" i="108"/>
  <c r="R12" i="108"/>
  <c r="T62" i="108"/>
  <c r="T63" i="108" s="1"/>
  <c r="R45" i="108"/>
  <c r="T36" i="108"/>
  <c r="T37" i="108" s="1"/>
  <c r="T88" i="108"/>
  <c r="T89" i="108" s="1"/>
  <c r="T59" i="108"/>
  <c r="T60" i="108" s="1"/>
  <c r="W68" i="108"/>
  <c r="T91" i="108"/>
  <c r="T92" i="108" s="1"/>
  <c r="T9" i="108"/>
  <c r="T10" i="108" s="1"/>
  <c r="T39" i="108"/>
  <c r="T40" i="108" s="1"/>
  <c r="D3" i="105"/>
  <c r="J99" i="105" s="1"/>
  <c r="D2" i="105"/>
  <c r="T100" i="105" s="1"/>
  <c r="I8" i="106"/>
  <c r="B5" i="106"/>
  <c r="I6" i="106" s="1"/>
  <c r="G3" i="106"/>
  <c r="B3" i="106"/>
  <c r="E2" i="106" s="1"/>
  <c r="D2" i="106"/>
  <c r="D8" i="106" s="1"/>
  <c r="W97" i="105"/>
  <c r="O97" i="105"/>
  <c r="T87" i="105"/>
  <c r="R87" i="105"/>
  <c r="L80" i="105"/>
  <c r="L82" i="105" s="1"/>
  <c r="J80" i="105"/>
  <c r="J82" i="105" s="1"/>
  <c r="T68" i="105"/>
  <c r="O65" i="105"/>
  <c r="T58" i="105"/>
  <c r="R58" i="105"/>
  <c r="R59" i="105" s="1"/>
  <c r="R60" i="105" s="1"/>
  <c r="T35" i="105"/>
  <c r="R35" i="105"/>
  <c r="R36" i="105" s="1"/>
  <c r="R37" i="105" s="1"/>
  <c r="T19" i="105"/>
  <c r="O12" i="105"/>
  <c r="T5" i="105"/>
  <c r="R5" i="105"/>
  <c r="B57" i="104"/>
  <c r="B54" i="104"/>
  <c r="B55" i="104" s="1"/>
  <c r="B57" i="103"/>
  <c r="B54" i="103"/>
  <c r="B55" i="103" s="1"/>
  <c r="O10" i="116" l="1"/>
  <c r="M88" i="111"/>
  <c r="W63" i="111"/>
  <c r="W68" i="105"/>
  <c r="I2" i="106"/>
  <c r="W98" i="116"/>
  <c r="W99" i="116" s="1"/>
  <c r="W100" i="116" s="1"/>
  <c r="U36" i="116"/>
  <c r="W37" i="116" s="1"/>
  <c r="O40" i="116"/>
  <c r="J6" i="105"/>
  <c r="J7" i="105" s="1"/>
  <c r="M89" i="111"/>
  <c r="L9" i="105"/>
  <c r="L10" i="105" s="1"/>
  <c r="L91" i="105"/>
  <c r="L92" i="105" s="1"/>
  <c r="W98" i="111"/>
  <c r="W99" i="111" s="1"/>
  <c r="W100" i="111" s="1"/>
  <c r="W69" i="116"/>
  <c r="W70" i="116" s="1"/>
  <c r="W71" i="116" s="1"/>
  <c r="M6" i="116"/>
  <c r="C63" i="118"/>
  <c r="H6" i="117"/>
  <c r="H2" i="117"/>
  <c r="H8" i="117" s="1"/>
  <c r="K8" i="117" s="1"/>
  <c r="M59" i="116"/>
  <c r="J60" i="116"/>
  <c r="U88" i="116"/>
  <c r="R89" i="116"/>
  <c r="U89" i="116" s="1"/>
  <c r="U63" i="116"/>
  <c r="J89" i="116"/>
  <c r="M89" i="116" s="1"/>
  <c r="M88" i="116"/>
  <c r="M36" i="116"/>
  <c r="J37" i="116"/>
  <c r="M37" i="116" s="1"/>
  <c r="R92" i="116"/>
  <c r="U92" i="116" s="1"/>
  <c r="U91" i="116"/>
  <c r="M91" i="116"/>
  <c r="J92" i="116"/>
  <c r="M92" i="116" s="1"/>
  <c r="O92" i="116" s="1"/>
  <c r="U39" i="116"/>
  <c r="R40" i="116"/>
  <c r="U40" i="116" s="1"/>
  <c r="M7" i="116"/>
  <c r="M62" i="116"/>
  <c r="J63" i="116"/>
  <c r="M63" i="116" s="1"/>
  <c r="O63" i="116" s="1"/>
  <c r="U9" i="116"/>
  <c r="R10" i="116"/>
  <c r="U10" i="116" s="1"/>
  <c r="R60" i="116"/>
  <c r="U60" i="116" s="1"/>
  <c r="U59" i="116"/>
  <c r="O13" i="116"/>
  <c r="O14" i="116" s="1"/>
  <c r="O15" i="116" s="1"/>
  <c r="U6" i="116"/>
  <c r="R7" i="116"/>
  <c r="U7" i="116" s="1"/>
  <c r="U62" i="116"/>
  <c r="B32" i="113"/>
  <c r="U9" i="111"/>
  <c r="R10" i="111"/>
  <c r="U10" i="111" s="1"/>
  <c r="W10" i="111" s="1"/>
  <c r="M91" i="111"/>
  <c r="J92" i="111"/>
  <c r="M92" i="111" s="1"/>
  <c r="O92" i="111" s="1"/>
  <c r="M6" i="111"/>
  <c r="L7" i="111"/>
  <c r="O37" i="111"/>
  <c r="W7" i="111"/>
  <c r="U39" i="111"/>
  <c r="R40" i="111"/>
  <c r="U40" i="111" s="1"/>
  <c r="W40" i="111" s="1"/>
  <c r="W37" i="111"/>
  <c r="R60" i="111"/>
  <c r="U60" i="111" s="1"/>
  <c r="U59" i="111"/>
  <c r="H6" i="112"/>
  <c r="H2" i="112"/>
  <c r="H8" i="112" s="1"/>
  <c r="K8" i="112" s="1"/>
  <c r="J60" i="111"/>
  <c r="M59" i="111"/>
  <c r="M63" i="111"/>
  <c r="U91" i="111"/>
  <c r="W92" i="111" s="1"/>
  <c r="M36" i="111"/>
  <c r="W69" i="111"/>
  <c r="W70" i="111" s="1"/>
  <c r="W71" i="111" s="1"/>
  <c r="U88" i="111"/>
  <c r="R89" i="111"/>
  <c r="U89" i="111" s="1"/>
  <c r="W89" i="111" s="1"/>
  <c r="M39" i="111"/>
  <c r="L40" i="111"/>
  <c r="M40" i="111" s="1"/>
  <c r="O98" i="108"/>
  <c r="O99" i="108" s="1"/>
  <c r="O100" i="108" s="1"/>
  <c r="W69" i="108"/>
  <c r="W70" i="108" s="1"/>
  <c r="W71" i="108" s="1"/>
  <c r="U9" i="108"/>
  <c r="R10" i="108"/>
  <c r="U10" i="108" s="1"/>
  <c r="W10" i="108" s="1"/>
  <c r="M36" i="108"/>
  <c r="J37" i="108"/>
  <c r="M37" i="108" s="1"/>
  <c r="R37" i="108"/>
  <c r="U37" i="108" s="1"/>
  <c r="U36" i="108"/>
  <c r="J10" i="108"/>
  <c r="M10" i="108" s="1"/>
  <c r="M9" i="108"/>
  <c r="U88" i="108"/>
  <c r="R89" i="108"/>
  <c r="U89" i="108" s="1"/>
  <c r="R63" i="108"/>
  <c r="U63" i="108" s="1"/>
  <c r="U62" i="108"/>
  <c r="U6" i="108"/>
  <c r="R7" i="108"/>
  <c r="U7" i="108" s="1"/>
  <c r="M59" i="108"/>
  <c r="J60" i="108"/>
  <c r="R92" i="108"/>
  <c r="U92" i="108" s="1"/>
  <c r="U91" i="108"/>
  <c r="M91" i="108"/>
  <c r="J92" i="108"/>
  <c r="M92" i="108" s="1"/>
  <c r="R60" i="108"/>
  <c r="U60" i="108" s="1"/>
  <c r="U59" i="108"/>
  <c r="M62" i="108"/>
  <c r="J63" i="108"/>
  <c r="M63" i="108" s="1"/>
  <c r="J40" i="108"/>
  <c r="M40" i="108" s="1"/>
  <c r="M39" i="108"/>
  <c r="U39" i="108"/>
  <c r="R40" i="108"/>
  <c r="U40" i="108" s="1"/>
  <c r="J7" i="108"/>
  <c r="M6" i="108"/>
  <c r="J89" i="108"/>
  <c r="M89" i="108" s="1"/>
  <c r="M88" i="108"/>
  <c r="R6" i="105"/>
  <c r="R7" i="105" s="1"/>
  <c r="J44" i="105"/>
  <c r="T12" i="105"/>
  <c r="J45" i="105"/>
  <c r="T71" i="105"/>
  <c r="L99" i="105"/>
  <c r="T97" i="105"/>
  <c r="T17" i="105"/>
  <c r="L100" i="105"/>
  <c r="L105" i="105" s="1"/>
  <c r="L107" i="105" s="1"/>
  <c r="T70" i="105"/>
  <c r="T18" i="105"/>
  <c r="T62" i="105"/>
  <c r="T63" i="105" s="1"/>
  <c r="D6" i="106"/>
  <c r="T88" i="105"/>
  <c r="T89" i="105" s="1"/>
  <c r="T36" i="105"/>
  <c r="T37" i="105" s="1"/>
  <c r="U37" i="105" s="1"/>
  <c r="T6" i="105"/>
  <c r="C6" i="106"/>
  <c r="C8" i="106" s="1"/>
  <c r="F8" i="106" s="1"/>
  <c r="M8" i="106" s="1"/>
  <c r="B34" i="104" s="1"/>
  <c r="R39" i="105"/>
  <c r="R40" i="105" s="1"/>
  <c r="E6" i="106"/>
  <c r="G5" i="106"/>
  <c r="J4" i="106"/>
  <c r="J6" i="106" s="1"/>
  <c r="J8" i="106" s="1"/>
  <c r="J12" i="105"/>
  <c r="J14" i="105" s="1"/>
  <c r="J16" i="105" s="1"/>
  <c r="T20" i="105"/>
  <c r="L88" i="105"/>
  <c r="L89" i="105" s="1"/>
  <c r="R100" i="105"/>
  <c r="R17" i="105"/>
  <c r="L45" i="105"/>
  <c r="T91" i="105"/>
  <c r="T92" i="105" s="1"/>
  <c r="J98" i="105"/>
  <c r="L59" i="105"/>
  <c r="L60" i="105" s="1"/>
  <c r="L68" i="105" s="1"/>
  <c r="R42" i="105"/>
  <c r="R45" i="105" s="1"/>
  <c r="L39" i="105"/>
  <c r="L40" i="105" s="1"/>
  <c r="T42" i="105"/>
  <c r="R69" i="105"/>
  <c r="R88" i="105"/>
  <c r="L98" i="105"/>
  <c r="R99" i="105"/>
  <c r="J2" i="106"/>
  <c r="L47" i="105"/>
  <c r="L50" i="105" s="1"/>
  <c r="L52" i="105" s="1"/>
  <c r="R71" i="105"/>
  <c r="R91" i="105"/>
  <c r="J39" i="105"/>
  <c r="R9" i="105"/>
  <c r="T9" i="105"/>
  <c r="T10" i="105" s="1"/>
  <c r="R18" i="105"/>
  <c r="J36" i="105"/>
  <c r="J43" i="105"/>
  <c r="J62" i="105"/>
  <c r="T69" i="105"/>
  <c r="R72" i="105"/>
  <c r="R76" i="105" s="1"/>
  <c r="R78" i="105" s="1"/>
  <c r="J97" i="105"/>
  <c r="T99" i="105"/>
  <c r="R101" i="105"/>
  <c r="R105" i="105" s="1"/>
  <c r="R107" i="105" s="1"/>
  <c r="L42" i="105"/>
  <c r="T59" i="105"/>
  <c r="T60" i="105" s="1"/>
  <c r="U60" i="105" s="1"/>
  <c r="L6" i="105"/>
  <c r="L7" i="105" s="1"/>
  <c r="L12" i="105" s="1"/>
  <c r="L14" i="105" s="1"/>
  <c r="L16" i="105" s="1"/>
  <c r="L36" i="105"/>
  <c r="L37" i="105" s="1"/>
  <c r="L43" i="105"/>
  <c r="J46" i="105"/>
  <c r="J50" i="105" s="1"/>
  <c r="J52" i="105" s="1"/>
  <c r="L62" i="105"/>
  <c r="L63" i="105" s="1"/>
  <c r="T72" i="105"/>
  <c r="T76" i="105" s="1"/>
  <c r="T78" i="105" s="1"/>
  <c r="L97" i="105"/>
  <c r="R98" i="105"/>
  <c r="T101" i="105"/>
  <c r="T105" i="105" s="1"/>
  <c r="T107" i="105" s="1"/>
  <c r="R62" i="105"/>
  <c r="R12" i="105"/>
  <c r="R19" i="105"/>
  <c r="R20" i="105" s="1"/>
  <c r="T39" i="105"/>
  <c r="T40" i="105" s="1"/>
  <c r="T43" i="105"/>
  <c r="T45" i="105" s="1"/>
  <c r="L46" i="105"/>
  <c r="J59" i="105"/>
  <c r="R70" i="105"/>
  <c r="J91" i="105"/>
  <c r="T98" i="105"/>
  <c r="J100" i="105"/>
  <c r="J105" i="105" s="1"/>
  <c r="J107" i="105" s="1"/>
  <c r="C2" i="106"/>
  <c r="H4" i="106"/>
  <c r="R97" i="105"/>
  <c r="J9" i="105"/>
  <c r="J42" i="105"/>
  <c r="L44" i="105"/>
  <c r="R68" i="105"/>
  <c r="J88" i="105"/>
  <c r="U6" i="105" l="1"/>
  <c r="W7" i="116"/>
  <c r="O37" i="116"/>
  <c r="B32" i="104"/>
  <c r="B33" i="104"/>
  <c r="O7" i="116"/>
  <c r="I15" i="118"/>
  <c r="I16" i="118" s="1"/>
  <c r="W92" i="116"/>
  <c r="O98" i="105"/>
  <c r="O99" i="105" s="1"/>
  <c r="O100" i="105" s="1"/>
  <c r="O89" i="116"/>
  <c r="O89" i="111"/>
  <c r="O63" i="111"/>
  <c r="G15" i="113"/>
  <c r="G16" i="113" s="1"/>
  <c r="W63" i="116"/>
  <c r="O40" i="111"/>
  <c r="W10" i="116"/>
  <c r="W89" i="116"/>
  <c r="C41" i="118"/>
  <c r="C64" i="118"/>
  <c r="C65" i="118" s="1"/>
  <c r="W60" i="116"/>
  <c r="M60" i="116"/>
  <c r="O60" i="116" s="1"/>
  <c r="J68" i="116"/>
  <c r="O66" i="116" s="1"/>
  <c r="O67" i="116" s="1"/>
  <c r="O68" i="116" s="1"/>
  <c r="W40" i="116"/>
  <c r="L12" i="111"/>
  <c r="L14" i="111" s="1"/>
  <c r="L16" i="111" s="1"/>
  <c r="O13" i="111" s="1"/>
  <c r="O14" i="111" s="1"/>
  <c r="O15" i="111" s="1"/>
  <c r="M7" i="111"/>
  <c r="O7" i="111" s="1"/>
  <c r="W60" i="111"/>
  <c r="M60" i="111"/>
  <c r="O60" i="111" s="1"/>
  <c r="J68" i="111"/>
  <c r="O66" i="111" s="1"/>
  <c r="O67" i="111" s="1"/>
  <c r="O68" i="111" s="1"/>
  <c r="W63" i="108"/>
  <c r="W37" i="108"/>
  <c r="O63" i="108"/>
  <c r="W89" i="108"/>
  <c r="O37" i="108"/>
  <c r="W7" i="108"/>
  <c r="J12" i="108"/>
  <c r="J14" i="108" s="1"/>
  <c r="J16" i="108" s="1"/>
  <c r="O13" i="108" s="1"/>
  <c r="O14" i="108" s="1"/>
  <c r="O15" i="108" s="1"/>
  <c r="M7" i="108"/>
  <c r="W60" i="108"/>
  <c r="W40" i="108"/>
  <c r="O92" i="108"/>
  <c r="O40" i="108"/>
  <c r="W92" i="108"/>
  <c r="M60" i="108"/>
  <c r="O60" i="108" s="1"/>
  <c r="J68" i="108"/>
  <c r="O66" i="108" s="1"/>
  <c r="O67" i="108" s="1"/>
  <c r="O68" i="108" s="1"/>
  <c r="O89" i="108"/>
  <c r="O10" i="108"/>
  <c r="U36" i="105"/>
  <c r="W37" i="105" s="1"/>
  <c r="T7" i="105"/>
  <c r="U7" i="105" s="1"/>
  <c r="M6" i="105"/>
  <c r="W98" i="105"/>
  <c r="W99" i="105" s="1"/>
  <c r="W100" i="105" s="1"/>
  <c r="W7" i="105"/>
  <c r="U59" i="105"/>
  <c r="W60" i="105" s="1"/>
  <c r="R92" i="105"/>
  <c r="U92" i="105" s="1"/>
  <c r="U91" i="105"/>
  <c r="J89" i="105"/>
  <c r="M89" i="105" s="1"/>
  <c r="M88" i="105"/>
  <c r="M36" i="105"/>
  <c r="J37" i="105"/>
  <c r="M37" i="105" s="1"/>
  <c r="M91" i="105"/>
  <c r="J92" i="105"/>
  <c r="M92" i="105" s="1"/>
  <c r="R63" i="105"/>
  <c r="U63" i="105" s="1"/>
  <c r="U62" i="105"/>
  <c r="J10" i="105"/>
  <c r="M10" i="105" s="1"/>
  <c r="M9" i="105"/>
  <c r="W69" i="105"/>
  <c r="W70" i="105" s="1"/>
  <c r="W71" i="105" s="1"/>
  <c r="M7" i="105"/>
  <c r="M59" i="105"/>
  <c r="J60" i="105"/>
  <c r="U9" i="105"/>
  <c r="R10" i="105"/>
  <c r="U10" i="105" s="1"/>
  <c r="R89" i="105"/>
  <c r="U89" i="105" s="1"/>
  <c r="U88" i="105"/>
  <c r="U39" i="105"/>
  <c r="O13" i="105"/>
  <c r="O14" i="105" s="1"/>
  <c r="O15" i="105" s="1"/>
  <c r="H6" i="106"/>
  <c r="H2" i="106"/>
  <c r="H8" i="106" s="1"/>
  <c r="K8" i="106" s="1"/>
  <c r="M62" i="105"/>
  <c r="J63" i="105"/>
  <c r="M63" i="105" s="1"/>
  <c r="J40" i="105"/>
  <c r="M40" i="105" s="1"/>
  <c r="M39" i="105"/>
  <c r="U40" i="105"/>
  <c r="W40" i="105" s="1"/>
  <c r="I18" i="118" l="1"/>
  <c r="I17" i="118"/>
  <c r="B56" i="118" s="1"/>
  <c r="O7" i="108"/>
  <c r="G15" i="107"/>
  <c r="G16" i="107" s="1"/>
  <c r="G18" i="113"/>
  <c r="G17" i="113"/>
  <c r="B56" i="113" s="1"/>
  <c r="O7" i="105"/>
  <c r="G15" i="104"/>
  <c r="C47" i="118"/>
  <c r="C43" i="118"/>
  <c r="C44" i="118" s="1"/>
  <c r="O63" i="105"/>
  <c r="W10" i="105"/>
  <c r="O37" i="105"/>
  <c r="W92" i="105"/>
  <c r="O10" i="105"/>
  <c r="W89" i="105"/>
  <c r="O89" i="105"/>
  <c r="M60" i="105"/>
  <c r="O60" i="105" s="1"/>
  <c r="J68" i="105"/>
  <c r="O66" i="105" s="1"/>
  <c r="O67" i="105" s="1"/>
  <c r="O68" i="105" s="1"/>
  <c r="W63" i="105"/>
  <c r="O40" i="105"/>
  <c r="O92" i="105"/>
  <c r="B57" i="101"/>
  <c r="D45" i="101"/>
  <c r="C36" i="101"/>
  <c r="C39" i="101" s="1"/>
  <c r="B54" i="101"/>
  <c r="B55" i="101" s="1"/>
  <c r="C36" i="59"/>
  <c r="C39" i="59" s="1"/>
  <c r="C41" i="59" s="1"/>
  <c r="C43" i="59" s="1"/>
  <c r="C44" i="59" s="1"/>
  <c r="D45" i="59"/>
  <c r="C41" i="101" l="1"/>
  <c r="C43" i="101" s="1"/>
  <c r="C44" i="101" s="1"/>
  <c r="C40" i="101"/>
  <c r="B58" i="113"/>
  <c r="B60" i="113"/>
  <c r="G18" i="107"/>
  <c r="G17" i="107"/>
  <c r="B56" i="107" s="1"/>
  <c r="B58" i="118"/>
  <c r="B60" i="118"/>
  <c r="D35" i="59"/>
  <c r="C49" i="118"/>
  <c r="C50" i="118" s="1"/>
  <c r="C51" i="118"/>
  <c r="D35" i="101"/>
  <c r="B31" i="83"/>
  <c r="B58" i="107" l="1"/>
  <c r="B60" i="107"/>
  <c r="B59" i="118"/>
  <c r="B8" i="118" s="1"/>
  <c r="B7" i="118"/>
  <c r="B9" i="118"/>
  <c r="D9" i="118" s="1"/>
  <c r="B10" i="118"/>
  <c r="B59" i="113"/>
  <c r="B8" i="113" s="1"/>
  <c r="B10" i="113"/>
  <c r="B7" i="113"/>
  <c r="B9" i="113"/>
  <c r="C63" i="101"/>
  <c r="C63" i="59"/>
  <c r="D10" i="118" l="1"/>
  <c r="D7" i="118"/>
  <c r="D8" i="118"/>
  <c r="B59" i="107"/>
  <c r="B8" i="107" s="1"/>
  <c r="B9" i="107"/>
  <c r="B7" i="107"/>
  <c r="B10" i="107"/>
  <c r="C64" i="59"/>
  <c r="C65" i="59" s="1"/>
  <c r="C64" i="101"/>
  <c r="C65" i="101" s="1"/>
  <c r="B45" i="83" l="1"/>
  <c r="E8" i="76"/>
  <c r="E8" i="38"/>
  <c r="E8" i="79"/>
  <c r="E8" i="82"/>
  <c r="E8" i="64"/>
  <c r="E8" i="61"/>
  <c r="E8" i="58"/>
  <c r="E8" i="51"/>
  <c r="E8" i="46"/>
  <c r="E8" i="42"/>
  <c r="E8" i="55"/>
  <c r="E8" i="20"/>
  <c r="E8" i="69"/>
  <c r="E8" i="66"/>
  <c r="E8" i="92"/>
  <c r="B5" i="92"/>
  <c r="D6" i="92" s="1"/>
  <c r="B3" i="92"/>
  <c r="G3" i="92" s="1"/>
  <c r="F3" i="91"/>
  <c r="D3" i="91" s="1"/>
  <c r="I8" i="92"/>
  <c r="G5" i="92"/>
  <c r="J4" i="92"/>
  <c r="O97" i="91"/>
  <c r="T87" i="91"/>
  <c r="R87" i="91"/>
  <c r="W97" i="91" s="1"/>
  <c r="L80" i="91"/>
  <c r="L82" i="91" s="1"/>
  <c r="J80" i="91"/>
  <c r="J82" i="91" s="1"/>
  <c r="W68" i="91"/>
  <c r="O65" i="91"/>
  <c r="T58" i="91"/>
  <c r="R58" i="91"/>
  <c r="T35" i="91"/>
  <c r="R35" i="91"/>
  <c r="O12" i="91"/>
  <c r="T5" i="91"/>
  <c r="R5" i="91"/>
  <c r="F2" i="91"/>
  <c r="D2" i="91" s="1"/>
  <c r="B57" i="90"/>
  <c r="B54" i="90"/>
  <c r="B55" i="90" s="1"/>
  <c r="I8" i="89"/>
  <c r="O97" i="88"/>
  <c r="T87" i="88"/>
  <c r="R87" i="88"/>
  <c r="R88" i="88" s="1"/>
  <c r="L80" i="88"/>
  <c r="L82" i="88" s="1"/>
  <c r="J80" i="88"/>
  <c r="J82" i="88" s="1"/>
  <c r="O65" i="88"/>
  <c r="T58" i="88"/>
  <c r="R58" i="88"/>
  <c r="W68" i="88" s="1"/>
  <c r="T35" i="88"/>
  <c r="R35" i="88"/>
  <c r="R39" i="88" s="1"/>
  <c r="O12" i="88"/>
  <c r="T5" i="88"/>
  <c r="R5" i="88"/>
  <c r="F3" i="88"/>
  <c r="D3" i="88" s="1"/>
  <c r="R18" i="88" s="1"/>
  <c r="F2" i="88"/>
  <c r="D2" i="88" s="1"/>
  <c r="T101" i="88"/>
  <c r="R98" i="88" l="1"/>
  <c r="C6" i="92"/>
  <c r="C8" i="92" s="1"/>
  <c r="T91" i="88"/>
  <c r="T92" i="88" s="1"/>
  <c r="R6" i="88"/>
  <c r="R36" i="91"/>
  <c r="I2" i="92"/>
  <c r="E2" i="92"/>
  <c r="D2" i="92"/>
  <c r="D8" i="92" s="1"/>
  <c r="R62" i="91"/>
  <c r="T6" i="91"/>
  <c r="T7" i="91" s="1"/>
  <c r="T36" i="91"/>
  <c r="T37" i="91" s="1"/>
  <c r="F8" i="92"/>
  <c r="M8" i="92" s="1"/>
  <c r="T97" i="91"/>
  <c r="J88" i="91"/>
  <c r="J42" i="91"/>
  <c r="T68" i="91"/>
  <c r="L100" i="91"/>
  <c r="L105" i="91" s="1"/>
  <c r="L107" i="91" s="1"/>
  <c r="L91" i="91"/>
  <c r="L92" i="91" s="1"/>
  <c r="T70" i="91"/>
  <c r="J44" i="91"/>
  <c r="T19" i="91"/>
  <c r="R59" i="91"/>
  <c r="T98" i="91"/>
  <c r="J59" i="91"/>
  <c r="T43" i="91"/>
  <c r="T45" i="91" s="1"/>
  <c r="T101" i="91"/>
  <c r="T105" i="91" s="1"/>
  <c r="T107" i="91" s="1"/>
  <c r="L97" i="91"/>
  <c r="T72" i="91"/>
  <c r="T76" i="91" s="1"/>
  <c r="T78" i="91" s="1"/>
  <c r="L62" i="91"/>
  <c r="L63" i="91" s="1"/>
  <c r="J46" i="91"/>
  <c r="J50" i="91" s="1"/>
  <c r="J52" i="91" s="1"/>
  <c r="T18" i="91"/>
  <c r="R6" i="91"/>
  <c r="T99" i="91"/>
  <c r="T69" i="91"/>
  <c r="J43" i="91"/>
  <c r="J36" i="91"/>
  <c r="L9" i="91"/>
  <c r="L10" i="91" s="1"/>
  <c r="L98" i="91"/>
  <c r="R88" i="91"/>
  <c r="T42" i="91"/>
  <c r="L39" i="91"/>
  <c r="L40" i="91" s="1"/>
  <c r="T17" i="91"/>
  <c r="J6" i="91"/>
  <c r="L99" i="91"/>
  <c r="T100" i="91"/>
  <c r="T91" i="91"/>
  <c r="T92" i="91" s="1"/>
  <c r="T71" i="91"/>
  <c r="T12" i="91"/>
  <c r="J45" i="91"/>
  <c r="T62" i="91"/>
  <c r="T63" i="91" s="1"/>
  <c r="U36" i="91"/>
  <c r="R37" i="91"/>
  <c r="J6" i="92"/>
  <c r="J8" i="92" s="1"/>
  <c r="J2" i="92"/>
  <c r="R63" i="91"/>
  <c r="J99" i="91"/>
  <c r="R68" i="91"/>
  <c r="L44" i="91"/>
  <c r="J9" i="91"/>
  <c r="R97" i="91"/>
  <c r="L59" i="91"/>
  <c r="L60" i="91" s="1"/>
  <c r="L68" i="91" s="1"/>
  <c r="L47" i="91"/>
  <c r="L50" i="91" s="1"/>
  <c r="L52" i="91" s="1"/>
  <c r="R71" i="91"/>
  <c r="J100" i="91"/>
  <c r="J105" i="91" s="1"/>
  <c r="J107" i="91" s="1"/>
  <c r="J91" i="91"/>
  <c r="R70" i="91"/>
  <c r="L46" i="91"/>
  <c r="R19" i="91"/>
  <c r="R20" i="91" s="1"/>
  <c r="R100" i="91"/>
  <c r="R98" i="91"/>
  <c r="L43" i="91"/>
  <c r="L36" i="91"/>
  <c r="L37" i="91" s="1"/>
  <c r="R12" i="91"/>
  <c r="R101" i="91"/>
  <c r="R105" i="91" s="1"/>
  <c r="R107" i="91" s="1"/>
  <c r="W98" i="91" s="1"/>
  <c r="W99" i="91" s="1"/>
  <c r="W100" i="91" s="1"/>
  <c r="J97" i="91"/>
  <c r="T88" i="91"/>
  <c r="T89" i="91" s="1"/>
  <c r="R72" i="91"/>
  <c r="R76" i="91" s="1"/>
  <c r="R78" i="91" s="1"/>
  <c r="J62" i="91"/>
  <c r="R18" i="91"/>
  <c r="R99" i="91"/>
  <c r="R69" i="91"/>
  <c r="L6" i="91"/>
  <c r="L7" i="91" s="1"/>
  <c r="L12" i="91" s="1"/>
  <c r="L14" i="91" s="1"/>
  <c r="L16" i="91" s="1"/>
  <c r="L88" i="91"/>
  <c r="L89" i="91" s="1"/>
  <c r="L42" i="91"/>
  <c r="J98" i="91"/>
  <c r="T59" i="91"/>
  <c r="T60" i="91" s="1"/>
  <c r="L45" i="91"/>
  <c r="R42" i="91"/>
  <c r="R45" i="91" s="1"/>
  <c r="J39" i="91"/>
  <c r="R17" i="91"/>
  <c r="R91" i="91"/>
  <c r="T20" i="91"/>
  <c r="R9" i="91"/>
  <c r="T9" i="91"/>
  <c r="T10" i="91" s="1"/>
  <c r="E6" i="92"/>
  <c r="R39" i="91"/>
  <c r="T39" i="91"/>
  <c r="T40" i="91" s="1"/>
  <c r="C2" i="92"/>
  <c r="H4" i="92"/>
  <c r="I6" i="92"/>
  <c r="R7" i="88"/>
  <c r="R89" i="88"/>
  <c r="R40" i="88"/>
  <c r="J43" i="88"/>
  <c r="T6" i="88"/>
  <c r="T7" i="88" s="1"/>
  <c r="J59" i="88"/>
  <c r="T19" i="88"/>
  <c r="T20" i="88" s="1"/>
  <c r="L47" i="88"/>
  <c r="L50" i="88" s="1"/>
  <c r="L52" i="88" s="1"/>
  <c r="L59" i="88"/>
  <c r="L60" i="88" s="1"/>
  <c r="L68" i="88" s="1"/>
  <c r="R62" i="88"/>
  <c r="T70" i="88"/>
  <c r="L91" i="88"/>
  <c r="L92" i="88" s="1"/>
  <c r="R97" i="88"/>
  <c r="L100" i="88"/>
  <c r="L105" i="88" s="1"/>
  <c r="L107" i="88" s="1"/>
  <c r="R19" i="88"/>
  <c r="R20" i="88" s="1"/>
  <c r="T43" i="88"/>
  <c r="T45" i="88" s="1"/>
  <c r="R70" i="88"/>
  <c r="J100" i="88"/>
  <c r="J105" i="88" s="1"/>
  <c r="J107" i="88" s="1"/>
  <c r="T36" i="88"/>
  <c r="T37" i="88" s="1"/>
  <c r="J42" i="88"/>
  <c r="L44" i="88"/>
  <c r="T62" i="88"/>
  <c r="T63" i="88" s="1"/>
  <c r="R68" i="88"/>
  <c r="J88" i="88"/>
  <c r="T97" i="88"/>
  <c r="J99" i="88"/>
  <c r="T9" i="88"/>
  <c r="T10" i="88" s="1"/>
  <c r="T39" i="88"/>
  <c r="T40" i="88" s="1"/>
  <c r="J91" i="88"/>
  <c r="L9" i="88"/>
  <c r="L10" i="88" s="1"/>
  <c r="L12" i="88" s="1"/>
  <c r="R12" i="88"/>
  <c r="L42" i="88"/>
  <c r="J45" i="88"/>
  <c r="R59" i="88"/>
  <c r="T68" i="88"/>
  <c r="R71" i="88"/>
  <c r="L88" i="88"/>
  <c r="L89" i="88" s="1"/>
  <c r="R91" i="88"/>
  <c r="W97" i="88"/>
  <c r="L99" i="88"/>
  <c r="R100" i="88"/>
  <c r="T105" i="88"/>
  <c r="T107" i="88" s="1"/>
  <c r="J36" i="88"/>
  <c r="T98" i="88"/>
  <c r="J44" i="88"/>
  <c r="J6" i="88"/>
  <c r="T12" i="88"/>
  <c r="R17" i="88"/>
  <c r="J39" i="88"/>
  <c r="R42" i="88"/>
  <c r="R45" i="88" s="1"/>
  <c r="L45" i="88"/>
  <c r="T59" i="88"/>
  <c r="T60" i="88" s="1"/>
  <c r="T71" i="88"/>
  <c r="J98" i="88"/>
  <c r="T100" i="88"/>
  <c r="L46" i="88"/>
  <c r="R36" i="88"/>
  <c r="J9" i="88"/>
  <c r="L6" i="88"/>
  <c r="L7" i="88" s="1"/>
  <c r="R9" i="88"/>
  <c r="T17" i="88"/>
  <c r="L39" i="88"/>
  <c r="L40" i="88" s="1"/>
  <c r="T42" i="88"/>
  <c r="R69" i="88"/>
  <c r="L98" i="88"/>
  <c r="R99" i="88"/>
  <c r="J62" i="88"/>
  <c r="T69" i="88"/>
  <c r="R72" i="88"/>
  <c r="R76" i="88" s="1"/>
  <c r="R78" i="88" s="1"/>
  <c r="T88" i="88"/>
  <c r="T89" i="88" s="1"/>
  <c r="J97" i="88"/>
  <c r="T99" i="88"/>
  <c r="R101" i="88"/>
  <c r="R105" i="88" s="1"/>
  <c r="R107" i="88" s="1"/>
  <c r="W98" i="88" s="1"/>
  <c r="T18" i="88"/>
  <c r="L36" i="88"/>
  <c r="L37" i="88" s="1"/>
  <c r="L43" i="88"/>
  <c r="J46" i="88"/>
  <c r="J50" i="88" s="1"/>
  <c r="J52" i="88" s="1"/>
  <c r="L62" i="88"/>
  <c r="L63" i="88" s="1"/>
  <c r="T72" i="88"/>
  <c r="T76" i="88" s="1"/>
  <c r="T78" i="88" s="1"/>
  <c r="L97" i="88"/>
  <c r="B57" i="83"/>
  <c r="B54" i="83"/>
  <c r="B55" i="83" s="1"/>
  <c r="I8" i="82"/>
  <c r="O97" i="81"/>
  <c r="T87" i="81"/>
  <c r="R87" i="81"/>
  <c r="L80" i="81"/>
  <c r="L82" i="81" s="1"/>
  <c r="J80" i="81"/>
  <c r="J82" i="81" s="1"/>
  <c r="O65" i="81"/>
  <c r="T58" i="81"/>
  <c r="R58" i="81"/>
  <c r="R59" i="81" s="1"/>
  <c r="T35" i="81"/>
  <c r="R35" i="81"/>
  <c r="O12" i="81"/>
  <c r="T5" i="81"/>
  <c r="R5" i="81"/>
  <c r="D3" i="81"/>
  <c r="R98" i="81" s="1"/>
  <c r="D2" i="81"/>
  <c r="T101" i="81" s="1"/>
  <c r="B57" i="80"/>
  <c r="B54" i="80"/>
  <c r="B55" i="80" s="1"/>
  <c r="I8" i="79"/>
  <c r="O97" i="78"/>
  <c r="T87" i="78"/>
  <c r="R87" i="78"/>
  <c r="L80" i="78"/>
  <c r="L82" i="78" s="1"/>
  <c r="J80" i="78"/>
  <c r="J82" i="78" s="1"/>
  <c r="O65" i="78"/>
  <c r="T58" i="78"/>
  <c r="R58" i="78"/>
  <c r="W68" i="78" s="1"/>
  <c r="T35" i="78"/>
  <c r="R35" i="78"/>
  <c r="O12" i="78"/>
  <c r="T5" i="78"/>
  <c r="R5" i="78"/>
  <c r="D3" i="78"/>
  <c r="D2" i="78"/>
  <c r="I8" i="76"/>
  <c r="D6" i="76"/>
  <c r="C6" i="76"/>
  <c r="C8" i="76" s="1"/>
  <c r="G5" i="76"/>
  <c r="B5" i="76"/>
  <c r="J4" i="76" s="1"/>
  <c r="B3" i="76"/>
  <c r="E2" i="76" s="1"/>
  <c r="O97" i="75"/>
  <c r="T87" i="75"/>
  <c r="R87" i="75"/>
  <c r="L82" i="75"/>
  <c r="J82" i="75"/>
  <c r="L80" i="75"/>
  <c r="J80" i="75"/>
  <c r="R70" i="75"/>
  <c r="O65" i="75"/>
  <c r="T58" i="75"/>
  <c r="T59" i="75" s="1"/>
  <c r="T60" i="75" s="1"/>
  <c r="R58" i="75"/>
  <c r="L46" i="75"/>
  <c r="J46" i="75"/>
  <c r="J50" i="75" s="1"/>
  <c r="J52" i="75" s="1"/>
  <c r="J42" i="75"/>
  <c r="T35" i="75"/>
  <c r="R35" i="75"/>
  <c r="R39" i="75" s="1"/>
  <c r="R40" i="75" s="1"/>
  <c r="T18" i="75"/>
  <c r="R18" i="75"/>
  <c r="O12" i="75"/>
  <c r="T5" i="75"/>
  <c r="T9" i="75" s="1"/>
  <c r="T10" i="75" s="1"/>
  <c r="R5" i="75"/>
  <c r="R9" i="75" s="1"/>
  <c r="R10" i="75" s="1"/>
  <c r="D3" i="75"/>
  <c r="R97" i="75" s="1"/>
  <c r="D2" i="75"/>
  <c r="L100" i="75" s="1"/>
  <c r="L105" i="75" s="1"/>
  <c r="L107" i="75" s="1"/>
  <c r="U10" i="75" l="1"/>
  <c r="R36" i="75"/>
  <c r="R37" i="75" s="1"/>
  <c r="L62" i="75"/>
  <c r="L63" i="75" s="1"/>
  <c r="L97" i="75"/>
  <c r="R39" i="81"/>
  <c r="R88" i="81"/>
  <c r="W69" i="91"/>
  <c r="W70" i="91" s="1"/>
  <c r="W71" i="91" s="1"/>
  <c r="T88" i="81"/>
  <c r="T89" i="81" s="1"/>
  <c r="R6" i="75"/>
  <c r="R7" i="75" s="1"/>
  <c r="T98" i="75"/>
  <c r="B34" i="127"/>
  <c r="B34" i="90"/>
  <c r="R68" i="75"/>
  <c r="T6" i="75"/>
  <c r="T7" i="75" s="1"/>
  <c r="R19" i="75"/>
  <c r="R62" i="75"/>
  <c r="R63" i="75" s="1"/>
  <c r="T69" i="75"/>
  <c r="J100" i="75"/>
  <c r="J105" i="75" s="1"/>
  <c r="J107" i="75" s="1"/>
  <c r="E6" i="76"/>
  <c r="T62" i="81"/>
  <c r="T63" i="81" s="1"/>
  <c r="W69" i="88"/>
  <c r="W70" i="88" s="1"/>
  <c r="W71" i="88" s="1"/>
  <c r="T101" i="75"/>
  <c r="J9" i="75"/>
  <c r="T43" i="75"/>
  <c r="T45" i="75" s="1"/>
  <c r="J59" i="75"/>
  <c r="J60" i="75" s="1"/>
  <c r="T70" i="75"/>
  <c r="J88" i="75"/>
  <c r="I2" i="76"/>
  <c r="R6" i="81"/>
  <c r="W68" i="81"/>
  <c r="J36" i="75"/>
  <c r="J37" i="75" s="1"/>
  <c r="M37" i="75" s="1"/>
  <c r="J44" i="75"/>
  <c r="L59" i="75"/>
  <c r="L60" i="75" s="1"/>
  <c r="T72" i="75"/>
  <c r="L91" i="75"/>
  <c r="L92" i="75" s="1"/>
  <c r="T9" i="81"/>
  <c r="T10" i="81" s="1"/>
  <c r="U62" i="91"/>
  <c r="W63" i="91" s="1"/>
  <c r="L36" i="75"/>
  <c r="L37" i="75" s="1"/>
  <c r="L44" i="75"/>
  <c r="J62" i="75"/>
  <c r="J63" i="75" s="1"/>
  <c r="M63" i="75" s="1"/>
  <c r="W99" i="88"/>
  <c r="W100" i="88" s="1"/>
  <c r="U63" i="91"/>
  <c r="L14" i="88"/>
  <c r="L16" i="88" s="1"/>
  <c r="U40" i="88"/>
  <c r="O98" i="88"/>
  <c r="O99" i="88" s="1"/>
  <c r="O100" i="88" s="1"/>
  <c r="U39" i="88"/>
  <c r="U37" i="91"/>
  <c r="W37" i="91" s="1"/>
  <c r="M62" i="91"/>
  <c r="J63" i="91"/>
  <c r="M63" i="91" s="1"/>
  <c r="O63" i="91" s="1"/>
  <c r="U9" i="91"/>
  <c r="R10" i="91"/>
  <c r="U10" i="91" s="1"/>
  <c r="U6" i="91"/>
  <c r="R7" i="91"/>
  <c r="U7" i="91" s="1"/>
  <c r="W7" i="91" s="1"/>
  <c r="R92" i="91"/>
  <c r="U92" i="91" s="1"/>
  <c r="U91" i="91"/>
  <c r="H6" i="92"/>
  <c r="H2" i="92"/>
  <c r="H8" i="92" s="1"/>
  <c r="K8" i="92" s="1"/>
  <c r="U39" i="91"/>
  <c r="R40" i="91"/>
  <c r="U40" i="91" s="1"/>
  <c r="J10" i="91"/>
  <c r="M10" i="91" s="1"/>
  <c r="M9" i="91"/>
  <c r="R60" i="91"/>
  <c r="U60" i="91" s="1"/>
  <c r="U59" i="91"/>
  <c r="J89" i="91"/>
  <c r="M89" i="91" s="1"/>
  <c r="M88" i="91"/>
  <c r="M59" i="91"/>
  <c r="J60" i="91"/>
  <c r="J40" i="91"/>
  <c r="M40" i="91" s="1"/>
  <c r="M39" i="91"/>
  <c r="M36" i="91"/>
  <c r="J37" i="91"/>
  <c r="M37" i="91" s="1"/>
  <c r="U88" i="91"/>
  <c r="R89" i="91"/>
  <c r="U89" i="91" s="1"/>
  <c r="W89" i="91" s="1"/>
  <c r="M91" i="91"/>
  <c r="J92" i="91"/>
  <c r="M92" i="91" s="1"/>
  <c r="J7" i="91"/>
  <c r="M6" i="91"/>
  <c r="O98" i="91"/>
  <c r="O99" i="91" s="1"/>
  <c r="O100" i="91" s="1"/>
  <c r="M88" i="88"/>
  <c r="J89" i="88"/>
  <c r="M89" i="88" s="1"/>
  <c r="M6" i="88"/>
  <c r="J7" i="88"/>
  <c r="U91" i="88"/>
  <c r="R92" i="88"/>
  <c r="U92" i="88" s="1"/>
  <c r="W92" i="88" s="1"/>
  <c r="J63" i="88"/>
  <c r="M63" i="88" s="1"/>
  <c r="M62" i="88"/>
  <c r="U9" i="88"/>
  <c r="R10" i="88"/>
  <c r="U10" i="88" s="1"/>
  <c r="W10" i="88" s="1"/>
  <c r="J92" i="88"/>
  <c r="M92" i="88" s="1"/>
  <c r="M91" i="88"/>
  <c r="U89" i="88"/>
  <c r="U62" i="88"/>
  <c r="R63" i="88"/>
  <c r="U63" i="88" s="1"/>
  <c r="U88" i="88"/>
  <c r="M9" i="88"/>
  <c r="J10" i="88"/>
  <c r="J37" i="88"/>
  <c r="M37" i="88" s="1"/>
  <c r="M36" i="88"/>
  <c r="J60" i="88"/>
  <c r="M59" i="88"/>
  <c r="U6" i="88"/>
  <c r="M39" i="88"/>
  <c r="J40" i="88"/>
  <c r="M40" i="88" s="1"/>
  <c r="R37" i="88"/>
  <c r="U37" i="88" s="1"/>
  <c r="U36" i="88"/>
  <c r="U59" i="88"/>
  <c r="R60" i="88"/>
  <c r="U60" i="88" s="1"/>
  <c r="U7" i="88"/>
  <c r="R7" i="81"/>
  <c r="R89" i="81"/>
  <c r="R40" i="81"/>
  <c r="U59" i="81"/>
  <c r="R60" i="81"/>
  <c r="J44" i="81"/>
  <c r="L47" i="81"/>
  <c r="L50" i="81" s="1"/>
  <c r="L52" i="81" s="1"/>
  <c r="J9" i="81"/>
  <c r="T36" i="81"/>
  <c r="T37" i="81" s="1"/>
  <c r="J42" i="81"/>
  <c r="L44" i="81"/>
  <c r="R68" i="81"/>
  <c r="J88" i="81"/>
  <c r="T97" i="81"/>
  <c r="J99" i="81"/>
  <c r="J91" i="81"/>
  <c r="J100" i="81"/>
  <c r="J105" i="81" s="1"/>
  <c r="J107" i="81" s="1"/>
  <c r="R36" i="81"/>
  <c r="L91" i="81"/>
  <c r="L92" i="81" s="1"/>
  <c r="L100" i="81"/>
  <c r="L105" i="81" s="1"/>
  <c r="L107" i="81" s="1"/>
  <c r="L9" i="81"/>
  <c r="L10" i="81" s="1"/>
  <c r="R12" i="81"/>
  <c r="L42" i="81"/>
  <c r="J45" i="81"/>
  <c r="T68" i="81"/>
  <c r="R71" i="81"/>
  <c r="L88" i="81"/>
  <c r="L89" i="81" s="1"/>
  <c r="R91" i="81"/>
  <c r="W97" i="81"/>
  <c r="L99" i="81"/>
  <c r="R100" i="81"/>
  <c r="T105" i="81"/>
  <c r="T107" i="81" s="1"/>
  <c r="J6" i="81"/>
  <c r="T12" i="81"/>
  <c r="R17" i="81"/>
  <c r="J39" i="81"/>
  <c r="R42" i="81"/>
  <c r="R45" i="81" s="1"/>
  <c r="L45" i="81"/>
  <c r="T59" i="81"/>
  <c r="T60" i="81" s="1"/>
  <c r="T71" i="81"/>
  <c r="T91" i="81"/>
  <c r="T92" i="81" s="1"/>
  <c r="J98" i="81"/>
  <c r="T100" i="81"/>
  <c r="T39" i="81"/>
  <c r="T40" i="81" s="1"/>
  <c r="T43" i="81"/>
  <c r="T45" i="81" s="1"/>
  <c r="L46" i="81"/>
  <c r="R70" i="81"/>
  <c r="T98" i="81"/>
  <c r="L59" i="81"/>
  <c r="L60" i="81" s="1"/>
  <c r="L68" i="81" s="1"/>
  <c r="T70" i="81"/>
  <c r="L6" i="81"/>
  <c r="L7" i="81" s="1"/>
  <c r="L12" i="81" s="1"/>
  <c r="L14" i="81" s="1"/>
  <c r="L16" i="81" s="1"/>
  <c r="R9" i="81"/>
  <c r="T17" i="81"/>
  <c r="L39" i="81"/>
  <c r="L40" i="81" s="1"/>
  <c r="T42" i="81"/>
  <c r="R69" i="81"/>
  <c r="L98" i="81"/>
  <c r="R99" i="81"/>
  <c r="T19" i="81"/>
  <c r="T20" i="81" s="1"/>
  <c r="R62" i="81"/>
  <c r="R97" i="81"/>
  <c r="R18" i="81"/>
  <c r="J36" i="81"/>
  <c r="J43" i="81"/>
  <c r="J62" i="81"/>
  <c r="T69" i="81"/>
  <c r="R72" i="81"/>
  <c r="R76" i="81" s="1"/>
  <c r="R78" i="81" s="1"/>
  <c r="W69" i="81" s="1"/>
  <c r="W70" i="81" s="1"/>
  <c r="W71" i="81" s="1"/>
  <c r="J97" i="81"/>
  <c r="T99" i="81"/>
  <c r="R101" i="81"/>
  <c r="R105" i="81" s="1"/>
  <c r="R107" i="81" s="1"/>
  <c r="W98" i="81" s="1"/>
  <c r="T6" i="81"/>
  <c r="T7" i="81" s="1"/>
  <c r="R19" i="81"/>
  <c r="R20" i="81" s="1"/>
  <c r="J59" i="81"/>
  <c r="T18" i="81"/>
  <c r="L36" i="81"/>
  <c r="L37" i="81" s="1"/>
  <c r="L43" i="81"/>
  <c r="J46" i="81"/>
  <c r="J50" i="81" s="1"/>
  <c r="J52" i="81" s="1"/>
  <c r="L62" i="81"/>
  <c r="L63" i="81" s="1"/>
  <c r="T72" i="81"/>
  <c r="T76" i="81" s="1"/>
  <c r="T78" i="81" s="1"/>
  <c r="L97" i="81"/>
  <c r="R6" i="78"/>
  <c r="T9" i="78"/>
  <c r="T10" i="78" s="1"/>
  <c r="R39" i="78"/>
  <c r="T88" i="78"/>
  <c r="T89" i="78" s="1"/>
  <c r="T101" i="78"/>
  <c r="T105" i="78" s="1"/>
  <c r="T107" i="78" s="1"/>
  <c r="L97" i="78"/>
  <c r="T72" i="78"/>
  <c r="T76" i="78" s="1"/>
  <c r="T78" i="78" s="1"/>
  <c r="L62" i="78"/>
  <c r="L63" i="78" s="1"/>
  <c r="J46" i="78"/>
  <c r="J50" i="78" s="1"/>
  <c r="J52" i="78" s="1"/>
  <c r="T18" i="78"/>
  <c r="T70" i="78"/>
  <c r="J44" i="78"/>
  <c r="R36" i="78"/>
  <c r="T99" i="78"/>
  <c r="T69" i="78"/>
  <c r="J43" i="78"/>
  <c r="J36" i="78"/>
  <c r="L91" i="78"/>
  <c r="L92" i="78" s="1"/>
  <c r="L98" i="78"/>
  <c r="T42" i="78"/>
  <c r="L39" i="78"/>
  <c r="L40" i="78" s="1"/>
  <c r="T17" i="78"/>
  <c r="T100" i="78"/>
  <c r="T71" i="78"/>
  <c r="T12" i="78"/>
  <c r="J6" i="78"/>
  <c r="L100" i="78"/>
  <c r="L105" i="78" s="1"/>
  <c r="L107" i="78" s="1"/>
  <c r="L99" i="78"/>
  <c r="T68" i="78"/>
  <c r="J45" i="78"/>
  <c r="L9" i="78"/>
  <c r="L10" i="78" s="1"/>
  <c r="T19" i="78"/>
  <c r="T97" i="78"/>
  <c r="J88" i="78"/>
  <c r="T62" i="78"/>
  <c r="T63" i="78" s="1"/>
  <c r="J42" i="78"/>
  <c r="T98" i="78"/>
  <c r="J59" i="78"/>
  <c r="T43" i="78"/>
  <c r="T45" i="78" s="1"/>
  <c r="T39" i="78"/>
  <c r="T40" i="78" s="1"/>
  <c r="R98" i="78"/>
  <c r="L43" i="78"/>
  <c r="L36" i="78"/>
  <c r="L37" i="78" s="1"/>
  <c r="R97" i="78"/>
  <c r="R101" i="78"/>
  <c r="R105" i="78" s="1"/>
  <c r="R107" i="78" s="1"/>
  <c r="J97" i="78"/>
  <c r="R72" i="78"/>
  <c r="R76" i="78" s="1"/>
  <c r="R78" i="78" s="1"/>
  <c r="J62" i="78"/>
  <c r="R18" i="78"/>
  <c r="R99" i="78"/>
  <c r="R69" i="78"/>
  <c r="L6" i="78"/>
  <c r="L7" i="78" s="1"/>
  <c r="L12" i="78" s="1"/>
  <c r="L14" i="78" s="1"/>
  <c r="L16" i="78" s="1"/>
  <c r="L47" i="78"/>
  <c r="L50" i="78" s="1"/>
  <c r="L52" i="78" s="1"/>
  <c r="J98" i="78"/>
  <c r="T59" i="78"/>
  <c r="T60" i="78" s="1"/>
  <c r="L45" i="78"/>
  <c r="R42" i="78"/>
  <c r="R45" i="78" s="1"/>
  <c r="J39" i="78"/>
  <c r="R17" i="78"/>
  <c r="L59" i="78"/>
  <c r="L60" i="78" s="1"/>
  <c r="L68" i="78" s="1"/>
  <c r="R100" i="78"/>
  <c r="L88" i="78"/>
  <c r="L89" i="78" s="1"/>
  <c r="R71" i="78"/>
  <c r="L42" i="78"/>
  <c r="R12" i="78"/>
  <c r="J99" i="78"/>
  <c r="R68" i="78"/>
  <c r="L44" i="78"/>
  <c r="J9" i="78"/>
  <c r="R62" i="78"/>
  <c r="J100" i="78"/>
  <c r="J105" i="78" s="1"/>
  <c r="J107" i="78" s="1"/>
  <c r="O98" i="78" s="1"/>
  <c r="O99" i="78" s="1"/>
  <c r="O100" i="78" s="1"/>
  <c r="J91" i="78"/>
  <c r="R70" i="78"/>
  <c r="L46" i="78"/>
  <c r="R19" i="78"/>
  <c r="R20" i="78" s="1"/>
  <c r="T6" i="78"/>
  <c r="T7" i="78" s="1"/>
  <c r="R88" i="78"/>
  <c r="T36" i="78"/>
  <c r="T37" i="78" s="1"/>
  <c r="T20" i="78"/>
  <c r="R59" i="78"/>
  <c r="R91" i="78"/>
  <c r="W97" i="78"/>
  <c r="T91" i="78"/>
  <c r="T92" i="78" s="1"/>
  <c r="R9" i="78"/>
  <c r="J2" i="76"/>
  <c r="J6" i="76"/>
  <c r="J8" i="76" s="1"/>
  <c r="C2" i="76"/>
  <c r="H4" i="76"/>
  <c r="I6" i="76"/>
  <c r="G3" i="76"/>
  <c r="D2" i="76"/>
  <c r="D8" i="76" s="1"/>
  <c r="F8" i="76" s="1"/>
  <c r="M8" i="76" s="1"/>
  <c r="O98" i="75"/>
  <c r="O99" i="75" s="1"/>
  <c r="O100" i="75" s="1"/>
  <c r="M9" i="75"/>
  <c r="T88" i="75"/>
  <c r="T89" i="75" s="1"/>
  <c r="T91" i="75"/>
  <c r="T92" i="75" s="1"/>
  <c r="T105" i="75"/>
  <c r="T107" i="75" s="1"/>
  <c r="M36" i="75"/>
  <c r="O37" i="75" s="1"/>
  <c r="M59" i="75"/>
  <c r="U6" i="75"/>
  <c r="T99" i="75"/>
  <c r="L98" i="75"/>
  <c r="T42" i="75"/>
  <c r="L39" i="75"/>
  <c r="L40" i="75" s="1"/>
  <c r="T17" i="75"/>
  <c r="T100" i="75"/>
  <c r="T71" i="75"/>
  <c r="T12" i="75"/>
  <c r="J6" i="75"/>
  <c r="L99" i="75"/>
  <c r="T68" i="75"/>
  <c r="J45" i="75"/>
  <c r="L9" i="75"/>
  <c r="L10" i="75" s="1"/>
  <c r="T97" i="75"/>
  <c r="J10" i="75"/>
  <c r="M10" i="75" s="1"/>
  <c r="T19" i="75"/>
  <c r="T20" i="75" s="1"/>
  <c r="T36" i="75"/>
  <c r="T37" i="75" s="1"/>
  <c r="U37" i="75" s="1"/>
  <c r="T39" i="75"/>
  <c r="T40" i="75" s="1"/>
  <c r="U40" i="75" s="1"/>
  <c r="J43" i="75"/>
  <c r="L47" i="75"/>
  <c r="L50" i="75" s="1"/>
  <c r="L52" i="75" s="1"/>
  <c r="T62" i="75"/>
  <c r="T63" i="75" s="1"/>
  <c r="J68" i="75"/>
  <c r="T76" i="75"/>
  <c r="T78" i="75" s="1"/>
  <c r="J89" i="75"/>
  <c r="U9" i="75"/>
  <c r="W10" i="75" s="1"/>
  <c r="U36" i="75"/>
  <c r="R101" i="75"/>
  <c r="R105" i="75" s="1"/>
  <c r="R107" i="75" s="1"/>
  <c r="W98" i="75" s="1"/>
  <c r="W99" i="75" s="1"/>
  <c r="W100" i="75" s="1"/>
  <c r="J97" i="75"/>
  <c r="R99" i="75"/>
  <c r="R69" i="75"/>
  <c r="L6" i="75"/>
  <c r="L7" i="75" s="1"/>
  <c r="L12" i="75" s="1"/>
  <c r="L14" i="75" s="1"/>
  <c r="L16" i="75" s="1"/>
  <c r="J98" i="75"/>
  <c r="L45" i="75"/>
  <c r="R42" i="75"/>
  <c r="R45" i="75" s="1"/>
  <c r="J39" i="75"/>
  <c r="R17" i="75"/>
  <c r="R100" i="75"/>
  <c r="L88" i="75"/>
  <c r="L89" i="75" s="1"/>
  <c r="R71" i="75"/>
  <c r="L42" i="75"/>
  <c r="R12" i="75"/>
  <c r="J99" i="75"/>
  <c r="R20" i="75"/>
  <c r="L43" i="75"/>
  <c r="L68" i="75"/>
  <c r="R72" i="75"/>
  <c r="R76" i="75" s="1"/>
  <c r="R78" i="75" s="1"/>
  <c r="W69" i="75" s="1"/>
  <c r="J91" i="75"/>
  <c r="R98" i="75"/>
  <c r="W68" i="75"/>
  <c r="R59" i="75"/>
  <c r="R88" i="75"/>
  <c r="W97" i="75"/>
  <c r="R91" i="75"/>
  <c r="O97" i="73"/>
  <c r="T87" i="73"/>
  <c r="R87" i="73"/>
  <c r="L80" i="73"/>
  <c r="L82" i="73" s="1"/>
  <c r="J80" i="73"/>
  <c r="J82" i="73" s="1"/>
  <c r="W68" i="73"/>
  <c r="O65" i="73"/>
  <c r="T58" i="73"/>
  <c r="R58" i="73"/>
  <c r="R59" i="73" s="1"/>
  <c r="T35" i="73"/>
  <c r="R35" i="73"/>
  <c r="O12" i="73"/>
  <c r="T5" i="73"/>
  <c r="R5" i="73"/>
  <c r="R6" i="73" s="1"/>
  <c r="F3" i="73"/>
  <c r="D3" i="73" s="1"/>
  <c r="F2" i="73"/>
  <c r="D2" i="73" s="1"/>
  <c r="I8" i="72"/>
  <c r="B57" i="71"/>
  <c r="B54" i="71"/>
  <c r="B55" i="71" s="1"/>
  <c r="O97" i="70"/>
  <c r="T87" i="70"/>
  <c r="R87" i="70"/>
  <c r="L80" i="70"/>
  <c r="L82" i="70" s="1"/>
  <c r="J80" i="70"/>
  <c r="J82" i="70" s="1"/>
  <c r="W68" i="70"/>
  <c r="O65" i="70"/>
  <c r="T58" i="70"/>
  <c r="R58" i="70"/>
  <c r="T35" i="70"/>
  <c r="R35" i="70"/>
  <c r="O12" i="70"/>
  <c r="T5" i="70"/>
  <c r="R5" i="70"/>
  <c r="F3" i="70"/>
  <c r="D3" i="70"/>
  <c r="R98" i="70" s="1"/>
  <c r="F2" i="70"/>
  <c r="D2" i="70" s="1"/>
  <c r="I8" i="69"/>
  <c r="T101" i="70" l="1"/>
  <c r="T70" i="70"/>
  <c r="J42" i="70"/>
  <c r="T12" i="70"/>
  <c r="T98" i="70"/>
  <c r="T39" i="70"/>
  <c r="T40" i="70" s="1"/>
  <c r="J6" i="70"/>
  <c r="L91" i="70"/>
  <c r="L92" i="70" s="1"/>
  <c r="J59" i="70"/>
  <c r="J60" i="70" s="1"/>
  <c r="J44" i="70"/>
  <c r="T43" i="70"/>
  <c r="T19" i="70"/>
  <c r="T17" i="70"/>
  <c r="R98" i="73"/>
  <c r="T6" i="73"/>
  <c r="T7" i="73" s="1"/>
  <c r="R19" i="73"/>
  <c r="R20" i="73" s="1"/>
  <c r="R39" i="70"/>
  <c r="R88" i="70"/>
  <c r="R6" i="70"/>
  <c r="T45" i="70"/>
  <c r="T88" i="70"/>
  <c r="T89" i="70" s="1"/>
  <c r="R39" i="73"/>
  <c r="M89" i="75"/>
  <c r="O89" i="75" s="1"/>
  <c r="W37" i="75"/>
  <c r="M88" i="75"/>
  <c r="T9" i="70"/>
  <c r="T10" i="70" s="1"/>
  <c r="R36" i="70"/>
  <c r="R37" i="70" s="1"/>
  <c r="T88" i="73"/>
  <c r="T89" i="73" s="1"/>
  <c r="M62" i="75"/>
  <c r="O63" i="75" s="1"/>
  <c r="O98" i="81"/>
  <c r="O99" i="81" s="1"/>
  <c r="O100" i="81" s="1"/>
  <c r="U89" i="81"/>
  <c r="W89" i="81" s="1"/>
  <c r="B33" i="90"/>
  <c r="B32" i="90"/>
  <c r="W99" i="81"/>
  <c r="W100" i="81" s="1"/>
  <c r="U88" i="81"/>
  <c r="M10" i="88"/>
  <c r="G15" i="114" s="1"/>
  <c r="G16" i="114" s="1"/>
  <c r="J12" i="88"/>
  <c r="G15" i="127"/>
  <c r="G16" i="127" s="1"/>
  <c r="G15" i="90"/>
  <c r="G16" i="90" s="1"/>
  <c r="B33" i="127"/>
  <c r="B32" i="127"/>
  <c r="T9" i="73"/>
  <c r="T10" i="73" s="1"/>
  <c r="W10" i="91"/>
  <c r="M60" i="75"/>
  <c r="O60" i="75" s="1"/>
  <c r="U7" i="75"/>
  <c r="W7" i="75" s="1"/>
  <c r="O89" i="88"/>
  <c r="W60" i="88"/>
  <c r="W63" i="88"/>
  <c r="O10" i="88"/>
  <c r="W40" i="88"/>
  <c r="W60" i="91"/>
  <c r="W92" i="91"/>
  <c r="O40" i="91"/>
  <c r="O92" i="91"/>
  <c r="M60" i="91"/>
  <c r="O60" i="91" s="1"/>
  <c r="J68" i="91"/>
  <c r="O66" i="91" s="1"/>
  <c r="O67" i="91" s="1"/>
  <c r="O68" i="91" s="1"/>
  <c r="W40" i="91"/>
  <c r="O10" i="91"/>
  <c r="J12" i="91"/>
  <c r="J14" i="91" s="1"/>
  <c r="J16" i="91" s="1"/>
  <c r="O13" i="91" s="1"/>
  <c r="O14" i="91" s="1"/>
  <c r="O15" i="91" s="1"/>
  <c r="M7" i="91"/>
  <c r="O7" i="91" s="1"/>
  <c r="O89" i="91"/>
  <c r="O37" i="91"/>
  <c r="O63" i="88"/>
  <c r="W7" i="88"/>
  <c r="M60" i="88"/>
  <c r="O60" i="88" s="1"/>
  <c r="J68" i="88"/>
  <c r="O66" i="88" s="1"/>
  <c r="O67" i="88" s="1"/>
  <c r="O68" i="88" s="1"/>
  <c r="W89" i="88"/>
  <c r="M7" i="88"/>
  <c r="O7" i="88" s="1"/>
  <c r="O37" i="88"/>
  <c r="O92" i="88"/>
  <c r="W37" i="88"/>
  <c r="O40" i="88"/>
  <c r="J92" i="81"/>
  <c r="M92" i="81" s="1"/>
  <c r="M91" i="81"/>
  <c r="U39" i="81"/>
  <c r="M6" i="81"/>
  <c r="J7" i="81"/>
  <c r="R63" i="81"/>
  <c r="U63" i="81" s="1"/>
  <c r="U62" i="81"/>
  <c r="U40" i="81"/>
  <c r="M36" i="81"/>
  <c r="J37" i="81"/>
  <c r="M37" i="81" s="1"/>
  <c r="O37" i="81" s="1"/>
  <c r="U9" i="81"/>
  <c r="R10" i="81"/>
  <c r="U10" i="81" s="1"/>
  <c r="W10" i="81" s="1"/>
  <c r="M9" i="81"/>
  <c r="J10" i="81"/>
  <c r="M10" i="81" s="1"/>
  <c r="M39" i="81"/>
  <c r="J40" i="81"/>
  <c r="M40" i="81" s="1"/>
  <c r="U91" i="81"/>
  <c r="R92" i="81"/>
  <c r="U92" i="81" s="1"/>
  <c r="W92" i="81" s="1"/>
  <c r="R37" i="81"/>
  <c r="U37" i="81" s="1"/>
  <c r="U36" i="81"/>
  <c r="J60" i="81"/>
  <c r="M59" i="81"/>
  <c r="M62" i="81"/>
  <c r="J63" i="81"/>
  <c r="M63" i="81" s="1"/>
  <c r="J89" i="81"/>
  <c r="M89" i="81" s="1"/>
  <c r="M88" i="81"/>
  <c r="U6" i="81"/>
  <c r="U60" i="81"/>
  <c r="W60" i="81" s="1"/>
  <c r="U7" i="81"/>
  <c r="W7" i="81" s="1"/>
  <c r="W69" i="78"/>
  <c r="W70" i="78" s="1"/>
  <c r="W71" i="78" s="1"/>
  <c r="U91" i="78"/>
  <c r="R92" i="78"/>
  <c r="U92" i="78" s="1"/>
  <c r="M9" i="78"/>
  <c r="J10" i="78"/>
  <c r="M10" i="78" s="1"/>
  <c r="O10" i="78" s="1"/>
  <c r="U36" i="78"/>
  <c r="R37" i="78"/>
  <c r="U37" i="78" s="1"/>
  <c r="U62" i="78"/>
  <c r="R63" i="78"/>
  <c r="U63" i="78" s="1"/>
  <c r="U59" i="78"/>
  <c r="R60" i="78"/>
  <c r="U60" i="78" s="1"/>
  <c r="W60" i="78" s="1"/>
  <c r="J60" i="78"/>
  <c r="M59" i="78"/>
  <c r="W98" i="78"/>
  <c r="W99" i="78" s="1"/>
  <c r="W100" i="78" s="1"/>
  <c r="M39" i="78"/>
  <c r="J40" i="78"/>
  <c r="M40" i="78" s="1"/>
  <c r="O40" i="78" s="1"/>
  <c r="M88" i="78"/>
  <c r="J89" i="78"/>
  <c r="M89" i="78" s="1"/>
  <c r="M6" i="78"/>
  <c r="J7" i="78"/>
  <c r="R40" i="78"/>
  <c r="U40" i="78" s="1"/>
  <c r="U39" i="78"/>
  <c r="U9" i="78"/>
  <c r="R10" i="78"/>
  <c r="U10" i="78" s="1"/>
  <c r="W10" i="78" s="1"/>
  <c r="J37" i="78"/>
  <c r="M37" i="78" s="1"/>
  <c r="M36" i="78"/>
  <c r="U88" i="78"/>
  <c r="R89" i="78"/>
  <c r="U89" i="78" s="1"/>
  <c r="J92" i="78"/>
  <c r="M92" i="78" s="1"/>
  <c r="M91" i="78"/>
  <c r="J63" i="78"/>
  <c r="M63" i="78" s="1"/>
  <c r="M62" i="78"/>
  <c r="R7" i="78"/>
  <c r="U7" i="78" s="1"/>
  <c r="U6" i="78"/>
  <c r="H2" i="76"/>
  <c r="H8" i="76" s="1"/>
  <c r="K8" i="76" s="1"/>
  <c r="H6" i="76"/>
  <c r="U59" i="75"/>
  <c r="R60" i="75"/>
  <c r="U60" i="75" s="1"/>
  <c r="W60" i="75" s="1"/>
  <c r="J40" i="75"/>
  <c r="M40" i="75" s="1"/>
  <c r="M39" i="75"/>
  <c r="U39" i="75"/>
  <c r="W40" i="75" s="1"/>
  <c r="M6" i="75"/>
  <c r="J7" i="75"/>
  <c r="J92" i="75"/>
  <c r="M92" i="75" s="1"/>
  <c r="M91" i="75"/>
  <c r="U91" i="75"/>
  <c r="R92" i="75"/>
  <c r="U92" i="75" s="1"/>
  <c r="W70" i="75"/>
  <c r="W71" i="75" s="1"/>
  <c r="O10" i="75"/>
  <c r="U63" i="75"/>
  <c r="W63" i="75" s="1"/>
  <c r="O66" i="75"/>
  <c r="O67" i="75" s="1"/>
  <c r="O68" i="75" s="1"/>
  <c r="U62" i="75"/>
  <c r="R89" i="75"/>
  <c r="U89" i="75" s="1"/>
  <c r="U88" i="75"/>
  <c r="R60" i="73"/>
  <c r="R7" i="73"/>
  <c r="U7" i="73" s="1"/>
  <c r="U6" i="73"/>
  <c r="T101" i="73"/>
  <c r="L97" i="73"/>
  <c r="T72" i="73"/>
  <c r="T76" i="73" s="1"/>
  <c r="T78" i="73" s="1"/>
  <c r="L62" i="73"/>
  <c r="L63" i="73" s="1"/>
  <c r="J46" i="73"/>
  <c r="J50" i="73" s="1"/>
  <c r="J52" i="73" s="1"/>
  <c r="T18" i="73"/>
  <c r="T99" i="73"/>
  <c r="T69" i="73"/>
  <c r="J43" i="73"/>
  <c r="J36" i="73"/>
  <c r="T98" i="73"/>
  <c r="T43" i="73"/>
  <c r="T45" i="73" s="1"/>
  <c r="L98" i="73"/>
  <c r="T42" i="73"/>
  <c r="L39" i="73"/>
  <c r="L40" i="73" s="1"/>
  <c r="T17" i="73"/>
  <c r="L100" i="73"/>
  <c r="L105" i="73" s="1"/>
  <c r="L107" i="73" s="1"/>
  <c r="R36" i="73"/>
  <c r="J59" i="73"/>
  <c r="T100" i="73"/>
  <c r="T71" i="73"/>
  <c r="T12" i="73"/>
  <c r="J6" i="73"/>
  <c r="T70" i="73"/>
  <c r="J44" i="73"/>
  <c r="L99" i="73"/>
  <c r="T68" i="73"/>
  <c r="J45" i="73"/>
  <c r="L9" i="73"/>
  <c r="L10" i="73" s="1"/>
  <c r="L91" i="73"/>
  <c r="L92" i="73" s="1"/>
  <c r="T97" i="73"/>
  <c r="J88" i="73"/>
  <c r="T62" i="73"/>
  <c r="T63" i="73" s="1"/>
  <c r="J42" i="73"/>
  <c r="T19" i="73"/>
  <c r="T39" i="73"/>
  <c r="T40" i="73" s="1"/>
  <c r="R40" i="73"/>
  <c r="U40" i="73" s="1"/>
  <c r="U39" i="73"/>
  <c r="R88" i="73"/>
  <c r="L47" i="73"/>
  <c r="L50" i="73" s="1"/>
  <c r="L52" i="73" s="1"/>
  <c r="J9" i="73"/>
  <c r="T36" i="73"/>
  <c r="T37" i="73" s="1"/>
  <c r="L44" i="73"/>
  <c r="R68" i="73"/>
  <c r="J99" i="73"/>
  <c r="J91" i="73"/>
  <c r="R12" i="73"/>
  <c r="T20" i="73"/>
  <c r="L42" i="73"/>
  <c r="R71" i="73"/>
  <c r="L88" i="73"/>
  <c r="L89" i="73" s="1"/>
  <c r="R91" i="73"/>
  <c r="W97" i="73"/>
  <c r="R100" i="73"/>
  <c r="T105" i="73"/>
  <c r="T107" i="73" s="1"/>
  <c r="L46" i="73"/>
  <c r="R62" i="73"/>
  <c r="R17" i="73"/>
  <c r="J39" i="73"/>
  <c r="R42" i="73"/>
  <c r="L45" i="73"/>
  <c r="T59" i="73"/>
  <c r="T60" i="73" s="1"/>
  <c r="T91" i="73"/>
  <c r="T92" i="73" s="1"/>
  <c r="J98" i="73"/>
  <c r="L59" i="73"/>
  <c r="L60" i="73" s="1"/>
  <c r="L6" i="73"/>
  <c r="L7" i="73" s="1"/>
  <c r="L12" i="73" s="1"/>
  <c r="L14" i="73" s="1"/>
  <c r="L16" i="73" s="1"/>
  <c r="R9" i="73"/>
  <c r="R45" i="73"/>
  <c r="R69" i="73"/>
  <c r="R99" i="73"/>
  <c r="R70" i="73"/>
  <c r="R97" i="73"/>
  <c r="R18" i="73"/>
  <c r="J62" i="73"/>
  <c r="R72" i="73"/>
  <c r="R76" i="73" s="1"/>
  <c r="R78" i="73" s="1"/>
  <c r="J97" i="73"/>
  <c r="R101" i="73"/>
  <c r="R105" i="73" s="1"/>
  <c r="R107" i="73" s="1"/>
  <c r="L68" i="73"/>
  <c r="J100" i="73"/>
  <c r="J105" i="73" s="1"/>
  <c r="J107" i="73" s="1"/>
  <c r="O98" i="73" s="1"/>
  <c r="O99" i="73" s="1"/>
  <c r="O100" i="73" s="1"/>
  <c r="L36" i="73"/>
  <c r="L37" i="73" s="1"/>
  <c r="L43" i="73"/>
  <c r="U88" i="70"/>
  <c r="R89" i="70"/>
  <c r="U89" i="70" s="1"/>
  <c r="W89" i="70" s="1"/>
  <c r="R40" i="70"/>
  <c r="U40" i="70" s="1"/>
  <c r="U39" i="70"/>
  <c r="R7" i="70"/>
  <c r="L59" i="70"/>
  <c r="L60" i="70" s="1"/>
  <c r="M60" i="70" s="1"/>
  <c r="O60" i="70" s="1"/>
  <c r="R97" i="70"/>
  <c r="L100" i="70"/>
  <c r="L105" i="70" s="1"/>
  <c r="L107" i="70" s="1"/>
  <c r="T6" i="70"/>
  <c r="T7" i="70" s="1"/>
  <c r="J9" i="70"/>
  <c r="L44" i="70"/>
  <c r="M59" i="70"/>
  <c r="T62" i="70"/>
  <c r="T63" i="70" s="1"/>
  <c r="R68" i="70"/>
  <c r="J88" i="70"/>
  <c r="T97" i="70"/>
  <c r="J99" i="70"/>
  <c r="L46" i="70"/>
  <c r="L68" i="70"/>
  <c r="J100" i="70"/>
  <c r="J105" i="70" s="1"/>
  <c r="J107" i="70" s="1"/>
  <c r="J7" i="70"/>
  <c r="T36" i="70"/>
  <c r="T37" i="70" s="1"/>
  <c r="U37" i="70" s="1"/>
  <c r="L9" i="70"/>
  <c r="L10" i="70" s="1"/>
  <c r="R12" i="70"/>
  <c r="T20" i="70"/>
  <c r="L42" i="70"/>
  <c r="J45" i="70"/>
  <c r="R59" i="70"/>
  <c r="T68" i="70"/>
  <c r="R71" i="70"/>
  <c r="L88" i="70"/>
  <c r="L89" i="70" s="1"/>
  <c r="R91" i="70"/>
  <c r="W97" i="70"/>
  <c r="L99" i="70"/>
  <c r="R100" i="70"/>
  <c r="T105" i="70"/>
  <c r="T107" i="70" s="1"/>
  <c r="R19" i="70"/>
  <c r="R20" i="70" s="1"/>
  <c r="J91" i="70"/>
  <c r="R62" i="70"/>
  <c r="R17" i="70"/>
  <c r="J39" i="70"/>
  <c r="R42" i="70"/>
  <c r="R45" i="70" s="1"/>
  <c r="L45" i="70"/>
  <c r="T59" i="70"/>
  <c r="T60" i="70" s="1"/>
  <c r="T71" i="70"/>
  <c r="T91" i="70"/>
  <c r="T92" i="70" s="1"/>
  <c r="J98" i="70"/>
  <c r="T100" i="70"/>
  <c r="L47" i="70"/>
  <c r="L50" i="70" s="1"/>
  <c r="L52" i="70" s="1"/>
  <c r="R9" i="70"/>
  <c r="L39" i="70"/>
  <c r="L40" i="70" s="1"/>
  <c r="T42" i="70"/>
  <c r="R69" i="70"/>
  <c r="L98" i="70"/>
  <c r="R99" i="70"/>
  <c r="R70" i="70"/>
  <c r="R18" i="70"/>
  <c r="J36" i="70"/>
  <c r="J43" i="70"/>
  <c r="J62" i="70"/>
  <c r="T69" i="70"/>
  <c r="R72" i="70"/>
  <c r="R76" i="70" s="1"/>
  <c r="R78" i="70" s="1"/>
  <c r="W69" i="70" s="1"/>
  <c r="W70" i="70" s="1"/>
  <c r="W71" i="70" s="1"/>
  <c r="J97" i="70"/>
  <c r="T99" i="70"/>
  <c r="R101" i="70"/>
  <c r="R105" i="70" s="1"/>
  <c r="R107" i="70" s="1"/>
  <c r="W98" i="70" s="1"/>
  <c r="L6" i="70"/>
  <c r="L7" i="70" s="1"/>
  <c r="L12" i="70" s="1"/>
  <c r="L14" i="70" s="1"/>
  <c r="L16" i="70" s="1"/>
  <c r="T18" i="70"/>
  <c r="L36" i="70"/>
  <c r="L37" i="70" s="1"/>
  <c r="L43" i="70"/>
  <c r="J46" i="70"/>
  <c r="J50" i="70" s="1"/>
  <c r="J52" i="70" s="1"/>
  <c r="L62" i="70"/>
  <c r="L63" i="70" s="1"/>
  <c r="J68" i="70"/>
  <c r="O66" i="70" s="1"/>
  <c r="O67" i="70" s="1"/>
  <c r="O68" i="70" s="1"/>
  <c r="T72" i="70"/>
  <c r="T76" i="70" s="1"/>
  <c r="T78" i="70" s="1"/>
  <c r="L97" i="70"/>
  <c r="B57" i="68"/>
  <c r="B54" i="68"/>
  <c r="B55" i="68" s="1"/>
  <c r="O97" i="67"/>
  <c r="T87" i="67"/>
  <c r="T88" i="67" s="1"/>
  <c r="T89" i="67" s="1"/>
  <c r="R87" i="67"/>
  <c r="R88" i="67" s="1"/>
  <c r="L80" i="67"/>
  <c r="L82" i="67" s="1"/>
  <c r="J80" i="67"/>
  <c r="J82" i="67" s="1"/>
  <c r="O65" i="67"/>
  <c r="T58" i="67"/>
  <c r="W68" i="67" s="1"/>
  <c r="R58" i="67"/>
  <c r="T35" i="67"/>
  <c r="R35" i="67"/>
  <c r="R39" i="67" s="1"/>
  <c r="O12" i="67"/>
  <c r="T5" i="67"/>
  <c r="T9" i="67" s="1"/>
  <c r="T10" i="67" s="1"/>
  <c r="R5" i="67"/>
  <c r="R6" i="67" s="1"/>
  <c r="F3" i="67"/>
  <c r="D3" i="67"/>
  <c r="R98" i="67" s="1"/>
  <c r="F2" i="67"/>
  <c r="D2" i="67" s="1"/>
  <c r="I8" i="66"/>
  <c r="I8" i="64"/>
  <c r="O97" i="63"/>
  <c r="T87" i="63"/>
  <c r="R87" i="63"/>
  <c r="L80" i="63"/>
  <c r="L82" i="63" s="1"/>
  <c r="J80" i="63"/>
  <c r="J82" i="63" s="1"/>
  <c r="O65" i="63"/>
  <c r="T58" i="63"/>
  <c r="R58" i="63"/>
  <c r="W68" i="63" s="1"/>
  <c r="T35" i="63"/>
  <c r="R35" i="63"/>
  <c r="O12" i="63"/>
  <c r="T5" i="63"/>
  <c r="R5" i="63"/>
  <c r="F3" i="63"/>
  <c r="D3" i="63" s="1"/>
  <c r="R98" i="63" s="1"/>
  <c r="F2" i="63"/>
  <c r="D2" i="63" s="1"/>
  <c r="B57" i="62"/>
  <c r="B54" i="62"/>
  <c r="B55" i="62" s="1"/>
  <c r="I8" i="61"/>
  <c r="O97" i="60"/>
  <c r="T87" i="60"/>
  <c r="R87" i="60"/>
  <c r="L80" i="60"/>
  <c r="L82" i="60" s="1"/>
  <c r="J80" i="60"/>
  <c r="J82" i="60" s="1"/>
  <c r="O65" i="60"/>
  <c r="T58" i="60"/>
  <c r="R58" i="60"/>
  <c r="W68" i="60" s="1"/>
  <c r="T35" i="60"/>
  <c r="R35" i="60"/>
  <c r="O12" i="60"/>
  <c r="T5" i="60"/>
  <c r="R5" i="60"/>
  <c r="R6" i="60" s="1"/>
  <c r="F3" i="60"/>
  <c r="D3" i="60" s="1"/>
  <c r="R98" i="60" s="1"/>
  <c r="F2" i="60"/>
  <c r="D2" i="60" s="1"/>
  <c r="B57" i="59"/>
  <c r="B54" i="59"/>
  <c r="B55" i="59" s="1"/>
  <c r="I8" i="58"/>
  <c r="R98" i="57"/>
  <c r="O97" i="57"/>
  <c r="T87" i="57"/>
  <c r="R87" i="57"/>
  <c r="L80" i="57"/>
  <c r="L82" i="57" s="1"/>
  <c r="J80" i="57"/>
  <c r="J82" i="57" s="1"/>
  <c r="O65" i="57"/>
  <c r="T58" i="57"/>
  <c r="W68" i="57" s="1"/>
  <c r="R58" i="57"/>
  <c r="T35" i="57"/>
  <c r="R35" i="57"/>
  <c r="R39" i="57" s="1"/>
  <c r="R40" i="57" s="1"/>
  <c r="O12" i="57"/>
  <c r="T5" i="57"/>
  <c r="R5" i="57"/>
  <c r="R9" i="57" s="1"/>
  <c r="F3" i="57"/>
  <c r="D3" i="57"/>
  <c r="R101" i="57" s="1"/>
  <c r="F2" i="57"/>
  <c r="D2" i="57" s="1"/>
  <c r="B57" i="56"/>
  <c r="B54" i="56"/>
  <c r="B55" i="56" s="1"/>
  <c r="I8" i="55"/>
  <c r="O97" i="54"/>
  <c r="T87" i="54"/>
  <c r="T91" i="54" s="1"/>
  <c r="T92" i="54" s="1"/>
  <c r="R87" i="54"/>
  <c r="R88" i="54" s="1"/>
  <c r="R89" i="54" s="1"/>
  <c r="L80" i="54"/>
  <c r="L82" i="54" s="1"/>
  <c r="J80" i="54"/>
  <c r="J82" i="54" s="1"/>
  <c r="O65" i="54"/>
  <c r="T58" i="54"/>
  <c r="R58" i="54"/>
  <c r="R59" i="54" s="1"/>
  <c r="T35" i="54"/>
  <c r="R35" i="54"/>
  <c r="O12" i="54"/>
  <c r="T5" i="54"/>
  <c r="R5" i="54"/>
  <c r="F3" i="54"/>
  <c r="D3" i="54" s="1"/>
  <c r="F2" i="54"/>
  <c r="D2" i="54" s="1"/>
  <c r="B57" i="53"/>
  <c r="B54" i="53"/>
  <c r="B55" i="53" s="1"/>
  <c r="B57" i="52"/>
  <c r="B54" i="52"/>
  <c r="B55" i="52" s="1"/>
  <c r="I8" i="51"/>
  <c r="O97" i="50"/>
  <c r="T87" i="50"/>
  <c r="R87" i="50"/>
  <c r="L80" i="50"/>
  <c r="L82" i="50" s="1"/>
  <c r="J80" i="50"/>
  <c r="J82" i="50" s="1"/>
  <c r="O65" i="50"/>
  <c r="T58" i="50"/>
  <c r="R58" i="50"/>
  <c r="W68" i="50" s="1"/>
  <c r="T35" i="50"/>
  <c r="R35" i="50"/>
  <c r="O12" i="50"/>
  <c r="T5" i="50"/>
  <c r="R5" i="50"/>
  <c r="F3" i="50"/>
  <c r="B5" i="58" s="1"/>
  <c r="F2" i="50"/>
  <c r="D2" i="50" s="1"/>
  <c r="T101" i="50" s="1"/>
  <c r="B57" i="49"/>
  <c r="B54" i="49"/>
  <c r="B55" i="49" s="1"/>
  <c r="B57" i="48"/>
  <c r="B54" i="48"/>
  <c r="B55" i="48" s="1"/>
  <c r="B57" i="47"/>
  <c r="B54" i="47"/>
  <c r="B55" i="47" s="1"/>
  <c r="I8" i="46"/>
  <c r="O97" i="45"/>
  <c r="T87" i="45"/>
  <c r="R87" i="45"/>
  <c r="L80" i="45"/>
  <c r="L82" i="45" s="1"/>
  <c r="J80" i="45"/>
  <c r="J82" i="45" s="1"/>
  <c r="W68" i="45"/>
  <c r="O65" i="45"/>
  <c r="T58" i="45"/>
  <c r="R58" i="45"/>
  <c r="T35" i="45"/>
  <c r="R35" i="45"/>
  <c r="O12" i="45"/>
  <c r="T5" i="45"/>
  <c r="R5" i="45"/>
  <c r="R6" i="45" s="1"/>
  <c r="F3" i="45"/>
  <c r="D3" i="45" s="1"/>
  <c r="R98" i="45" s="1"/>
  <c r="F2" i="45"/>
  <c r="D2" i="45" s="1"/>
  <c r="B57" i="44"/>
  <c r="B54" i="44"/>
  <c r="B55" i="44" s="1"/>
  <c r="B57" i="43"/>
  <c r="B54" i="43"/>
  <c r="B55" i="43" s="1"/>
  <c r="F3" i="41"/>
  <c r="B5" i="42" s="1"/>
  <c r="D6" i="42" s="1"/>
  <c r="F2" i="41"/>
  <c r="D2" i="41" s="1"/>
  <c r="T101" i="41" s="1"/>
  <c r="I8" i="42"/>
  <c r="O97" i="41"/>
  <c r="T87" i="41"/>
  <c r="R87" i="41"/>
  <c r="L80" i="41"/>
  <c r="L82" i="41" s="1"/>
  <c r="J80" i="41"/>
  <c r="J82" i="41" s="1"/>
  <c r="O65" i="41"/>
  <c r="T58" i="41"/>
  <c r="R58" i="41"/>
  <c r="W68" i="41" s="1"/>
  <c r="T35" i="41"/>
  <c r="R35" i="41"/>
  <c r="O12" i="41"/>
  <c r="T5" i="41"/>
  <c r="R5" i="41"/>
  <c r="D3" i="41"/>
  <c r="R98" i="41" s="1"/>
  <c r="B57" i="40"/>
  <c r="B54" i="40"/>
  <c r="B55" i="40" s="1"/>
  <c r="D6" i="58" l="1"/>
  <c r="C6" i="58"/>
  <c r="C8" i="58" s="1"/>
  <c r="E6" i="58"/>
  <c r="G5" i="58"/>
  <c r="J4" i="58"/>
  <c r="J6" i="58" s="1"/>
  <c r="J8" i="58" s="1"/>
  <c r="I6" i="58"/>
  <c r="T101" i="54"/>
  <c r="T105" i="54" s="1"/>
  <c r="T107" i="54" s="1"/>
  <c r="T97" i="54"/>
  <c r="T17" i="54"/>
  <c r="T62" i="54"/>
  <c r="T63" i="54" s="1"/>
  <c r="T71" i="54"/>
  <c r="J45" i="54"/>
  <c r="T12" i="54"/>
  <c r="L39" i="54"/>
  <c r="L40" i="54" s="1"/>
  <c r="T100" i="54"/>
  <c r="T42" i="54"/>
  <c r="L99" i="54"/>
  <c r="T68" i="54"/>
  <c r="J42" i="54"/>
  <c r="L9" i="54"/>
  <c r="L10" i="54" s="1"/>
  <c r="L98" i="54"/>
  <c r="J88" i="54"/>
  <c r="J89" i="54" s="1"/>
  <c r="J6" i="54"/>
  <c r="R6" i="50"/>
  <c r="B3" i="58"/>
  <c r="B3" i="61"/>
  <c r="R39" i="63"/>
  <c r="T88" i="63"/>
  <c r="T89" i="63" s="1"/>
  <c r="B3" i="66"/>
  <c r="G17" i="127"/>
  <c r="B56" i="127" s="1"/>
  <c r="G18" i="127"/>
  <c r="B5" i="51"/>
  <c r="G5" i="51" s="1"/>
  <c r="W97" i="54"/>
  <c r="G18" i="90"/>
  <c r="G17" i="90"/>
  <c r="B56" i="90" s="1"/>
  <c r="T9" i="45"/>
  <c r="T10" i="45" s="1"/>
  <c r="L36" i="57"/>
  <c r="L37" i="57" s="1"/>
  <c r="T9" i="60"/>
  <c r="T10" i="60" s="1"/>
  <c r="W98" i="73"/>
  <c r="W99" i="73" s="1"/>
  <c r="W100" i="73" s="1"/>
  <c r="W92" i="75"/>
  <c r="T9" i="54"/>
  <c r="T10" i="54" s="1"/>
  <c r="T88" i="41"/>
  <c r="T89" i="41" s="1"/>
  <c r="B3" i="46"/>
  <c r="E2" i="46" s="1"/>
  <c r="W68" i="54"/>
  <c r="T6" i="60"/>
  <c r="T7" i="60" s="1"/>
  <c r="B5" i="61"/>
  <c r="G18" i="114"/>
  <c r="G17" i="114"/>
  <c r="B56" i="114" s="1"/>
  <c r="R39" i="45"/>
  <c r="R88" i="45"/>
  <c r="R39" i="50"/>
  <c r="R88" i="50"/>
  <c r="B5" i="46"/>
  <c r="L43" i="57"/>
  <c r="T88" i="57"/>
  <c r="T89" i="57" s="1"/>
  <c r="B3" i="64"/>
  <c r="B5" i="129"/>
  <c r="B5" i="109"/>
  <c r="B5" i="89"/>
  <c r="B5" i="72"/>
  <c r="B5" i="69"/>
  <c r="T88" i="45"/>
  <c r="T89" i="45" s="1"/>
  <c r="T88" i="50"/>
  <c r="T89" i="50" s="1"/>
  <c r="B3" i="42"/>
  <c r="G3" i="42" s="1"/>
  <c r="R39" i="60"/>
  <c r="B5" i="66"/>
  <c r="M6" i="70"/>
  <c r="O63" i="81"/>
  <c r="O40" i="81"/>
  <c r="W40" i="81"/>
  <c r="B3" i="129"/>
  <c r="B3" i="109"/>
  <c r="B3" i="89"/>
  <c r="B3" i="69"/>
  <c r="B3" i="72"/>
  <c r="T88" i="60"/>
  <c r="T89" i="60" s="1"/>
  <c r="B5" i="64"/>
  <c r="U6" i="70"/>
  <c r="T62" i="45"/>
  <c r="T63" i="45" s="1"/>
  <c r="D3" i="50"/>
  <c r="R98" i="50" s="1"/>
  <c r="B3" i="51"/>
  <c r="D2" i="51" s="1"/>
  <c r="D8" i="51" s="1"/>
  <c r="R6" i="54"/>
  <c r="O10" i="81"/>
  <c r="J14" i="88"/>
  <c r="J16" i="88" s="1"/>
  <c r="O13" i="88" s="1"/>
  <c r="O14" i="88" s="1"/>
  <c r="O15" i="88" s="1"/>
  <c r="W63" i="81"/>
  <c r="M60" i="81"/>
  <c r="O60" i="81" s="1"/>
  <c r="J68" i="81"/>
  <c r="O66" i="81" s="1"/>
  <c r="O67" i="81" s="1"/>
  <c r="O68" i="81" s="1"/>
  <c r="J12" i="81"/>
  <c r="J14" i="81" s="1"/>
  <c r="J16" i="81" s="1"/>
  <c r="O13" i="81" s="1"/>
  <c r="O14" i="81" s="1"/>
  <c r="O15" i="81" s="1"/>
  <c r="M7" i="81"/>
  <c r="W37" i="81"/>
  <c r="O89" i="81"/>
  <c r="O92" i="81"/>
  <c r="W89" i="78"/>
  <c r="W92" i="78"/>
  <c r="W37" i="78"/>
  <c r="O92" i="78"/>
  <c r="O89" i="78"/>
  <c r="O63" i="78"/>
  <c r="W40" i="78"/>
  <c r="M7" i="78"/>
  <c r="J12" i="78"/>
  <c r="J14" i="78" s="1"/>
  <c r="J16" i="78" s="1"/>
  <c r="O13" i="78" s="1"/>
  <c r="O14" i="78" s="1"/>
  <c r="O15" i="78" s="1"/>
  <c r="M60" i="78"/>
  <c r="O60" i="78" s="1"/>
  <c r="J68" i="78"/>
  <c r="O66" i="78" s="1"/>
  <c r="O67" i="78" s="1"/>
  <c r="O68" i="78" s="1"/>
  <c r="W7" i="78"/>
  <c r="O37" i="78"/>
  <c r="W63" i="78"/>
  <c r="M7" i="75"/>
  <c r="O7" i="75" s="1"/>
  <c r="J12" i="75"/>
  <c r="J14" i="75" s="1"/>
  <c r="J16" i="75" s="1"/>
  <c r="O13" i="75" s="1"/>
  <c r="O14" i="75" s="1"/>
  <c r="O15" i="75" s="1"/>
  <c r="O40" i="75"/>
  <c r="W89" i="75"/>
  <c r="O92" i="75"/>
  <c r="R37" i="73"/>
  <c r="U37" i="73" s="1"/>
  <c r="U36" i="73"/>
  <c r="M36" i="73"/>
  <c r="J37" i="73"/>
  <c r="M37" i="73" s="1"/>
  <c r="J92" i="73"/>
  <c r="M92" i="73" s="1"/>
  <c r="M91" i="73"/>
  <c r="M88" i="73"/>
  <c r="J89" i="73"/>
  <c r="M89" i="73" s="1"/>
  <c r="U88" i="73"/>
  <c r="R89" i="73"/>
  <c r="U89" i="73" s="1"/>
  <c r="W89" i="73" s="1"/>
  <c r="M6" i="73"/>
  <c r="J7" i="73"/>
  <c r="J10" i="73"/>
  <c r="M10" i="73" s="1"/>
  <c r="M9" i="73"/>
  <c r="U91" i="73"/>
  <c r="R92" i="73"/>
  <c r="U92" i="73" s="1"/>
  <c r="W7" i="73"/>
  <c r="W69" i="73"/>
  <c r="W70" i="73" s="1"/>
  <c r="W71" i="73" s="1"/>
  <c r="U9" i="73"/>
  <c r="R10" i="73"/>
  <c r="U10" i="73" s="1"/>
  <c r="M39" i="73"/>
  <c r="J40" i="73"/>
  <c r="M40" i="73" s="1"/>
  <c r="W40" i="73"/>
  <c r="U60" i="73"/>
  <c r="J63" i="73"/>
  <c r="M63" i="73" s="1"/>
  <c r="M62" i="73"/>
  <c r="U59" i="73"/>
  <c r="U62" i="73"/>
  <c r="R63" i="73"/>
  <c r="U63" i="73" s="1"/>
  <c r="W63" i="73" s="1"/>
  <c r="J60" i="73"/>
  <c r="M59" i="73"/>
  <c r="M39" i="70"/>
  <c r="J40" i="70"/>
  <c r="M40" i="70" s="1"/>
  <c r="O40" i="70" s="1"/>
  <c r="W99" i="70"/>
  <c r="W100" i="70" s="1"/>
  <c r="R63" i="70"/>
  <c r="U63" i="70" s="1"/>
  <c r="U62" i="70"/>
  <c r="U7" i="70"/>
  <c r="W7" i="70" s="1"/>
  <c r="J92" i="70"/>
  <c r="M92" i="70" s="1"/>
  <c r="M91" i="70"/>
  <c r="J89" i="70"/>
  <c r="M89" i="70" s="1"/>
  <c r="M88" i="70"/>
  <c r="J10" i="70"/>
  <c r="M10" i="70" s="1"/>
  <c r="G15" i="71" s="1"/>
  <c r="G16" i="71" s="1"/>
  <c r="M9" i="70"/>
  <c r="J63" i="70"/>
  <c r="M63" i="70" s="1"/>
  <c r="M62" i="70"/>
  <c r="M7" i="70"/>
  <c r="O7" i="70" s="1"/>
  <c r="J12" i="70"/>
  <c r="J14" i="70" s="1"/>
  <c r="J16" i="70" s="1"/>
  <c r="O13" i="70" s="1"/>
  <c r="O14" i="70" s="1"/>
  <c r="O15" i="70" s="1"/>
  <c r="W40" i="70"/>
  <c r="U59" i="70"/>
  <c r="R60" i="70"/>
  <c r="U60" i="70" s="1"/>
  <c r="W60" i="70" s="1"/>
  <c r="O98" i="70"/>
  <c r="O99" i="70" s="1"/>
  <c r="O100" i="70" s="1"/>
  <c r="J37" i="70"/>
  <c r="M37" i="70" s="1"/>
  <c r="M36" i="70"/>
  <c r="U36" i="70"/>
  <c r="W37" i="70" s="1"/>
  <c r="U91" i="70"/>
  <c r="R92" i="70"/>
  <c r="U92" i="70" s="1"/>
  <c r="U9" i="70"/>
  <c r="R10" i="70"/>
  <c r="U10" i="70" s="1"/>
  <c r="W10" i="70" s="1"/>
  <c r="R7" i="67"/>
  <c r="R40" i="67"/>
  <c r="U88" i="67"/>
  <c r="R89" i="67"/>
  <c r="U89" i="67" s="1"/>
  <c r="W89" i="67" s="1"/>
  <c r="T101" i="67"/>
  <c r="T105" i="67" s="1"/>
  <c r="T107" i="67" s="1"/>
  <c r="L97" i="67"/>
  <c r="T72" i="67"/>
  <c r="T76" i="67" s="1"/>
  <c r="T78" i="67" s="1"/>
  <c r="L62" i="67"/>
  <c r="L63" i="67" s="1"/>
  <c r="J46" i="67"/>
  <c r="J50" i="67" s="1"/>
  <c r="J52" i="67" s="1"/>
  <c r="T18" i="67"/>
  <c r="J59" i="67"/>
  <c r="T99" i="67"/>
  <c r="T69" i="67"/>
  <c r="J43" i="67"/>
  <c r="J36" i="67"/>
  <c r="L98" i="67"/>
  <c r="T42" i="67"/>
  <c r="L39" i="67"/>
  <c r="L40" i="67" s="1"/>
  <c r="T17" i="67"/>
  <c r="T98" i="67"/>
  <c r="T100" i="67"/>
  <c r="T71" i="67"/>
  <c r="T12" i="67"/>
  <c r="J6" i="67"/>
  <c r="L99" i="67"/>
  <c r="T68" i="67"/>
  <c r="R59" i="67"/>
  <c r="J45" i="67"/>
  <c r="L9" i="67"/>
  <c r="L10" i="67" s="1"/>
  <c r="T39" i="67"/>
  <c r="T40" i="67" s="1"/>
  <c r="T97" i="67"/>
  <c r="J88" i="67"/>
  <c r="J42" i="67"/>
  <c r="T43" i="67"/>
  <c r="T45" i="67" s="1"/>
  <c r="L100" i="67"/>
  <c r="L105" i="67" s="1"/>
  <c r="L107" i="67" s="1"/>
  <c r="L91" i="67"/>
  <c r="L92" i="67" s="1"/>
  <c r="T70" i="67"/>
  <c r="J44" i="67"/>
  <c r="R36" i="67"/>
  <c r="T19" i="67"/>
  <c r="L47" i="67"/>
  <c r="L50" i="67" s="1"/>
  <c r="L52" i="67" s="1"/>
  <c r="L59" i="67"/>
  <c r="L60" i="67" s="1"/>
  <c r="L68" i="67" s="1"/>
  <c r="R62" i="67"/>
  <c r="R97" i="67"/>
  <c r="T6" i="67"/>
  <c r="T7" i="67" s="1"/>
  <c r="J100" i="67"/>
  <c r="J105" i="67" s="1"/>
  <c r="J107" i="67" s="1"/>
  <c r="J9" i="67"/>
  <c r="T36" i="67"/>
  <c r="T37" i="67" s="1"/>
  <c r="L44" i="67"/>
  <c r="T62" i="67"/>
  <c r="T63" i="67" s="1"/>
  <c r="R68" i="67"/>
  <c r="J99" i="67"/>
  <c r="R12" i="67"/>
  <c r="T20" i="67"/>
  <c r="L42" i="67"/>
  <c r="R71" i="67"/>
  <c r="L88" i="67"/>
  <c r="L89" i="67" s="1"/>
  <c r="R91" i="67"/>
  <c r="W97" i="67"/>
  <c r="R100" i="67"/>
  <c r="R17" i="67"/>
  <c r="J39" i="67"/>
  <c r="R42" i="67"/>
  <c r="R45" i="67" s="1"/>
  <c r="L45" i="67"/>
  <c r="T59" i="67"/>
  <c r="T60" i="67" s="1"/>
  <c r="T91" i="67"/>
  <c r="T92" i="67" s="1"/>
  <c r="J98" i="67"/>
  <c r="R19" i="67"/>
  <c r="R20" i="67" s="1"/>
  <c r="L46" i="67"/>
  <c r="L6" i="67"/>
  <c r="L7" i="67" s="1"/>
  <c r="L12" i="67" s="1"/>
  <c r="L14" i="67" s="1"/>
  <c r="L16" i="67" s="1"/>
  <c r="R9" i="67"/>
  <c r="R69" i="67"/>
  <c r="R99" i="67"/>
  <c r="R18" i="67"/>
  <c r="J62" i="67"/>
  <c r="R72" i="67"/>
  <c r="R76" i="67" s="1"/>
  <c r="R78" i="67" s="1"/>
  <c r="W69" i="67" s="1"/>
  <c r="W70" i="67" s="1"/>
  <c r="W71" i="67" s="1"/>
  <c r="J97" i="67"/>
  <c r="R101" i="67"/>
  <c r="R105" i="67" s="1"/>
  <c r="R107" i="67" s="1"/>
  <c r="W98" i="67" s="1"/>
  <c r="W99" i="67" s="1"/>
  <c r="W100" i="67" s="1"/>
  <c r="R70" i="67"/>
  <c r="J91" i="67"/>
  <c r="L36" i="67"/>
  <c r="L37" i="67" s="1"/>
  <c r="L43" i="67"/>
  <c r="G5" i="66"/>
  <c r="C6" i="66"/>
  <c r="C8" i="66" s="1"/>
  <c r="D6" i="66"/>
  <c r="G3" i="64"/>
  <c r="C2" i="64"/>
  <c r="H4" i="64"/>
  <c r="D2" i="64"/>
  <c r="D8" i="64" s="1"/>
  <c r="T101" i="63"/>
  <c r="T105" i="63" s="1"/>
  <c r="T107" i="63" s="1"/>
  <c r="L97" i="63"/>
  <c r="T72" i="63"/>
  <c r="T76" i="63" s="1"/>
  <c r="T78" i="63" s="1"/>
  <c r="L62" i="63"/>
  <c r="L63" i="63" s="1"/>
  <c r="J46" i="63"/>
  <c r="J50" i="63" s="1"/>
  <c r="J52" i="63" s="1"/>
  <c r="T18" i="63"/>
  <c r="T99" i="63"/>
  <c r="T69" i="63"/>
  <c r="J43" i="63"/>
  <c r="J36" i="63"/>
  <c r="T98" i="63"/>
  <c r="T43" i="63"/>
  <c r="L98" i="63"/>
  <c r="T42" i="63"/>
  <c r="L39" i="63"/>
  <c r="L40" i="63" s="1"/>
  <c r="T17" i="63"/>
  <c r="T100" i="63"/>
  <c r="T71" i="63"/>
  <c r="T12" i="63"/>
  <c r="J6" i="63"/>
  <c r="L99" i="63"/>
  <c r="T68" i="63"/>
  <c r="R59" i="63"/>
  <c r="J45" i="63"/>
  <c r="L9" i="63"/>
  <c r="L10" i="63" s="1"/>
  <c r="T97" i="63"/>
  <c r="J88" i="63"/>
  <c r="T62" i="63"/>
  <c r="T63" i="63" s="1"/>
  <c r="J42" i="63"/>
  <c r="J59" i="63"/>
  <c r="L100" i="63"/>
  <c r="L105" i="63" s="1"/>
  <c r="L107" i="63" s="1"/>
  <c r="L91" i="63"/>
  <c r="L92" i="63" s="1"/>
  <c r="T70" i="63"/>
  <c r="J44" i="63"/>
  <c r="R36" i="63"/>
  <c r="T19" i="63"/>
  <c r="T20" i="63" s="1"/>
  <c r="T39" i="63"/>
  <c r="T40" i="63" s="1"/>
  <c r="R6" i="63"/>
  <c r="T9" i="63"/>
  <c r="T10" i="63" s="1"/>
  <c r="R88" i="63"/>
  <c r="R40" i="63"/>
  <c r="T45" i="63"/>
  <c r="L47" i="63"/>
  <c r="L50" i="63" s="1"/>
  <c r="L52" i="63" s="1"/>
  <c r="L59" i="63"/>
  <c r="L60" i="63" s="1"/>
  <c r="L68" i="63" s="1"/>
  <c r="R62" i="63"/>
  <c r="R97" i="63"/>
  <c r="R19" i="63"/>
  <c r="J100" i="63"/>
  <c r="J105" i="63" s="1"/>
  <c r="J107" i="63" s="1"/>
  <c r="J9" i="63"/>
  <c r="R20" i="63"/>
  <c r="T36" i="63"/>
  <c r="T37" i="63" s="1"/>
  <c r="L44" i="63"/>
  <c r="R68" i="63"/>
  <c r="J99" i="63"/>
  <c r="R12" i="63"/>
  <c r="L42" i="63"/>
  <c r="R71" i="63"/>
  <c r="L88" i="63"/>
  <c r="L89" i="63" s="1"/>
  <c r="R91" i="63"/>
  <c r="W97" i="63"/>
  <c r="R100" i="63"/>
  <c r="J91" i="63"/>
  <c r="R17" i="63"/>
  <c r="J39" i="63"/>
  <c r="R42" i="63"/>
  <c r="R45" i="63" s="1"/>
  <c r="L45" i="63"/>
  <c r="T59" i="63"/>
  <c r="T60" i="63" s="1"/>
  <c r="T91" i="63"/>
  <c r="T92" i="63" s="1"/>
  <c r="J98" i="63"/>
  <c r="L6" i="63"/>
  <c r="L7" i="63" s="1"/>
  <c r="L12" i="63" s="1"/>
  <c r="L14" i="63" s="1"/>
  <c r="L16" i="63" s="1"/>
  <c r="R9" i="63"/>
  <c r="R69" i="63"/>
  <c r="R99" i="63"/>
  <c r="T6" i="63"/>
  <c r="T7" i="63" s="1"/>
  <c r="R18" i="63"/>
  <c r="J62" i="63"/>
  <c r="R72" i="63"/>
  <c r="R76" i="63" s="1"/>
  <c r="R78" i="63" s="1"/>
  <c r="J97" i="63"/>
  <c r="R101" i="63"/>
  <c r="R105" i="63" s="1"/>
  <c r="R107" i="63" s="1"/>
  <c r="L46" i="63"/>
  <c r="R70" i="63"/>
  <c r="L36" i="63"/>
  <c r="L37" i="63" s="1"/>
  <c r="L43" i="63"/>
  <c r="G3" i="61"/>
  <c r="C2" i="61"/>
  <c r="H4" i="61"/>
  <c r="D2" i="61"/>
  <c r="D8" i="61" s="1"/>
  <c r="R7" i="60"/>
  <c r="U7" i="60" s="1"/>
  <c r="U6" i="60"/>
  <c r="R40" i="60"/>
  <c r="R88" i="60"/>
  <c r="T101" i="60"/>
  <c r="T105" i="60" s="1"/>
  <c r="T107" i="60" s="1"/>
  <c r="L97" i="60"/>
  <c r="T72" i="60"/>
  <c r="T76" i="60" s="1"/>
  <c r="T78" i="60" s="1"/>
  <c r="L62" i="60"/>
  <c r="L63" i="60" s="1"/>
  <c r="J46" i="60"/>
  <c r="J50" i="60" s="1"/>
  <c r="J52" i="60" s="1"/>
  <c r="T18" i="60"/>
  <c r="T43" i="60"/>
  <c r="T99" i="60"/>
  <c r="T69" i="60"/>
  <c r="J43" i="60"/>
  <c r="J36" i="60"/>
  <c r="L98" i="60"/>
  <c r="T42" i="60"/>
  <c r="L39" i="60"/>
  <c r="L40" i="60" s="1"/>
  <c r="T17" i="60"/>
  <c r="T39" i="60"/>
  <c r="T40" i="60" s="1"/>
  <c r="T100" i="60"/>
  <c r="T71" i="60"/>
  <c r="T12" i="60"/>
  <c r="J6" i="60"/>
  <c r="T98" i="60"/>
  <c r="L99" i="60"/>
  <c r="T68" i="60"/>
  <c r="R59" i="60"/>
  <c r="J45" i="60"/>
  <c r="L9" i="60"/>
  <c r="L10" i="60" s="1"/>
  <c r="T97" i="60"/>
  <c r="J88" i="60"/>
  <c r="T62" i="60"/>
  <c r="T63" i="60" s="1"/>
  <c r="J42" i="60"/>
  <c r="J59" i="60"/>
  <c r="L100" i="60"/>
  <c r="L105" i="60" s="1"/>
  <c r="L107" i="60" s="1"/>
  <c r="L91" i="60"/>
  <c r="L92" i="60" s="1"/>
  <c r="T70" i="60"/>
  <c r="J44" i="60"/>
  <c r="R36" i="60"/>
  <c r="T19" i="60"/>
  <c r="T45" i="60"/>
  <c r="L47" i="60"/>
  <c r="L50" i="60" s="1"/>
  <c r="L52" i="60" s="1"/>
  <c r="L59" i="60"/>
  <c r="L60" i="60" s="1"/>
  <c r="L68" i="60" s="1"/>
  <c r="R62" i="60"/>
  <c r="R97" i="60"/>
  <c r="J100" i="60"/>
  <c r="J105" i="60" s="1"/>
  <c r="J107" i="60" s="1"/>
  <c r="J9" i="60"/>
  <c r="T36" i="60"/>
  <c r="T37" i="60" s="1"/>
  <c r="L44" i="60"/>
  <c r="R68" i="60"/>
  <c r="J99" i="60"/>
  <c r="R19" i="60"/>
  <c r="R20" i="60" s="1"/>
  <c r="L46" i="60"/>
  <c r="R70" i="60"/>
  <c r="R12" i="60"/>
  <c r="T20" i="60"/>
  <c r="L42" i="60"/>
  <c r="R71" i="60"/>
  <c r="L88" i="60"/>
  <c r="L89" i="60" s="1"/>
  <c r="R91" i="60"/>
  <c r="W97" i="60"/>
  <c r="R100" i="60"/>
  <c r="R17" i="60"/>
  <c r="J39" i="60"/>
  <c r="R42" i="60"/>
  <c r="R45" i="60" s="1"/>
  <c r="L45" i="60"/>
  <c r="T59" i="60"/>
  <c r="T60" i="60" s="1"/>
  <c r="T91" i="60"/>
  <c r="T92" i="60" s="1"/>
  <c r="J98" i="60"/>
  <c r="L6" i="60"/>
  <c r="L7" i="60" s="1"/>
  <c r="L12" i="60" s="1"/>
  <c r="L14" i="60" s="1"/>
  <c r="L16" i="60" s="1"/>
  <c r="R9" i="60"/>
  <c r="R69" i="60"/>
  <c r="R99" i="60"/>
  <c r="R18" i="60"/>
  <c r="J62" i="60"/>
  <c r="R72" i="60"/>
  <c r="R76" i="60" s="1"/>
  <c r="R78" i="60" s="1"/>
  <c r="J97" i="60"/>
  <c r="R101" i="60"/>
  <c r="R105" i="60" s="1"/>
  <c r="R107" i="60" s="1"/>
  <c r="W98" i="60" s="1"/>
  <c r="W99" i="60" s="1"/>
  <c r="W100" i="60" s="1"/>
  <c r="J91" i="60"/>
  <c r="L36" i="60"/>
  <c r="L37" i="60" s="1"/>
  <c r="L43" i="60"/>
  <c r="J2" i="58"/>
  <c r="C2" i="58"/>
  <c r="H4" i="58"/>
  <c r="T99" i="57"/>
  <c r="T69" i="57"/>
  <c r="J43" i="57"/>
  <c r="J36" i="57"/>
  <c r="L99" i="57"/>
  <c r="L62" i="57"/>
  <c r="L63" i="57" s="1"/>
  <c r="T18" i="57"/>
  <c r="L98" i="57"/>
  <c r="T42" i="57"/>
  <c r="L39" i="57"/>
  <c r="L40" i="57" s="1"/>
  <c r="T17" i="57"/>
  <c r="R59" i="57"/>
  <c r="J45" i="57"/>
  <c r="L9" i="57"/>
  <c r="L10" i="57" s="1"/>
  <c r="T101" i="57"/>
  <c r="T105" i="57" s="1"/>
  <c r="T107" i="57" s="1"/>
  <c r="T100" i="57"/>
  <c r="T71" i="57"/>
  <c r="T12" i="57"/>
  <c r="J6" i="57"/>
  <c r="T68" i="57"/>
  <c r="L97" i="57"/>
  <c r="J46" i="57"/>
  <c r="J50" i="57" s="1"/>
  <c r="J52" i="57" s="1"/>
  <c r="T97" i="57"/>
  <c r="J88" i="57"/>
  <c r="J42" i="57"/>
  <c r="J59" i="57"/>
  <c r="T43" i="57"/>
  <c r="T45" i="57" s="1"/>
  <c r="L100" i="57"/>
  <c r="L105" i="57" s="1"/>
  <c r="L107" i="57" s="1"/>
  <c r="L91" i="57"/>
  <c r="L92" i="57" s="1"/>
  <c r="T70" i="57"/>
  <c r="J44" i="57"/>
  <c r="R36" i="57"/>
  <c r="T19" i="57"/>
  <c r="T20" i="57" s="1"/>
  <c r="T98" i="57"/>
  <c r="T39" i="57"/>
  <c r="T40" i="57" s="1"/>
  <c r="U40" i="57" s="1"/>
  <c r="T72" i="57"/>
  <c r="T76" i="57" s="1"/>
  <c r="T78" i="57" s="1"/>
  <c r="R6" i="57"/>
  <c r="R88" i="57"/>
  <c r="R10" i="57"/>
  <c r="T9" i="57"/>
  <c r="T10" i="57" s="1"/>
  <c r="R19" i="57"/>
  <c r="R20" i="57" s="1"/>
  <c r="L46" i="57"/>
  <c r="J91" i="57"/>
  <c r="L47" i="57"/>
  <c r="L50" i="57" s="1"/>
  <c r="L52" i="57" s="1"/>
  <c r="L59" i="57"/>
  <c r="L60" i="57" s="1"/>
  <c r="L68" i="57" s="1"/>
  <c r="R62" i="57"/>
  <c r="R97" i="57"/>
  <c r="T6" i="57"/>
  <c r="T7" i="57" s="1"/>
  <c r="R70" i="57"/>
  <c r="J100" i="57"/>
  <c r="J105" i="57" s="1"/>
  <c r="J107" i="57" s="1"/>
  <c r="J9" i="57"/>
  <c r="T36" i="57"/>
  <c r="T37" i="57" s="1"/>
  <c r="L44" i="57"/>
  <c r="T62" i="57"/>
  <c r="T63" i="57" s="1"/>
  <c r="R68" i="57"/>
  <c r="J99" i="57"/>
  <c r="R105" i="57"/>
  <c r="R107" i="57" s="1"/>
  <c r="W98" i="57" s="1"/>
  <c r="R12" i="57"/>
  <c r="L42" i="57"/>
  <c r="R17" i="57"/>
  <c r="J39" i="57"/>
  <c r="R42" i="57"/>
  <c r="R45" i="57" s="1"/>
  <c r="L45" i="57"/>
  <c r="T59" i="57"/>
  <c r="T60" i="57" s="1"/>
  <c r="T91" i="57"/>
  <c r="T92" i="57" s="1"/>
  <c r="J98" i="57"/>
  <c r="R71" i="57"/>
  <c r="L88" i="57"/>
  <c r="L89" i="57" s="1"/>
  <c r="R91" i="57"/>
  <c r="W97" i="57"/>
  <c r="R100" i="57"/>
  <c r="L6" i="57"/>
  <c r="L7" i="57" s="1"/>
  <c r="L12" i="57" s="1"/>
  <c r="L14" i="57" s="1"/>
  <c r="L16" i="57" s="1"/>
  <c r="R69" i="57"/>
  <c r="R99" i="57"/>
  <c r="R18" i="57"/>
  <c r="J62" i="57"/>
  <c r="R72" i="57"/>
  <c r="R76" i="57" s="1"/>
  <c r="R78" i="57" s="1"/>
  <c r="J97" i="57"/>
  <c r="T88" i="54"/>
  <c r="T89" i="54" s="1"/>
  <c r="U89" i="54" s="1"/>
  <c r="R76" i="54"/>
  <c r="R78" i="54" s="1"/>
  <c r="R98" i="54"/>
  <c r="L43" i="54"/>
  <c r="L36" i="54"/>
  <c r="L37" i="54" s="1"/>
  <c r="R101" i="54"/>
  <c r="R105" i="54" s="1"/>
  <c r="R107" i="54" s="1"/>
  <c r="W98" i="54" s="1"/>
  <c r="W99" i="54" s="1"/>
  <c r="W100" i="54" s="1"/>
  <c r="J97" i="54"/>
  <c r="R72" i="54"/>
  <c r="J62" i="54"/>
  <c r="R18" i="54"/>
  <c r="R69" i="54"/>
  <c r="L6" i="54"/>
  <c r="L7" i="54" s="1"/>
  <c r="L12" i="54" s="1"/>
  <c r="L14" i="54" s="1"/>
  <c r="L16" i="54" s="1"/>
  <c r="J98" i="54"/>
  <c r="T59" i="54"/>
  <c r="T60" i="54" s="1"/>
  <c r="R42" i="54"/>
  <c r="R45" i="54" s="1"/>
  <c r="J39" i="54"/>
  <c r="R17" i="54"/>
  <c r="J99" i="54"/>
  <c r="R68" i="54"/>
  <c r="L44" i="54"/>
  <c r="J9" i="54"/>
  <c r="L45" i="54"/>
  <c r="R100" i="54"/>
  <c r="L88" i="54"/>
  <c r="R71" i="54"/>
  <c r="R97" i="54"/>
  <c r="R62" i="54"/>
  <c r="L59" i="54"/>
  <c r="L60" i="54" s="1"/>
  <c r="L68" i="54" s="1"/>
  <c r="L47" i="54"/>
  <c r="L50" i="54" s="1"/>
  <c r="L52" i="54" s="1"/>
  <c r="J100" i="54"/>
  <c r="J105" i="54" s="1"/>
  <c r="J107" i="54" s="1"/>
  <c r="J91" i="54"/>
  <c r="R70" i="54"/>
  <c r="L46" i="54"/>
  <c r="R19" i="54"/>
  <c r="R99" i="54"/>
  <c r="R9" i="54"/>
  <c r="R91" i="54"/>
  <c r="L42" i="54"/>
  <c r="R12" i="54"/>
  <c r="R39" i="54"/>
  <c r="U88" i="54"/>
  <c r="R7" i="54"/>
  <c r="T20" i="54"/>
  <c r="T6" i="54"/>
  <c r="T7" i="54" s="1"/>
  <c r="T39" i="54"/>
  <c r="T40" i="54" s="1"/>
  <c r="T43" i="54"/>
  <c r="T45" i="54" s="1"/>
  <c r="J59" i="54"/>
  <c r="T98" i="54"/>
  <c r="T19" i="54"/>
  <c r="R36" i="54"/>
  <c r="J44" i="54"/>
  <c r="T70" i="54"/>
  <c r="L91" i="54"/>
  <c r="L92" i="54" s="1"/>
  <c r="L100" i="54"/>
  <c r="L105" i="54" s="1"/>
  <c r="L107" i="54" s="1"/>
  <c r="J7" i="54"/>
  <c r="R20" i="54"/>
  <c r="T36" i="54"/>
  <c r="T37" i="54" s="1"/>
  <c r="R60" i="54"/>
  <c r="J36" i="54"/>
  <c r="J43" i="54"/>
  <c r="T69" i="54"/>
  <c r="T99" i="54"/>
  <c r="T18" i="54"/>
  <c r="J46" i="54"/>
  <c r="J50" i="54" s="1"/>
  <c r="J52" i="54" s="1"/>
  <c r="L62" i="54"/>
  <c r="L63" i="54" s="1"/>
  <c r="T72" i="54"/>
  <c r="T76" i="54" s="1"/>
  <c r="T78" i="54" s="1"/>
  <c r="L97" i="54"/>
  <c r="J4" i="51"/>
  <c r="J2" i="51" s="1"/>
  <c r="E2" i="51"/>
  <c r="I2" i="51"/>
  <c r="G5" i="42"/>
  <c r="J4" i="42"/>
  <c r="C6" i="42"/>
  <c r="C8" i="42" s="1"/>
  <c r="D2" i="42"/>
  <c r="D8" i="42" s="1"/>
  <c r="E2" i="42"/>
  <c r="I2" i="42"/>
  <c r="J6" i="51"/>
  <c r="J8" i="51" s="1"/>
  <c r="E6" i="51"/>
  <c r="G3" i="51"/>
  <c r="C2" i="51"/>
  <c r="H4" i="51"/>
  <c r="I6" i="51"/>
  <c r="C6" i="51"/>
  <c r="C8" i="51" s="1"/>
  <c r="F8" i="51" s="1"/>
  <c r="M8" i="51" s="1"/>
  <c r="D6" i="51"/>
  <c r="R7" i="50"/>
  <c r="R40" i="50"/>
  <c r="U39" i="50"/>
  <c r="U88" i="50"/>
  <c r="R89" i="50"/>
  <c r="U89" i="50" s="1"/>
  <c r="W89" i="50" s="1"/>
  <c r="T6" i="50"/>
  <c r="T7" i="50" s="1"/>
  <c r="T39" i="50"/>
  <c r="T40" i="50" s="1"/>
  <c r="R36" i="50"/>
  <c r="J44" i="50"/>
  <c r="R62" i="50"/>
  <c r="R97" i="50"/>
  <c r="J9" i="50"/>
  <c r="T36" i="50"/>
  <c r="T37" i="50" s="1"/>
  <c r="J42" i="50"/>
  <c r="L44" i="50"/>
  <c r="T62" i="50"/>
  <c r="T63" i="50" s="1"/>
  <c r="R68" i="50"/>
  <c r="J88" i="50"/>
  <c r="T97" i="50"/>
  <c r="J99" i="50"/>
  <c r="R19" i="50"/>
  <c r="R20" i="50" s="1"/>
  <c r="L46" i="50"/>
  <c r="R70" i="50"/>
  <c r="T98" i="50"/>
  <c r="L59" i="50"/>
  <c r="L60" i="50" s="1"/>
  <c r="L68" i="50" s="1"/>
  <c r="L91" i="50"/>
  <c r="L92" i="50" s="1"/>
  <c r="L9" i="50"/>
  <c r="L10" i="50" s="1"/>
  <c r="R12" i="50"/>
  <c r="L42" i="50"/>
  <c r="J45" i="50"/>
  <c r="R59" i="50"/>
  <c r="T68" i="50"/>
  <c r="R71" i="50"/>
  <c r="L88" i="50"/>
  <c r="L89" i="50" s="1"/>
  <c r="R91" i="50"/>
  <c r="W97" i="50"/>
  <c r="L99" i="50"/>
  <c r="R100" i="50"/>
  <c r="T105" i="50"/>
  <c r="T107" i="50" s="1"/>
  <c r="J59" i="50"/>
  <c r="L47" i="50"/>
  <c r="L50" i="50" s="1"/>
  <c r="L52" i="50" s="1"/>
  <c r="T70" i="50"/>
  <c r="J6" i="50"/>
  <c r="T12" i="50"/>
  <c r="R17" i="50"/>
  <c r="J39" i="50"/>
  <c r="R42" i="50"/>
  <c r="L45" i="50"/>
  <c r="T59" i="50"/>
  <c r="T60" i="50" s="1"/>
  <c r="T71" i="50"/>
  <c r="T91" i="50"/>
  <c r="T92" i="50" s="1"/>
  <c r="J98" i="50"/>
  <c r="T100" i="50"/>
  <c r="T43" i="50"/>
  <c r="T45" i="50" s="1"/>
  <c r="J91" i="50"/>
  <c r="J100" i="50"/>
  <c r="J105" i="50" s="1"/>
  <c r="J107" i="50" s="1"/>
  <c r="T19" i="50"/>
  <c r="T20" i="50" s="1"/>
  <c r="L100" i="50"/>
  <c r="L105" i="50" s="1"/>
  <c r="L107" i="50" s="1"/>
  <c r="L6" i="50"/>
  <c r="L7" i="50" s="1"/>
  <c r="L12" i="50" s="1"/>
  <c r="L14" i="50" s="1"/>
  <c r="L16" i="50" s="1"/>
  <c r="R9" i="50"/>
  <c r="T17" i="50"/>
  <c r="L39" i="50"/>
  <c r="L40" i="50" s="1"/>
  <c r="T42" i="50"/>
  <c r="R45" i="50"/>
  <c r="R69" i="50"/>
  <c r="L98" i="50"/>
  <c r="R99" i="50"/>
  <c r="T9" i="50"/>
  <c r="T10" i="50" s="1"/>
  <c r="R18" i="50"/>
  <c r="J36" i="50"/>
  <c r="J43" i="50"/>
  <c r="J62" i="50"/>
  <c r="T69" i="50"/>
  <c r="R72" i="50"/>
  <c r="R76" i="50" s="1"/>
  <c r="R78" i="50" s="1"/>
  <c r="W69" i="50" s="1"/>
  <c r="W70" i="50" s="1"/>
  <c r="W71" i="50" s="1"/>
  <c r="J97" i="50"/>
  <c r="T99" i="50"/>
  <c r="R101" i="50"/>
  <c r="R105" i="50" s="1"/>
  <c r="R107" i="50" s="1"/>
  <c r="W98" i="50" s="1"/>
  <c r="W99" i="50" s="1"/>
  <c r="W100" i="50" s="1"/>
  <c r="T18" i="50"/>
  <c r="L36" i="50"/>
  <c r="L37" i="50" s="1"/>
  <c r="L43" i="50"/>
  <c r="J46" i="50"/>
  <c r="J50" i="50" s="1"/>
  <c r="J52" i="50" s="1"/>
  <c r="L62" i="50"/>
  <c r="L63" i="50" s="1"/>
  <c r="T72" i="50"/>
  <c r="T76" i="50" s="1"/>
  <c r="T78" i="50" s="1"/>
  <c r="L97" i="50"/>
  <c r="I2" i="46"/>
  <c r="G3" i="46"/>
  <c r="C2" i="46"/>
  <c r="H4" i="46"/>
  <c r="I6" i="46"/>
  <c r="D2" i="46"/>
  <c r="D8" i="46" s="1"/>
  <c r="U88" i="45"/>
  <c r="R89" i="45"/>
  <c r="U89" i="45" s="1"/>
  <c r="W89" i="45" s="1"/>
  <c r="R7" i="45"/>
  <c r="R40" i="45"/>
  <c r="U39" i="45"/>
  <c r="T101" i="45"/>
  <c r="T105" i="45" s="1"/>
  <c r="T107" i="45" s="1"/>
  <c r="L97" i="45"/>
  <c r="T72" i="45"/>
  <c r="T76" i="45" s="1"/>
  <c r="T78" i="45" s="1"/>
  <c r="L62" i="45"/>
  <c r="L63" i="45" s="1"/>
  <c r="J46" i="45"/>
  <c r="J50" i="45" s="1"/>
  <c r="J52" i="45" s="1"/>
  <c r="T18" i="45"/>
  <c r="T43" i="45"/>
  <c r="T45" i="45" s="1"/>
  <c r="T99" i="45"/>
  <c r="T69" i="45"/>
  <c r="J43" i="45"/>
  <c r="J36" i="45"/>
  <c r="J59" i="45"/>
  <c r="L98" i="45"/>
  <c r="T42" i="45"/>
  <c r="L39" i="45"/>
  <c r="L40" i="45" s="1"/>
  <c r="T17" i="45"/>
  <c r="T98" i="45"/>
  <c r="T39" i="45"/>
  <c r="T40" i="45" s="1"/>
  <c r="T100" i="45"/>
  <c r="T71" i="45"/>
  <c r="T12" i="45"/>
  <c r="J6" i="45"/>
  <c r="L99" i="45"/>
  <c r="T68" i="45"/>
  <c r="J45" i="45"/>
  <c r="L9" i="45"/>
  <c r="L10" i="45" s="1"/>
  <c r="T97" i="45"/>
  <c r="J88" i="45"/>
  <c r="J42" i="45"/>
  <c r="L100" i="45"/>
  <c r="L105" i="45" s="1"/>
  <c r="L107" i="45" s="1"/>
  <c r="L91" i="45"/>
  <c r="L92" i="45" s="1"/>
  <c r="T70" i="45"/>
  <c r="J44" i="45"/>
  <c r="R36" i="45"/>
  <c r="T19" i="45"/>
  <c r="T20" i="45" s="1"/>
  <c r="R59" i="45"/>
  <c r="R19" i="45"/>
  <c r="R70" i="45"/>
  <c r="L47" i="45"/>
  <c r="L50" i="45" s="1"/>
  <c r="L52" i="45" s="1"/>
  <c r="L59" i="45"/>
  <c r="L60" i="45" s="1"/>
  <c r="L68" i="45" s="1"/>
  <c r="R62" i="45"/>
  <c r="R97" i="45"/>
  <c r="J100" i="45"/>
  <c r="J105" i="45" s="1"/>
  <c r="J107" i="45" s="1"/>
  <c r="J9" i="45"/>
  <c r="R20" i="45"/>
  <c r="T36" i="45"/>
  <c r="T37" i="45" s="1"/>
  <c r="L44" i="45"/>
  <c r="R68" i="45"/>
  <c r="J99" i="45"/>
  <c r="L46" i="45"/>
  <c r="R12" i="45"/>
  <c r="L42" i="45"/>
  <c r="R71" i="45"/>
  <c r="L88" i="45"/>
  <c r="L89" i="45" s="1"/>
  <c r="R91" i="45"/>
  <c r="W97" i="45"/>
  <c r="R100" i="45"/>
  <c r="T6" i="45"/>
  <c r="T7" i="45" s="1"/>
  <c r="R17" i="45"/>
  <c r="J39" i="45"/>
  <c r="R42" i="45"/>
  <c r="L45" i="45"/>
  <c r="T59" i="45"/>
  <c r="T60" i="45" s="1"/>
  <c r="T91" i="45"/>
  <c r="T92" i="45" s="1"/>
  <c r="J98" i="45"/>
  <c r="L6" i="45"/>
  <c r="L7" i="45" s="1"/>
  <c r="L12" i="45" s="1"/>
  <c r="L14" i="45" s="1"/>
  <c r="L16" i="45" s="1"/>
  <c r="R9" i="45"/>
  <c r="R45" i="45"/>
  <c r="R69" i="45"/>
  <c r="R99" i="45"/>
  <c r="R18" i="45"/>
  <c r="J62" i="45"/>
  <c r="R72" i="45"/>
  <c r="R76" i="45" s="1"/>
  <c r="R78" i="45" s="1"/>
  <c r="J97" i="45"/>
  <c r="R101" i="45"/>
  <c r="R105" i="45" s="1"/>
  <c r="R107" i="45" s="1"/>
  <c r="J91" i="45"/>
  <c r="L36" i="45"/>
  <c r="L37" i="45" s="1"/>
  <c r="L43" i="45"/>
  <c r="L46" i="41"/>
  <c r="T6" i="41"/>
  <c r="T7" i="41" s="1"/>
  <c r="R19" i="41"/>
  <c r="R20" i="41" s="1"/>
  <c r="R70" i="41"/>
  <c r="R39" i="41"/>
  <c r="R6" i="41"/>
  <c r="T9" i="41"/>
  <c r="T10" i="41" s="1"/>
  <c r="R88" i="41"/>
  <c r="J6" i="42"/>
  <c r="J8" i="42" s="1"/>
  <c r="J2" i="42"/>
  <c r="E6" i="42"/>
  <c r="C2" i="42"/>
  <c r="H4" i="42"/>
  <c r="I6" i="42"/>
  <c r="R40" i="41"/>
  <c r="U88" i="41"/>
  <c r="R89" i="41"/>
  <c r="U89" i="41" s="1"/>
  <c r="R7" i="41"/>
  <c r="U7" i="41" s="1"/>
  <c r="J91" i="41"/>
  <c r="J100" i="41"/>
  <c r="J105" i="41" s="1"/>
  <c r="J107" i="41" s="1"/>
  <c r="T70" i="41"/>
  <c r="L91" i="41"/>
  <c r="L92" i="41" s="1"/>
  <c r="J9" i="41"/>
  <c r="T36" i="41"/>
  <c r="T37" i="41" s="1"/>
  <c r="J42" i="41"/>
  <c r="L44" i="41"/>
  <c r="T62" i="41"/>
  <c r="T63" i="41" s="1"/>
  <c r="R68" i="41"/>
  <c r="J88" i="41"/>
  <c r="T97" i="41"/>
  <c r="J99" i="41"/>
  <c r="T19" i="41"/>
  <c r="T20" i="41" s="1"/>
  <c r="L47" i="41"/>
  <c r="L50" i="41" s="1"/>
  <c r="L52" i="41" s="1"/>
  <c r="L9" i="41"/>
  <c r="L10" i="41" s="1"/>
  <c r="R12" i="41"/>
  <c r="L42" i="41"/>
  <c r="J45" i="41"/>
  <c r="R59" i="41"/>
  <c r="T68" i="41"/>
  <c r="R71" i="41"/>
  <c r="L88" i="41"/>
  <c r="L89" i="41" s="1"/>
  <c r="R91" i="41"/>
  <c r="W97" i="41"/>
  <c r="L99" i="41"/>
  <c r="R100" i="41"/>
  <c r="T105" i="41"/>
  <c r="T107" i="41" s="1"/>
  <c r="T39" i="41"/>
  <c r="T40" i="41" s="1"/>
  <c r="J59" i="41"/>
  <c r="T98" i="41"/>
  <c r="R62" i="41"/>
  <c r="T12" i="41"/>
  <c r="R17" i="41"/>
  <c r="J39" i="41"/>
  <c r="R42" i="41"/>
  <c r="R45" i="41" s="1"/>
  <c r="L45" i="41"/>
  <c r="T59" i="41"/>
  <c r="T60" i="41" s="1"/>
  <c r="T71" i="41"/>
  <c r="T91" i="41"/>
  <c r="T92" i="41" s="1"/>
  <c r="J98" i="41"/>
  <c r="T100" i="41"/>
  <c r="R36" i="41"/>
  <c r="L59" i="41"/>
  <c r="L60" i="41" s="1"/>
  <c r="L68" i="41" s="1"/>
  <c r="J6" i="41"/>
  <c r="R9" i="41"/>
  <c r="T17" i="41"/>
  <c r="L39" i="41"/>
  <c r="L40" i="41" s="1"/>
  <c r="T42" i="41"/>
  <c r="R69" i="41"/>
  <c r="L98" i="41"/>
  <c r="R99" i="41"/>
  <c r="T43" i="41"/>
  <c r="T45" i="41" s="1"/>
  <c r="L100" i="41"/>
  <c r="L105" i="41" s="1"/>
  <c r="L107" i="41" s="1"/>
  <c r="L6" i="41"/>
  <c r="L7" i="41" s="1"/>
  <c r="L12" i="41" s="1"/>
  <c r="L14" i="41" s="1"/>
  <c r="L16" i="41" s="1"/>
  <c r="R18" i="41"/>
  <c r="J36" i="41"/>
  <c r="J43" i="41"/>
  <c r="J62" i="41"/>
  <c r="T69" i="41"/>
  <c r="R72" i="41"/>
  <c r="R76" i="41" s="1"/>
  <c r="R78" i="41" s="1"/>
  <c r="J97" i="41"/>
  <c r="T99" i="41"/>
  <c r="R101" i="41"/>
  <c r="R105" i="41" s="1"/>
  <c r="R107" i="41" s="1"/>
  <c r="J44" i="41"/>
  <c r="R97" i="41"/>
  <c r="T18" i="41"/>
  <c r="L36" i="41"/>
  <c r="L37" i="41" s="1"/>
  <c r="L43" i="41"/>
  <c r="J46" i="41"/>
  <c r="J50" i="41" s="1"/>
  <c r="J52" i="41" s="1"/>
  <c r="L62" i="41"/>
  <c r="L63" i="41" s="1"/>
  <c r="T72" i="41"/>
  <c r="T76" i="41" s="1"/>
  <c r="T78" i="41" s="1"/>
  <c r="L97" i="41"/>
  <c r="B57" i="39"/>
  <c r="C36" i="39"/>
  <c r="B54" i="39"/>
  <c r="B55" i="39" s="1"/>
  <c r="U40" i="45" l="1"/>
  <c r="U6" i="54"/>
  <c r="E2" i="109"/>
  <c r="G3" i="109"/>
  <c r="I2" i="109"/>
  <c r="D2" i="109"/>
  <c r="D8" i="109" s="1"/>
  <c r="C2" i="109"/>
  <c r="H4" i="109"/>
  <c r="E2" i="64"/>
  <c r="I2" i="64"/>
  <c r="B58" i="114"/>
  <c r="B60" i="114"/>
  <c r="U7" i="54"/>
  <c r="W7" i="54" s="1"/>
  <c r="O7" i="81"/>
  <c r="G15" i="83"/>
  <c r="G16" i="83" s="1"/>
  <c r="D2" i="129"/>
  <c r="D8" i="129" s="1"/>
  <c r="E2" i="129"/>
  <c r="C2" i="129"/>
  <c r="I2" i="129"/>
  <c r="H4" i="129"/>
  <c r="G3" i="129"/>
  <c r="W89" i="54"/>
  <c r="W98" i="63"/>
  <c r="W99" i="63" s="1"/>
  <c r="W100" i="63" s="1"/>
  <c r="F8" i="66"/>
  <c r="I6" i="61"/>
  <c r="E6" i="61"/>
  <c r="D6" i="61"/>
  <c r="C6" i="61"/>
  <c r="C8" i="61" s="1"/>
  <c r="G5" i="61"/>
  <c r="J4" i="61"/>
  <c r="B58" i="127"/>
  <c r="B60" i="127"/>
  <c r="G18" i="71"/>
  <c r="G17" i="71"/>
  <c r="B56" i="71" s="1"/>
  <c r="W60" i="73"/>
  <c r="I6" i="64"/>
  <c r="G5" i="64"/>
  <c r="J4" i="64"/>
  <c r="E6" i="64"/>
  <c r="C6" i="64"/>
  <c r="C8" i="64" s="1"/>
  <c r="F8" i="64" s="1"/>
  <c r="M8" i="64" s="1"/>
  <c r="D6" i="64"/>
  <c r="I6" i="69"/>
  <c r="D6" i="69"/>
  <c r="C6" i="69"/>
  <c r="C8" i="69" s="1"/>
  <c r="J4" i="69"/>
  <c r="G5" i="69"/>
  <c r="E6" i="69"/>
  <c r="E6" i="46"/>
  <c r="D6" i="46"/>
  <c r="C6" i="46"/>
  <c r="C8" i="46" s="1"/>
  <c r="F8" i="46" s="1"/>
  <c r="M8" i="46" s="1"/>
  <c r="G5" i="46"/>
  <c r="J4" i="46"/>
  <c r="I2" i="66"/>
  <c r="D2" i="66"/>
  <c r="D8" i="66" s="1"/>
  <c r="C2" i="66"/>
  <c r="E2" i="66"/>
  <c r="H4" i="66"/>
  <c r="G3" i="66"/>
  <c r="W69" i="63"/>
  <c r="W70" i="63" s="1"/>
  <c r="W71" i="63" s="1"/>
  <c r="J4" i="72"/>
  <c r="G5" i="72"/>
  <c r="D6" i="72"/>
  <c r="C6" i="72"/>
  <c r="C8" i="72" s="1"/>
  <c r="I6" i="72"/>
  <c r="E6" i="72"/>
  <c r="W69" i="45"/>
  <c r="W70" i="45" s="1"/>
  <c r="W71" i="45" s="1"/>
  <c r="O98" i="54"/>
  <c r="O99" i="54" s="1"/>
  <c r="O100" i="54" s="1"/>
  <c r="W7" i="60"/>
  <c r="W92" i="70"/>
  <c r="O40" i="73"/>
  <c r="D2" i="72"/>
  <c r="D8" i="72" s="1"/>
  <c r="G3" i="72"/>
  <c r="I2" i="72"/>
  <c r="E2" i="72"/>
  <c r="H4" i="72"/>
  <c r="C2" i="72"/>
  <c r="D6" i="89"/>
  <c r="I6" i="89"/>
  <c r="J4" i="89"/>
  <c r="G5" i="89"/>
  <c r="C6" i="89"/>
  <c r="C8" i="89" s="1"/>
  <c r="E6" i="89"/>
  <c r="B58" i="90"/>
  <c r="B60" i="90"/>
  <c r="F8" i="61"/>
  <c r="M8" i="61" s="1"/>
  <c r="B34" i="62" s="1"/>
  <c r="B33" i="62" s="1"/>
  <c r="U39" i="67"/>
  <c r="O7" i="78"/>
  <c r="G15" i="103"/>
  <c r="G16" i="103" s="1"/>
  <c r="G15" i="80"/>
  <c r="G16" i="80" s="1"/>
  <c r="H4" i="69"/>
  <c r="I2" i="69"/>
  <c r="E2" i="69"/>
  <c r="D2" i="69"/>
  <c r="D8" i="69" s="1"/>
  <c r="C2" i="69"/>
  <c r="G3" i="69"/>
  <c r="E6" i="66"/>
  <c r="I6" i="66"/>
  <c r="J4" i="66"/>
  <c r="C6" i="109"/>
  <c r="C8" i="109" s="1"/>
  <c r="F8" i="109" s="1"/>
  <c r="M8" i="109" s="1"/>
  <c r="B34" i="107" s="1"/>
  <c r="I6" i="109"/>
  <c r="G5" i="109"/>
  <c r="J4" i="109"/>
  <c r="E6" i="109"/>
  <c r="D6" i="109"/>
  <c r="E2" i="61"/>
  <c r="I2" i="61"/>
  <c r="U40" i="50"/>
  <c r="O92" i="70"/>
  <c r="W10" i="73"/>
  <c r="O37" i="73"/>
  <c r="I2" i="89"/>
  <c r="G3" i="89"/>
  <c r="E2" i="89"/>
  <c r="D2" i="89"/>
  <c r="D8" i="89" s="1"/>
  <c r="C2" i="89"/>
  <c r="H4" i="89"/>
  <c r="J4" i="129"/>
  <c r="E6" i="129"/>
  <c r="C6" i="129"/>
  <c r="C8" i="129" s="1"/>
  <c r="D6" i="129"/>
  <c r="G5" i="129"/>
  <c r="I6" i="129"/>
  <c r="E2" i="58"/>
  <c r="D2" i="58"/>
  <c r="D8" i="58" s="1"/>
  <c r="F8" i="58" s="1"/>
  <c r="M8" i="58" s="1"/>
  <c r="I2" i="58"/>
  <c r="G3" i="58"/>
  <c r="G16" i="104"/>
  <c r="B32" i="62"/>
  <c r="B34" i="53"/>
  <c r="B34" i="52"/>
  <c r="W92" i="73"/>
  <c r="O89" i="73"/>
  <c r="M60" i="73"/>
  <c r="O60" i="73" s="1"/>
  <c r="J68" i="73"/>
  <c r="O66" i="73" s="1"/>
  <c r="O67" i="73" s="1"/>
  <c r="O68" i="73" s="1"/>
  <c r="O10" i="73"/>
  <c r="O92" i="73"/>
  <c r="J12" i="73"/>
  <c r="J14" i="73" s="1"/>
  <c r="J16" i="73" s="1"/>
  <c r="O13" i="73" s="1"/>
  <c r="O14" i="73" s="1"/>
  <c r="O15" i="73" s="1"/>
  <c r="M7" i="73"/>
  <c r="O7" i="73" s="1"/>
  <c r="O63" i="73"/>
  <c r="W37" i="73"/>
  <c r="O37" i="70"/>
  <c r="O63" i="70"/>
  <c r="W63" i="70"/>
  <c r="O10" i="70"/>
  <c r="O89" i="70"/>
  <c r="U9" i="67"/>
  <c r="R10" i="67"/>
  <c r="U10" i="67" s="1"/>
  <c r="R63" i="67"/>
  <c r="U63" i="67" s="1"/>
  <c r="U62" i="67"/>
  <c r="U59" i="67"/>
  <c r="R60" i="67"/>
  <c r="U60" i="67" s="1"/>
  <c r="W60" i="67" s="1"/>
  <c r="J60" i="67"/>
  <c r="M59" i="67"/>
  <c r="M39" i="67"/>
  <c r="J40" i="67"/>
  <c r="M40" i="67" s="1"/>
  <c r="J63" i="67"/>
  <c r="M63" i="67" s="1"/>
  <c r="M62" i="67"/>
  <c r="M9" i="67"/>
  <c r="J10" i="67"/>
  <c r="M10" i="67" s="1"/>
  <c r="M88" i="67"/>
  <c r="J89" i="67"/>
  <c r="M89" i="67" s="1"/>
  <c r="O89" i="67" s="1"/>
  <c r="M6" i="67"/>
  <c r="J7" i="67"/>
  <c r="O98" i="67"/>
  <c r="O99" i="67" s="1"/>
  <c r="O100" i="67" s="1"/>
  <c r="R37" i="67"/>
  <c r="U37" i="67" s="1"/>
  <c r="U36" i="67"/>
  <c r="M36" i="67"/>
  <c r="J37" i="67"/>
  <c r="M37" i="67" s="1"/>
  <c r="U40" i="67"/>
  <c r="W40" i="67" s="1"/>
  <c r="U6" i="67"/>
  <c r="J92" i="67"/>
  <c r="M92" i="67" s="1"/>
  <c r="M91" i="67"/>
  <c r="U91" i="67"/>
  <c r="R92" i="67"/>
  <c r="U92" i="67" s="1"/>
  <c r="W92" i="67" s="1"/>
  <c r="U7" i="67"/>
  <c r="W7" i="67" s="1"/>
  <c r="H6" i="64"/>
  <c r="H2" i="64"/>
  <c r="H8" i="64" s="1"/>
  <c r="R63" i="63"/>
  <c r="U63" i="63" s="1"/>
  <c r="U62" i="63"/>
  <c r="R7" i="63"/>
  <c r="U7" i="63" s="1"/>
  <c r="U6" i="63"/>
  <c r="J60" i="63"/>
  <c r="M59" i="63"/>
  <c r="M39" i="63"/>
  <c r="J40" i="63"/>
  <c r="M40" i="63" s="1"/>
  <c r="O40" i="63" s="1"/>
  <c r="U59" i="63"/>
  <c r="R60" i="63"/>
  <c r="U60" i="63" s="1"/>
  <c r="U9" i="63"/>
  <c r="R10" i="63"/>
  <c r="U10" i="63" s="1"/>
  <c r="M6" i="63"/>
  <c r="J7" i="63"/>
  <c r="J92" i="63"/>
  <c r="M92" i="63" s="1"/>
  <c r="M91" i="63"/>
  <c r="J10" i="63"/>
  <c r="M10" i="63" s="1"/>
  <c r="M9" i="63"/>
  <c r="R37" i="63"/>
  <c r="U37" i="63" s="1"/>
  <c r="U36" i="63"/>
  <c r="M88" i="63"/>
  <c r="J89" i="63"/>
  <c r="M89" i="63" s="1"/>
  <c r="M62" i="63"/>
  <c r="J63" i="63"/>
  <c r="M63" i="63" s="1"/>
  <c r="O63" i="63" s="1"/>
  <c r="O98" i="63"/>
  <c r="O99" i="63" s="1"/>
  <c r="O100" i="63" s="1"/>
  <c r="U39" i="63"/>
  <c r="J37" i="63"/>
  <c r="M37" i="63" s="1"/>
  <c r="M36" i="63"/>
  <c r="U91" i="63"/>
  <c r="R92" i="63"/>
  <c r="U92" i="63" s="1"/>
  <c r="U40" i="63"/>
  <c r="W40" i="63" s="1"/>
  <c r="U88" i="63"/>
  <c r="R89" i="63"/>
  <c r="U89" i="63" s="1"/>
  <c r="H2" i="61"/>
  <c r="H8" i="61" s="1"/>
  <c r="H6" i="61"/>
  <c r="J92" i="60"/>
  <c r="M92" i="60" s="1"/>
  <c r="M91" i="60"/>
  <c r="U62" i="60"/>
  <c r="R63" i="60"/>
  <c r="U63" i="60" s="1"/>
  <c r="M39" i="60"/>
  <c r="J40" i="60"/>
  <c r="M40" i="60" s="1"/>
  <c r="U59" i="60"/>
  <c r="R60" i="60"/>
  <c r="U60" i="60" s="1"/>
  <c r="W60" i="60" s="1"/>
  <c r="U9" i="60"/>
  <c r="R10" i="60"/>
  <c r="U10" i="60" s="1"/>
  <c r="W10" i="60" s="1"/>
  <c r="J60" i="60"/>
  <c r="M59" i="60"/>
  <c r="U88" i="60"/>
  <c r="R89" i="60"/>
  <c r="U89" i="60" s="1"/>
  <c r="U39" i="60"/>
  <c r="W69" i="60"/>
  <c r="W70" i="60" s="1"/>
  <c r="W71" i="60" s="1"/>
  <c r="U40" i="60"/>
  <c r="M62" i="60"/>
  <c r="J63" i="60"/>
  <c r="M63" i="60" s="1"/>
  <c r="J10" i="60"/>
  <c r="M10" i="60" s="1"/>
  <c r="M9" i="60"/>
  <c r="R37" i="60"/>
  <c r="U37" i="60" s="1"/>
  <c r="U36" i="60"/>
  <c r="M88" i="60"/>
  <c r="J89" i="60"/>
  <c r="M89" i="60" s="1"/>
  <c r="M6" i="60"/>
  <c r="J7" i="60"/>
  <c r="U91" i="60"/>
  <c r="R92" i="60"/>
  <c r="U92" i="60" s="1"/>
  <c r="W92" i="60" s="1"/>
  <c r="O98" i="60"/>
  <c r="O99" i="60" s="1"/>
  <c r="O100" i="60" s="1"/>
  <c r="M36" i="60"/>
  <c r="J37" i="60"/>
  <c r="M37" i="60" s="1"/>
  <c r="O37" i="60" s="1"/>
  <c r="H6" i="58"/>
  <c r="H2" i="58"/>
  <c r="H8" i="58" s="1"/>
  <c r="K8" i="58" s="1"/>
  <c r="J92" i="57"/>
  <c r="M92" i="57" s="1"/>
  <c r="M91" i="57"/>
  <c r="W69" i="57"/>
  <c r="W70" i="57" s="1"/>
  <c r="W71" i="57" s="1"/>
  <c r="R7" i="57"/>
  <c r="U7" i="57" s="1"/>
  <c r="U6" i="57"/>
  <c r="J63" i="57"/>
  <c r="M63" i="57" s="1"/>
  <c r="M62" i="57"/>
  <c r="U91" i="57"/>
  <c r="R92" i="57"/>
  <c r="U92" i="57" s="1"/>
  <c r="M39" i="57"/>
  <c r="J40" i="57"/>
  <c r="M40" i="57" s="1"/>
  <c r="O40" i="57" s="1"/>
  <c r="U59" i="57"/>
  <c r="R60" i="57"/>
  <c r="U60" i="57" s="1"/>
  <c r="M6" i="57"/>
  <c r="J7" i="57"/>
  <c r="J37" i="57"/>
  <c r="M37" i="57" s="1"/>
  <c r="M36" i="57"/>
  <c r="U62" i="57"/>
  <c r="R63" i="57"/>
  <c r="U63" i="57" s="1"/>
  <c r="W63" i="57" s="1"/>
  <c r="J60" i="57"/>
  <c r="M59" i="57"/>
  <c r="M9" i="57"/>
  <c r="J10" i="57"/>
  <c r="M10" i="57" s="1"/>
  <c r="U10" i="57"/>
  <c r="W99" i="57"/>
  <c r="W100" i="57" s="1"/>
  <c r="O98" i="57"/>
  <c r="O99" i="57" s="1"/>
  <c r="O100" i="57" s="1"/>
  <c r="U9" i="57"/>
  <c r="U36" i="57"/>
  <c r="R37" i="57"/>
  <c r="U37" i="57" s="1"/>
  <c r="M88" i="57"/>
  <c r="J89" i="57"/>
  <c r="M89" i="57" s="1"/>
  <c r="U39" i="57"/>
  <c r="W40" i="57" s="1"/>
  <c r="R89" i="57"/>
  <c r="U89" i="57" s="1"/>
  <c r="U88" i="57"/>
  <c r="J92" i="54"/>
  <c r="M92" i="54" s="1"/>
  <c r="M91" i="54"/>
  <c r="M7" i="54"/>
  <c r="J12" i="54"/>
  <c r="J14" i="54" s="1"/>
  <c r="J16" i="54" s="1"/>
  <c r="O13" i="54" s="1"/>
  <c r="O14" i="54" s="1"/>
  <c r="O15" i="54" s="1"/>
  <c r="U9" i="54"/>
  <c r="R10" i="54"/>
  <c r="U10" i="54" s="1"/>
  <c r="J10" i="54"/>
  <c r="M10" i="54" s="1"/>
  <c r="M9" i="54"/>
  <c r="R40" i="54"/>
  <c r="U40" i="54" s="1"/>
  <c r="U39" i="54"/>
  <c r="R63" i="54"/>
  <c r="U63" i="54" s="1"/>
  <c r="U62" i="54"/>
  <c r="J37" i="54"/>
  <c r="M37" i="54" s="1"/>
  <c r="M36" i="54"/>
  <c r="W69" i="54"/>
  <c r="W70" i="54" s="1"/>
  <c r="W71" i="54" s="1"/>
  <c r="U91" i="54"/>
  <c r="R92" i="54"/>
  <c r="U92" i="54" s="1"/>
  <c r="U60" i="54"/>
  <c r="R37" i="54"/>
  <c r="U37" i="54" s="1"/>
  <c r="U36" i="54"/>
  <c r="M6" i="54"/>
  <c r="J63" i="54"/>
  <c r="M63" i="54" s="1"/>
  <c r="M62" i="54"/>
  <c r="J60" i="54"/>
  <c r="M59" i="54"/>
  <c r="L89" i="54"/>
  <c r="M89" i="54" s="1"/>
  <c r="M88" i="54"/>
  <c r="M39" i="54"/>
  <c r="J40" i="54"/>
  <c r="M40" i="54" s="1"/>
  <c r="U59" i="54"/>
  <c r="F8" i="42"/>
  <c r="M8" i="42" s="1"/>
  <c r="B34" i="40" s="1"/>
  <c r="H6" i="51"/>
  <c r="H2" i="51"/>
  <c r="H8" i="51" s="1"/>
  <c r="K8" i="51" s="1"/>
  <c r="M6" i="50"/>
  <c r="J7" i="50"/>
  <c r="U91" i="50"/>
  <c r="R92" i="50"/>
  <c r="U92" i="50" s="1"/>
  <c r="M9" i="50"/>
  <c r="J10" i="50"/>
  <c r="M10" i="50" s="1"/>
  <c r="O98" i="50"/>
  <c r="O99" i="50" s="1"/>
  <c r="O100" i="50" s="1"/>
  <c r="M88" i="50"/>
  <c r="J89" i="50"/>
  <c r="M89" i="50" s="1"/>
  <c r="J92" i="50"/>
  <c r="M92" i="50" s="1"/>
  <c r="M91" i="50"/>
  <c r="J60" i="50"/>
  <c r="M59" i="50"/>
  <c r="U62" i="50"/>
  <c r="R63" i="50"/>
  <c r="U63" i="50" s="1"/>
  <c r="M36" i="50"/>
  <c r="J37" i="50"/>
  <c r="M37" i="50" s="1"/>
  <c r="U59" i="50"/>
  <c r="R60" i="50"/>
  <c r="U60" i="50" s="1"/>
  <c r="W60" i="50" s="1"/>
  <c r="W40" i="50"/>
  <c r="M62" i="50"/>
  <c r="J63" i="50"/>
  <c r="M63" i="50" s="1"/>
  <c r="M39" i="50"/>
  <c r="J40" i="50"/>
  <c r="M40" i="50" s="1"/>
  <c r="O40" i="50" s="1"/>
  <c r="R37" i="50"/>
  <c r="U37" i="50" s="1"/>
  <c r="U36" i="50"/>
  <c r="U6" i="50"/>
  <c r="U9" i="50"/>
  <c r="R10" i="50"/>
  <c r="U10" i="50" s="1"/>
  <c r="U7" i="50"/>
  <c r="H6" i="46"/>
  <c r="H2" i="46"/>
  <c r="H8" i="46" s="1"/>
  <c r="W98" i="45"/>
  <c r="W99" i="45" s="1"/>
  <c r="W100" i="45" s="1"/>
  <c r="J92" i="45"/>
  <c r="M92" i="45" s="1"/>
  <c r="M91" i="45"/>
  <c r="M6" i="45"/>
  <c r="J7" i="45"/>
  <c r="M39" i="45"/>
  <c r="J40" i="45"/>
  <c r="M40" i="45" s="1"/>
  <c r="O40" i="45" s="1"/>
  <c r="J10" i="45"/>
  <c r="M10" i="45" s="1"/>
  <c r="M9" i="45"/>
  <c r="W40" i="45"/>
  <c r="J63" i="45"/>
  <c r="M63" i="45" s="1"/>
  <c r="M62" i="45"/>
  <c r="O98" i="45"/>
  <c r="O99" i="45" s="1"/>
  <c r="O100" i="45" s="1"/>
  <c r="U59" i="45"/>
  <c r="R60" i="45"/>
  <c r="U60" i="45" s="1"/>
  <c r="W60" i="45" s="1"/>
  <c r="M88" i="45"/>
  <c r="J89" i="45"/>
  <c r="M89" i="45" s="1"/>
  <c r="J60" i="45"/>
  <c r="M59" i="45"/>
  <c r="U6" i="45"/>
  <c r="U9" i="45"/>
  <c r="R10" i="45"/>
  <c r="U10" i="45" s="1"/>
  <c r="M36" i="45"/>
  <c r="J37" i="45"/>
  <c r="M37" i="45" s="1"/>
  <c r="O37" i="45" s="1"/>
  <c r="U7" i="45"/>
  <c r="U91" i="45"/>
  <c r="R92" i="45"/>
  <c r="U92" i="45" s="1"/>
  <c r="U36" i="45"/>
  <c r="R37" i="45"/>
  <c r="U37" i="45" s="1"/>
  <c r="W37" i="45" s="1"/>
  <c r="R63" i="45"/>
  <c r="U63" i="45" s="1"/>
  <c r="U62" i="45"/>
  <c r="U6" i="41"/>
  <c r="W89" i="41"/>
  <c r="W69" i="41"/>
  <c r="W70" i="41" s="1"/>
  <c r="W71" i="41" s="1"/>
  <c r="W98" i="41"/>
  <c r="W99" i="41" s="1"/>
  <c r="W100" i="41" s="1"/>
  <c r="H6" i="42"/>
  <c r="H2" i="42"/>
  <c r="H8" i="42" s="1"/>
  <c r="K8" i="42" s="1"/>
  <c r="J60" i="41"/>
  <c r="M59" i="41"/>
  <c r="W7" i="41"/>
  <c r="M6" i="41"/>
  <c r="J7" i="41"/>
  <c r="M62" i="41"/>
  <c r="J63" i="41"/>
  <c r="M63" i="41" s="1"/>
  <c r="M39" i="41"/>
  <c r="J40" i="41"/>
  <c r="M40" i="41" s="1"/>
  <c r="J37" i="41"/>
  <c r="M37" i="41" s="1"/>
  <c r="M36" i="41"/>
  <c r="M9" i="41"/>
  <c r="J10" i="41"/>
  <c r="M10" i="41" s="1"/>
  <c r="G15" i="43" s="1"/>
  <c r="G16" i="43" s="1"/>
  <c r="U9" i="41"/>
  <c r="R10" i="41"/>
  <c r="U10" i="41" s="1"/>
  <c r="J89" i="41"/>
  <c r="M89" i="41" s="1"/>
  <c r="M88" i="41"/>
  <c r="U59" i="41"/>
  <c r="R60" i="41"/>
  <c r="U60" i="41" s="1"/>
  <c r="R63" i="41"/>
  <c r="U63" i="41" s="1"/>
  <c r="U62" i="41"/>
  <c r="U91" i="41"/>
  <c r="R92" i="41"/>
  <c r="U92" i="41" s="1"/>
  <c r="U39" i="41"/>
  <c r="J92" i="41"/>
  <c r="M92" i="41" s="1"/>
  <c r="M91" i="41"/>
  <c r="U36" i="41"/>
  <c r="R37" i="41"/>
  <c r="U37" i="41" s="1"/>
  <c r="O98" i="41"/>
  <c r="O99" i="41" s="1"/>
  <c r="O100" i="41" s="1"/>
  <c r="U40" i="41"/>
  <c r="C39" i="39"/>
  <c r="C40" i="39" s="1"/>
  <c r="C48" i="39"/>
  <c r="D35" i="39"/>
  <c r="B34" i="47" l="1"/>
  <c r="B34" i="49"/>
  <c r="B34" i="48"/>
  <c r="B34" i="44"/>
  <c r="B32" i="44" s="1"/>
  <c r="W92" i="45"/>
  <c r="W7" i="50"/>
  <c r="O63" i="50"/>
  <c r="O10" i="50"/>
  <c r="G15" i="53"/>
  <c r="G16" i="53" s="1"/>
  <c r="G15" i="52"/>
  <c r="G16" i="52" s="1"/>
  <c r="O40" i="54"/>
  <c r="O63" i="60"/>
  <c r="J6" i="109"/>
  <c r="J8" i="109" s="1"/>
  <c r="J2" i="109"/>
  <c r="M8" i="66"/>
  <c r="B34" i="68" s="1"/>
  <c r="H6" i="109"/>
  <c r="H2" i="109"/>
  <c r="H8" i="109" s="1"/>
  <c r="K8" i="109" s="1"/>
  <c r="J2" i="129"/>
  <c r="J6" i="129"/>
  <c r="J8" i="129" s="1"/>
  <c r="B59" i="127"/>
  <c r="B8" i="127" s="1"/>
  <c r="B9" i="127"/>
  <c r="B7" i="127"/>
  <c r="B10" i="127"/>
  <c r="G18" i="83"/>
  <c r="G17" i="83"/>
  <c r="B56" i="83" s="1"/>
  <c r="W37" i="41"/>
  <c r="W92" i="50"/>
  <c r="O37" i="67"/>
  <c r="B34" i="59"/>
  <c r="B34" i="119"/>
  <c r="B34" i="101"/>
  <c r="H6" i="89"/>
  <c r="H2" i="89"/>
  <c r="H8" i="89" s="1"/>
  <c r="J6" i="72"/>
  <c r="J8" i="72" s="1"/>
  <c r="J2" i="72"/>
  <c r="J6" i="64"/>
  <c r="J8" i="64" s="1"/>
  <c r="K8" i="64" s="1"/>
  <c r="J2" i="64"/>
  <c r="J6" i="61"/>
  <c r="J8" i="61" s="1"/>
  <c r="K8" i="61" s="1"/>
  <c r="J2" i="61"/>
  <c r="O10" i="67"/>
  <c r="G15" i="68"/>
  <c r="G16" i="68" s="1"/>
  <c r="B33" i="107"/>
  <c r="B32" i="107"/>
  <c r="B59" i="90"/>
  <c r="B8" i="90" s="1"/>
  <c r="B9" i="90"/>
  <c r="B10" i="90"/>
  <c r="B7" i="90"/>
  <c r="H2" i="72"/>
  <c r="H8" i="72" s="1"/>
  <c r="K8" i="72" s="1"/>
  <c r="H6" i="72"/>
  <c r="J6" i="69"/>
  <c r="J8" i="69" s="1"/>
  <c r="J2" i="69"/>
  <c r="O10" i="45"/>
  <c r="G15" i="44"/>
  <c r="G16" i="44" s="1"/>
  <c r="G15" i="47"/>
  <c r="G16" i="47" s="1"/>
  <c r="G15" i="48"/>
  <c r="G16" i="48" s="1"/>
  <c r="G15" i="49"/>
  <c r="G16" i="49" s="1"/>
  <c r="O37" i="57"/>
  <c r="J2" i="66"/>
  <c r="J6" i="66"/>
  <c r="J8" i="66" s="1"/>
  <c r="H6" i="69"/>
  <c r="H2" i="69"/>
  <c r="H8" i="69" s="1"/>
  <c r="K8" i="69" s="1"/>
  <c r="J2" i="46"/>
  <c r="J6" i="46"/>
  <c r="J8" i="46" s="1"/>
  <c r="K8" i="46" s="1"/>
  <c r="F8" i="69"/>
  <c r="M8" i="69" s="1"/>
  <c r="B34" i="71" s="1"/>
  <c r="H2" i="129"/>
  <c r="H8" i="129" s="1"/>
  <c r="K8" i="129" s="1"/>
  <c r="H6" i="129"/>
  <c r="G18" i="43"/>
  <c r="G17" i="43"/>
  <c r="B56" i="43" s="1"/>
  <c r="W10" i="45"/>
  <c r="W37" i="50"/>
  <c r="O89" i="57"/>
  <c r="O10" i="57"/>
  <c r="I15" i="119"/>
  <c r="I16" i="119" s="1"/>
  <c r="I15" i="101"/>
  <c r="I16" i="101" s="1"/>
  <c r="I15" i="59"/>
  <c r="I16" i="59" s="1"/>
  <c r="W37" i="60"/>
  <c r="W89" i="60"/>
  <c r="O40" i="60"/>
  <c r="W10" i="63"/>
  <c r="G18" i="80"/>
  <c r="G17" i="80"/>
  <c r="B56" i="80" s="1"/>
  <c r="F8" i="89"/>
  <c r="M8" i="89" s="1"/>
  <c r="B34" i="114" s="1"/>
  <c r="B59" i="114"/>
  <c r="B8" i="114" s="1"/>
  <c r="B9" i="114"/>
  <c r="B10" i="114"/>
  <c r="B7" i="114"/>
  <c r="G15" i="121"/>
  <c r="G16" i="121" s="1"/>
  <c r="G15" i="56"/>
  <c r="G16" i="56" s="1"/>
  <c r="G18" i="103"/>
  <c r="G17" i="103"/>
  <c r="B56" i="103" s="1"/>
  <c r="B58" i="71"/>
  <c r="B60" i="71"/>
  <c r="W92" i="41"/>
  <c r="W10" i="41"/>
  <c r="O63" i="41"/>
  <c r="W63" i="50"/>
  <c r="W10" i="54"/>
  <c r="W37" i="57"/>
  <c r="W60" i="57"/>
  <c r="O10" i="60"/>
  <c r="G15" i="62"/>
  <c r="G16" i="62" s="1"/>
  <c r="W63" i="60"/>
  <c r="W60" i="63"/>
  <c r="O40" i="67"/>
  <c r="W10" i="67"/>
  <c r="F8" i="129"/>
  <c r="M8" i="129" s="1"/>
  <c r="B34" i="130" s="1"/>
  <c r="J2" i="89"/>
  <c r="J6" i="89"/>
  <c r="J8" i="89" s="1"/>
  <c r="F8" i="72"/>
  <c r="M8" i="72" s="1"/>
  <c r="H6" i="66"/>
  <c r="H2" i="66"/>
  <c r="H8" i="66" s="1"/>
  <c r="G18" i="104"/>
  <c r="G17" i="104"/>
  <c r="B56" i="104" s="1"/>
  <c r="B32" i="53"/>
  <c r="B33" i="53"/>
  <c r="B33" i="44"/>
  <c r="B34" i="43"/>
  <c r="B33" i="43" s="1"/>
  <c r="M60" i="67"/>
  <c r="O60" i="67" s="1"/>
  <c r="J68" i="67"/>
  <c r="O66" i="67" s="1"/>
  <c r="O67" i="67" s="1"/>
  <c r="O68" i="67" s="1"/>
  <c r="W37" i="67"/>
  <c r="O63" i="67"/>
  <c r="W63" i="67"/>
  <c r="O92" i="67"/>
  <c r="M7" i="67"/>
  <c r="O7" i="67" s="1"/>
  <c r="J12" i="67"/>
  <c r="J14" i="67" s="1"/>
  <c r="J16" i="67" s="1"/>
  <c r="O13" i="67" s="1"/>
  <c r="O14" i="67" s="1"/>
  <c r="O15" i="67" s="1"/>
  <c r="O92" i="63"/>
  <c r="W92" i="63"/>
  <c r="O89" i="63"/>
  <c r="J12" i="63"/>
  <c r="J14" i="63" s="1"/>
  <c r="J16" i="63" s="1"/>
  <c r="O13" i="63" s="1"/>
  <c r="O14" i="63" s="1"/>
  <c r="O15" i="63" s="1"/>
  <c r="M7" i="63"/>
  <c r="O7" i="63" s="1"/>
  <c r="O37" i="63"/>
  <c r="W37" i="63"/>
  <c r="W7" i="63"/>
  <c r="M60" i="63"/>
  <c r="O60" i="63" s="1"/>
  <c r="J68" i="63"/>
  <c r="O66" i="63" s="1"/>
  <c r="O67" i="63" s="1"/>
  <c r="O68" i="63" s="1"/>
  <c r="W89" i="63"/>
  <c r="O10" i="63"/>
  <c r="W63" i="63"/>
  <c r="M7" i="60"/>
  <c r="O7" i="60" s="1"/>
  <c r="J12" i="60"/>
  <c r="J14" i="60" s="1"/>
  <c r="J16" i="60" s="1"/>
  <c r="O13" i="60" s="1"/>
  <c r="O14" i="60" s="1"/>
  <c r="O15" i="60" s="1"/>
  <c r="M60" i="60"/>
  <c r="O60" i="60" s="1"/>
  <c r="J68" i="60"/>
  <c r="O66" i="60" s="1"/>
  <c r="O67" i="60" s="1"/>
  <c r="O68" i="60" s="1"/>
  <c r="O89" i="60"/>
  <c r="W40" i="60"/>
  <c r="O92" i="60"/>
  <c r="O63" i="57"/>
  <c r="M7" i="57"/>
  <c r="O7" i="57" s="1"/>
  <c r="J12" i="57"/>
  <c r="J14" i="57" s="1"/>
  <c r="J16" i="57" s="1"/>
  <c r="O13" i="57" s="1"/>
  <c r="O14" i="57" s="1"/>
  <c r="O15" i="57" s="1"/>
  <c r="M60" i="57"/>
  <c r="O60" i="57" s="1"/>
  <c r="J68" i="57"/>
  <c r="O66" i="57" s="1"/>
  <c r="O67" i="57" s="1"/>
  <c r="O68" i="57" s="1"/>
  <c r="W7" i="57"/>
  <c r="W89" i="57"/>
  <c r="W92" i="57"/>
  <c r="O92" i="57"/>
  <c r="W10" i="57"/>
  <c r="O10" i="54"/>
  <c r="O63" i="54"/>
  <c r="O37" i="54"/>
  <c r="W37" i="54"/>
  <c r="W63" i="54"/>
  <c r="O7" i="54"/>
  <c r="M60" i="54"/>
  <c r="O60" i="54" s="1"/>
  <c r="J68" i="54"/>
  <c r="O66" i="54" s="1"/>
  <c r="O67" i="54" s="1"/>
  <c r="O68" i="54" s="1"/>
  <c r="O89" i="54"/>
  <c r="W60" i="54"/>
  <c r="W92" i="54"/>
  <c r="W40" i="54"/>
  <c r="O92" i="54"/>
  <c r="B32" i="40"/>
  <c r="B33" i="40"/>
  <c r="B32" i="48"/>
  <c r="B33" i="48"/>
  <c r="B32" i="49"/>
  <c r="B33" i="49"/>
  <c r="B32" i="47"/>
  <c r="B33" i="47"/>
  <c r="B32" i="52"/>
  <c r="B33" i="52"/>
  <c r="W10" i="50"/>
  <c r="M60" i="50"/>
  <c r="O60" i="50" s="1"/>
  <c r="J68" i="50"/>
  <c r="O66" i="50" s="1"/>
  <c r="O67" i="50" s="1"/>
  <c r="O68" i="50" s="1"/>
  <c r="O92" i="50"/>
  <c r="M7" i="50"/>
  <c r="O7" i="50" s="1"/>
  <c r="J12" i="50"/>
  <c r="J14" i="50" s="1"/>
  <c r="J16" i="50" s="1"/>
  <c r="O13" i="50" s="1"/>
  <c r="O14" i="50" s="1"/>
  <c r="O15" i="50" s="1"/>
  <c r="O37" i="50"/>
  <c r="O89" i="50"/>
  <c r="W63" i="45"/>
  <c r="M7" i="45"/>
  <c r="O7" i="45" s="1"/>
  <c r="J12" i="45"/>
  <c r="J14" i="45" s="1"/>
  <c r="J16" i="45" s="1"/>
  <c r="O13" i="45" s="1"/>
  <c r="O14" i="45" s="1"/>
  <c r="O15" i="45" s="1"/>
  <c r="O63" i="45"/>
  <c r="M60" i="45"/>
  <c r="O60" i="45" s="1"/>
  <c r="J68" i="45"/>
  <c r="O66" i="45" s="1"/>
  <c r="O67" i="45" s="1"/>
  <c r="O68" i="45" s="1"/>
  <c r="O92" i="45"/>
  <c r="W7" i="45"/>
  <c r="O89" i="45"/>
  <c r="O89" i="41"/>
  <c r="W63" i="41"/>
  <c r="W60" i="41"/>
  <c r="O92" i="41"/>
  <c r="O10" i="41"/>
  <c r="G15" i="40"/>
  <c r="G16" i="40" s="1"/>
  <c r="W40" i="41"/>
  <c r="M7" i="41"/>
  <c r="O7" i="41" s="1"/>
  <c r="J12" i="41"/>
  <c r="J14" i="41" s="1"/>
  <c r="J16" i="41" s="1"/>
  <c r="O13" i="41" s="1"/>
  <c r="O14" i="41" s="1"/>
  <c r="O15" i="41" s="1"/>
  <c r="O37" i="41"/>
  <c r="O40" i="41"/>
  <c r="M60" i="41"/>
  <c r="O60" i="41" s="1"/>
  <c r="J68" i="41"/>
  <c r="O66" i="41" s="1"/>
  <c r="O67" i="41" s="1"/>
  <c r="O68" i="41" s="1"/>
  <c r="C63" i="39"/>
  <c r="B5" i="38"/>
  <c r="I6" i="38" s="1"/>
  <c r="B3" i="38"/>
  <c r="H4" i="38" s="1"/>
  <c r="C36" i="33"/>
  <c r="I8" i="38"/>
  <c r="B33" i="68" l="1"/>
  <c r="B32" i="68"/>
  <c r="B33" i="130"/>
  <c r="B32" i="130"/>
  <c r="B58" i="103"/>
  <c r="B60" i="103"/>
  <c r="B33" i="114"/>
  <c r="B32" i="114"/>
  <c r="I17" i="101"/>
  <c r="B56" i="101" s="1"/>
  <c r="I18" i="101"/>
  <c r="B32" i="59"/>
  <c r="D32" i="59" s="1"/>
  <c r="D34" i="59"/>
  <c r="B33" i="59"/>
  <c r="D33" i="59" s="1"/>
  <c r="B58" i="80"/>
  <c r="B60" i="80"/>
  <c r="I18" i="119"/>
  <c r="I17" i="119"/>
  <c r="B56" i="119" s="1"/>
  <c r="I18" i="59"/>
  <c r="I17" i="59"/>
  <c r="B56" i="59" s="1"/>
  <c r="G17" i="56"/>
  <c r="B56" i="56" s="1"/>
  <c r="G18" i="56"/>
  <c r="B32" i="71"/>
  <c r="B33" i="71"/>
  <c r="B59" i="71"/>
  <c r="B8" i="71" s="1"/>
  <c r="B10" i="71"/>
  <c r="B7" i="71"/>
  <c r="B9" i="71"/>
  <c r="K8" i="66"/>
  <c r="G17" i="121"/>
  <c r="B56" i="121" s="1"/>
  <c r="G18" i="121"/>
  <c r="G17" i="49"/>
  <c r="B56" i="49" s="1"/>
  <c r="G18" i="49"/>
  <c r="G18" i="68"/>
  <c r="G17" i="68"/>
  <c r="B56" i="68" s="1"/>
  <c r="B33" i="119"/>
  <c r="B32" i="119"/>
  <c r="D34" i="119"/>
  <c r="G18" i="48"/>
  <c r="G17" i="48"/>
  <c r="B56" i="48" s="1"/>
  <c r="B28" i="90"/>
  <c r="K8" i="89"/>
  <c r="B58" i="83"/>
  <c r="B60" i="83"/>
  <c r="B28" i="127"/>
  <c r="G17" i="62"/>
  <c r="B56" i="62" s="1"/>
  <c r="G18" i="62"/>
  <c r="G17" i="47"/>
  <c r="B56" i="47" s="1"/>
  <c r="G18" i="47"/>
  <c r="G18" i="52"/>
  <c r="G17" i="52"/>
  <c r="B56" i="52" s="1"/>
  <c r="B58" i="43"/>
  <c r="B60" i="43"/>
  <c r="G18" i="44"/>
  <c r="G17" i="44"/>
  <c r="B56" i="44" s="1"/>
  <c r="B33" i="101"/>
  <c r="D34" i="101"/>
  <c r="B32" i="101"/>
  <c r="G18" i="53"/>
  <c r="G17" i="53"/>
  <c r="B56" i="53" s="1"/>
  <c r="B32" i="43"/>
  <c r="B58" i="104"/>
  <c r="B60" i="104"/>
  <c r="G18" i="40"/>
  <c r="G17" i="40"/>
  <c r="B56" i="40" s="1"/>
  <c r="C41" i="39"/>
  <c r="C64" i="39"/>
  <c r="C65" i="39" s="1"/>
  <c r="D35" i="33"/>
  <c r="C39" i="33"/>
  <c r="C40" i="33" s="1"/>
  <c r="C41" i="33" s="1"/>
  <c r="C43" i="33" s="1"/>
  <c r="C44" i="33" s="1"/>
  <c r="C48" i="33"/>
  <c r="H6" i="38"/>
  <c r="H2" i="38"/>
  <c r="H8" i="38" s="1"/>
  <c r="D2" i="38"/>
  <c r="D8" i="38" s="1"/>
  <c r="G5" i="38"/>
  <c r="D6" i="38"/>
  <c r="E6" i="38"/>
  <c r="J4" i="38"/>
  <c r="E2" i="38"/>
  <c r="I2" i="38"/>
  <c r="C6" i="38"/>
  <c r="C8" i="38" s="1"/>
  <c r="G3" i="38"/>
  <c r="C2" i="38"/>
  <c r="O97" i="35"/>
  <c r="T87" i="35"/>
  <c r="R87" i="35"/>
  <c r="L80" i="35"/>
  <c r="L82" i="35" s="1"/>
  <c r="J80" i="35"/>
  <c r="J82" i="35" s="1"/>
  <c r="O65" i="35"/>
  <c r="T58" i="35"/>
  <c r="R58" i="35"/>
  <c r="T35" i="35"/>
  <c r="R35" i="35"/>
  <c r="O12" i="35"/>
  <c r="T5" i="35"/>
  <c r="R5" i="35"/>
  <c r="D3" i="35"/>
  <c r="R101" i="35" s="1"/>
  <c r="D2" i="35"/>
  <c r="B57" i="33"/>
  <c r="B54" i="33"/>
  <c r="B55" i="33" s="1"/>
  <c r="W68" i="35" l="1"/>
  <c r="F8" i="38"/>
  <c r="M8" i="38" s="1"/>
  <c r="B58" i="53"/>
  <c r="B60" i="53"/>
  <c r="B58" i="44"/>
  <c r="B60" i="44"/>
  <c r="B60" i="49"/>
  <c r="B58" i="49"/>
  <c r="B7" i="103"/>
  <c r="B59" i="103"/>
  <c r="B8" i="103" s="1"/>
  <c r="B10" i="103"/>
  <c r="B9" i="103"/>
  <c r="B58" i="47"/>
  <c r="B60" i="47"/>
  <c r="B10" i="83"/>
  <c r="B59" i="83"/>
  <c r="B8" i="83" s="1"/>
  <c r="B9" i="83"/>
  <c r="B7" i="83"/>
  <c r="B58" i="121"/>
  <c r="B60" i="121"/>
  <c r="B58" i="119"/>
  <c r="B60" i="119"/>
  <c r="B7" i="43"/>
  <c r="B10" i="43"/>
  <c r="B9" i="43"/>
  <c r="B59" i="43"/>
  <c r="B8" i="43" s="1"/>
  <c r="D32" i="119"/>
  <c r="B58" i="101"/>
  <c r="B60" i="101"/>
  <c r="R9" i="35"/>
  <c r="D32" i="101"/>
  <c r="B58" i="62"/>
  <c r="B60" i="62"/>
  <c r="B36" i="90"/>
  <c r="J8" i="90"/>
  <c r="D33" i="119"/>
  <c r="B58" i="52"/>
  <c r="B60" i="52"/>
  <c r="B58" i="48"/>
  <c r="B60" i="48"/>
  <c r="B58" i="68"/>
  <c r="B60" i="68"/>
  <c r="B58" i="56"/>
  <c r="B60" i="56"/>
  <c r="B9" i="80"/>
  <c r="B7" i="80"/>
  <c r="B10" i="80"/>
  <c r="B59" i="80"/>
  <c r="B8" i="80" s="1"/>
  <c r="D33" i="101"/>
  <c r="B36" i="127"/>
  <c r="B58" i="59"/>
  <c r="B60" i="59"/>
  <c r="B7" i="104"/>
  <c r="B10" i="104"/>
  <c r="B59" i="104"/>
  <c r="B8" i="104" s="1"/>
  <c r="B9" i="104"/>
  <c r="D34" i="39"/>
  <c r="D34" i="33"/>
  <c r="B58" i="40"/>
  <c r="B7" i="40" s="1"/>
  <c r="B60" i="40"/>
  <c r="C43" i="39"/>
  <c r="C44" i="39" s="1"/>
  <c r="C47" i="39"/>
  <c r="C62" i="33"/>
  <c r="C63" i="33" s="1"/>
  <c r="C64" i="33"/>
  <c r="C47" i="33"/>
  <c r="C49" i="33" s="1"/>
  <c r="C50" i="33" s="1"/>
  <c r="D33" i="33"/>
  <c r="L36" i="35"/>
  <c r="L37" i="35" s="1"/>
  <c r="R98" i="35"/>
  <c r="R39" i="35"/>
  <c r="R40" i="35" s="1"/>
  <c r="L43" i="35"/>
  <c r="T88" i="35"/>
  <c r="T89" i="35" s="1"/>
  <c r="T9" i="35"/>
  <c r="T10" i="35" s="1"/>
  <c r="J6" i="38"/>
  <c r="J8" i="38" s="1"/>
  <c r="J2" i="38"/>
  <c r="K8" i="38"/>
  <c r="T99" i="35"/>
  <c r="T69" i="35"/>
  <c r="J43" i="35"/>
  <c r="J36" i="35"/>
  <c r="L9" i="35"/>
  <c r="L10" i="35" s="1"/>
  <c r="L98" i="35"/>
  <c r="T42" i="35"/>
  <c r="L39" i="35"/>
  <c r="L40" i="35" s="1"/>
  <c r="T17" i="35"/>
  <c r="L99" i="35"/>
  <c r="T68" i="35"/>
  <c r="J45" i="35"/>
  <c r="J46" i="35"/>
  <c r="J50" i="35" s="1"/>
  <c r="J52" i="35" s="1"/>
  <c r="T100" i="35"/>
  <c r="T71" i="35"/>
  <c r="T12" i="35"/>
  <c r="J6" i="35"/>
  <c r="R59" i="35"/>
  <c r="T101" i="35"/>
  <c r="T105" i="35" s="1"/>
  <c r="T107" i="35" s="1"/>
  <c r="L62" i="35"/>
  <c r="L63" i="35" s="1"/>
  <c r="T18" i="35"/>
  <c r="T97" i="35"/>
  <c r="J88" i="35"/>
  <c r="J42" i="35"/>
  <c r="L100" i="35"/>
  <c r="L105" i="35" s="1"/>
  <c r="L107" i="35" s="1"/>
  <c r="L91" i="35"/>
  <c r="L92" i="35" s="1"/>
  <c r="T70" i="35"/>
  <c r="J44" i="35"/>
  <c r="R36" i="35"/>
  <c r="T19" i="35"/>
  <c r="T20" i="35" s="1"/>
  <c r="T98" i="35"/>
  <c r="J59" i="35"/>
  <c r="T43" i="35"/>
  <c r="T45" i="35" s="1"/>
  <c r="T39" i="35"/>
  <c r="T40" i="35" s="1"/>
  <c r="U40" i="35" s="1"/>
  <c r="L97" i="35"/>
  <c r="T72" i="35"/>
  <c r="T76" i="35" s="1"/>
  <c r="T78" i="35" s="1"/>
  <c r="R6" i="35"/>
  <c r="R88" i="35"/>
  <c r="R10" i="35"/>
  <c r="U10" i="35" s="1"/>
  <c r="U9" i="35"/>
  <c r="R70" i="35"/>
  <c r="J91" i="35"/>
  <c r="J100" i="35"/>
  <c r="J105" i="35" s="1"/>
  <c r="J107" i="35" s="1"/>
  <c r="U39" i="35"/>
  <c r="L47" i="35"/>
  <c r="L50" i="35" s="1"/>
  <c r="L52" i="35" s="1"/>
  <c r="L59" i="35"/>
  <c r="L60" i="35" s="1"/>
  <c r="L68" i="35" s="1"/>
  <c r="R62" i="35"/>
  <c r="R97" i="35"/>
  <c r="R19" i="35"/>
  <c r="R20" i="35" s="1"/>
  <c r="L46" i="35"/>
  <c r="J9" i="35"/>
  <c r="T36" i="35"/>
  <c r="T37" i="35" s="1"/>
  <c r="L44" i="35"/>
  <c r="T62" i="35"/>
  <c r="T63" i="35" s="1"/>
  <c r="R68" i="35"/>
  <c r="J99" i="35"/>
  <c r="R105" i="35"/>
  <c r="R107" i="35" s="1"/>
  <c r="W98" i="35" s="1"/>
  <c r="W99" i="35" s="1"/>
  <c r="W100" i="35" s="1"/>
  <c r="R12" i="35"/>
  <c r="L42" i="35"/>
  <c r="L88" i="35"/>
  <c r="L89" i="35" s="1"/>
  <c r="R100" i="35"/>
  <c r="R17" i="35"/>
  <c r="J39" i="35"/>
  <c r="R42" i="35"/>
  <c r="R45" i="35" s="1"/>
  <c r="L45" i="35"/>
  <c r="T59" i="35"/>
  <c r="T60" i="35" s="1"/>
  <c r="T91" i="35"/>
  <c r="T92" i="35" s="1"/>
  <c r="J98" i="35"/>
  <c r="R91" i="35"/>
  <c r="W97" i="35"/>
  <c r="L6" i="35"/>
  <c r="L7" i="35" s="1"/>
  <c r="L12" i="35" s="1"/>
  <c r="L14" i="35" s="1"/>
  <c r="L16" i="35" s="1"/>
  <c r="R69" i="35"/>
  <c r="R99" i="35"/>
  <c r="T6" i="35"/>
  <c r="T7" i="35" s="1"/>
  <c r="R71" i="35"/>
  <c r="R18" i="35"/>
  <c r="J62" i="35"/>
  <c r="R72" i="35"/>
  <c r="R76" i="35" s="1"/>
  <c r="R78" i="35" s="1"/>
  <c r="J97" i="35"/>
  <c r="D32" i="33"/>
  <c r="G42" i="32"/>
  <c r="B57" i="32"/>
  <c r="B54" i="32"/>
  <c r="B55" i="32" s="1"/>
  <c r="B57" i="30"/>
  <c r="B54" i="30"/>
  <c r="B55" i="30" s="1"/>
  <c r="E8" i="29"/>
  <c r="I8" i="29"/>
  <c r="O97" i="28"/>
  <c r="T87" i="28"/>
  <c r="R87" i="28"/>
  <c r="L80" i="28"/>
  <c r="L82" i="28" s="1"/>
  <c r="J80" i="28"/>
  <c r="J82" i="28" s="1"/>
  <c r="O65" i="28"/>
  <c r="T58" i="28"/>
  <c r="R58" i="28"/>
  <c r="T35" i="28"/>
  <c r="R35" i="28"/>
  <c r="O12" i="28"/>
  <c r="T5" i="28"/>
  <c r="R5" i="28"/>
  <c r="F3" i="28"/>
  <c r="D3" i="28" s="1"/>
  <c r="F2" i="28"/>
  <c r="D2" i="28" s="1"/>
  <c r="B57" i="27"/>
  <c r="B54" i="27"/>
  <c r="B55" i="27" s="1"/>
  <c r="B57" i="23"/>
  <c r="B54" i="23"/>
  <c r="B55" i="23" s="1"/>
  <c r="R101" i="28" l="1"/>
  <c r="R98" i="28"/>
  <c r="L43" i="28"/>
  <c r="L36" i="28"/>
  <c r="L37" i="28" s="1"/>
  <c r="R39" i="28"/>
  <c r="R40" i="28" s="1"/>
  <c r="O98" i="35"/>
  <c r="O99" i="35" s="1"/>
  <c r="O100" i="35" s="1"/>
  <c r="B9" i="68"/>
  <c r="B7" i="68"/>
  <c r="B10" i="68"/>
  <c r="B59" i="68"/>
  <c r="B8" i="68" s="1"/>
  <c r="J11" i="90"/>
  <c r="B39" i="90"/>
  <c r="B40" i="90" s="1"/>
  <c r="B48" i="90"/>
  <c r="J13" i="90"/>
  <c r="J10" i="90"/>
  <c r="J7" i="90"/>
  <c r="J9" i="90"/>
  <c r="J12" i="90"/>
  <c r="J14" i="90"/>
  <c r="J6" i="90"/>
  <c r="B9" i="101"/>
  <c r="B59" i="101"/>
  <c r="B8" i="101" s="1"/>
  <c r="B7" i="101"/>
  <c r="B10" i="101"/>
  <c r="B7" i="119"/>
  <c r="B10" i="119"/>
  <c r="B9" i="119"/>
  <c r="B59" i="119"/>
  <c r="B8" i="119" s="1"/>
  <c r="B10" i="47"/>
  <c r="B7" i="47"/>
  <c r="B59" i="47"/>
  <c r="B8" i="47" s="1"/>
  <c r="B9" i="47"/>
  <c r="B7" i="44"/>
  <c r="B9" i="44"/>
  <c r="B10" i="44"/>
  <c r="B59" i="44"/>
  <c r="B8" i="44" s="1"/>
  <c r="B59" i="48"/>
  <c r="B8" i="48" s="1"/>
  <c r="B9" i="48"/>
  <c r="B7" i="48"/>
  <c r="B10" i="48"/>
  <c r="B59" i="62"/>
  <c r="B8" i="62" s="1"/>
  <c r="B7" i="62"/>
  <c r="B9" i="62"/>
  <c r="B10" i="62"/>
  <c r="B59" i="121"/>
  <c r="B8" i="121" s="1"/>
  <c r="B9" i="121"/>
  <c r="B7" i="121"/>
  <c r="B10" i="121"/>
  <c r="B10" i="53"/>
  <c r="B9" i="53"/>
  <c r="B7" i="53"/>
  <c r="B59" i="53"/>
  <c r="B8" i="53" s="1"/>
  <c r="B10" i="52"/>
  <c r="B9" i="52"/>
  <c r="B7" i="52"/>
  <c r="B59" i="52"/>
  <c r="B8" i="52" s="1"/>
  <c r="T88" i="28"/>
  <c r="T89" i="28" s="1"/>
  <c r="B7" i="59"/>
  <c r="D7" i="59" s="1"/>
  <c r="B59" i="59"/>
  <c r="B8" i="59" s="1"/>
  <c r="D8" i="59" s="1"/>
  <c r="B10" i="59"/>
  <c r="D10" i="59" s="1"/>
  <c r="B9" i="59"/>
  <c r="D9" i="59" s="1"/>
  <c r="T9" i="28"/>
  <c r="T10" i="28" s="1"/>
  <c r="W68" i="28"/>
  <c r="J13" i="127"/>
  <c r="B48" i="127"/>
  <c r="B39" i="127"/>
  <c r="B40" i="127" s="1"/>
  <c r="J11" i="127"/>
  <c r="J7" i="127"/>
  <c r="J10" i="127"/>
  <c r="J12" i="127"/>
  <c r="J6" i="127"/>
  <c r="J9" i="127"/>
  <c r="J14" i="127"/>
  <c r="B59" i="56"/>
  <c r="B8" i="56" s="1"/>
  <c r="B9" i="56"/>
  <c r="B7" i="56"/>
  <c r="B10" i="56"/>
  <c r="B10" i="49"/>
  <c r="B9" i="49"/>
  <c r="B59" i="49"/>
  <c r="B8" i="49" s="1"/>
  <c r="B7" i="49"/>
  <c r="J8" i="127"/>
  <c r="C65" i="33"/>
  <c r="D32" i="39"/>
  <c r="D33" i="39"/>
  <c r="B59" i="40"/>
  <c r="B8" i="40" s="1"/>
  <c r="B9" i="40"/>
  <c r="B10" i="40"/>
  <c r="C49" i="39"/>
  <c r="C50" i="39" s="1"/>
  <c r="C51" i="39"/>
  <c r="C51" i="33"/>
  <c r="W40" i="35"/>
  <c r="R7" i="35"/>
  <c r="U7" i="35" s="1"/>
  <c r="U6" i="35"/>
  <c r="U36" i="35"/>
  <c r="R37" i="35"/>
  <c r="U37" i="35" s="1"/>
  <c r="M39" i="35"/>
  <c r="J40" i="35"/>
  <c r="M40" i="35" s="1"/>
  <c r="J92" i="35"/>
  <c r="M92" i="35" s="1"/>
  <c r="M91" i="35"/>
  <c r="J63" i="35"/>
  <c r="M63" i="35" s="1"/>
  <c r="M62" i="35"/>
  <c r="J37" i="35"/>
  <c r="M37" i="35" s="1"/>
  <c r="M36" i="35"/>
  <c r="U91" i="35"/>
  <c r="R92" i="35"/>
  <c r="U92" i="35" s="1"/>
  <c r="U59" i="35"/>
  <c r="R60" i="35"/>
  <c r="U60" i="35" s="1"/>
  <c r="W69" i="35"/>
  <c r="W70" i="35" s="1"/>
  <c r="W71" i="35" s="1"/>
  <c r="U62" i="35"/>
  <c r="R63" i="35"/>
  <c r="U63" i="35" s="1"/>
  <c r="W10" i="35"/>
  <c r="M6" i="35"/>
  <c r="J7" i="35"/>
  <c r="J60" i="35"/>
  <c r="M59" i="35"/>
  <c r="M9" i="35"/>
  <c r="J10" i="35"/>
  <c r="M10" i="35" s="1"/>
  <c r="O10" i="35" s="1"/>
  <c r="R89" i="35"/>
  <c r="U89" i="35" s="1"/>
  <c r="U88" i="35"/>
  <c r="M88" i="35"/>
  <c r="J89" i="35"/>
  <c r="M89" i="35" s="1"/>
  <c r="T45" i="28"/>
  <c r="R88" i="28"/>
  <c r="T99" i="28"/>
  <c r="T69" i="28"/>
  <c r="J43" i="28"/>
  <c r="J36" i="28"/>
  <c r="L98" i="28"/>
  <c r="T42" i="28"/>
  <c r="L39" i="28"/>
  <c r="L40" i="28" s="1"/>
  <c r="T17" i="28"/>
  <c r="L99" i="28"/>
  <c r="L9" i="28"/>
  <c r="L10" i="28" s="1"/>
  <c r="T72" i="28"/>
  <c r="T76" i="28" s="1"/>
  <c r="T78" i="28" s="1"/>
  <c r="T100" i="28"/>
  <c r="T71" i="28"/>
  <c r="T12" i="28"/>
  <c r="J6" i="28"/>
  <c r="T68" i="28"/>
  <c r="R59" i="28"/>
  <c r="J45" i="28"/>
  <c r="R6" i="28"/>
  <c r="T97" i="28"/>
  <c r="J88" i="28"/>
  <c r="J42" i="28"/>
  <c r="T43" i="28"/>
  <c r="T39" i="28"/>
  <c r="T40" i="28" s="1"/>
  <c r="U40" i="28" s="1"/>
  <c r="W40" i="28" s="1"/>
  <c r="L62" i="28"/>
  <c r="L63" i="28" s="1"/>
  <c r="T18" i="28"/>
  <c r="L100" i="28"/>
  <c r="L105" i="28" s="1"/>
  <c r="L107" i="28" s="1"/>
  <c r="L91" i="28"/>
  <c r="L92" i="28" s="1"/>
  <c r="T70" i="28"/>
  <c r="J44" i="28"/>
  <c r="R36" i="28"/>
  <c r="T19" i="28"/>
  <c r="T98" i="28"/>
  <c r="J59" i="28"/>
  <c r="T101" i="28"/>
  <c r="T105" i="28" s="1"/>
  <c r="T107" i="28" s="1"/>
  <c r="L97" i="28"/>
  <c r="J46" i="28"/>
  <c r="J50" i="28" s="1"/>
  <c r="J52" i="28" s="1"/>
  <c r="T6" i="28"/>
  <c r="T7" i="28" s="1"/>
  <c r="R19" i="28"/>
  <c r="R20" i="28" s="1"/>
  <c r="L46" i="28"/>
  <c r="L68" i="28"/>
  <c r="J91" i="28"/>
  <c r="U39" i="28"/>
  <c r="L47" i="28"/>
  <c r="L50" i="28" s="1"/>
  <c r="L52" i="28" s="1"/>
  <c r="L59" i="28"/>
  <c r="L60" i="28" s="1"/>
  <c r="R62" i="28"/>
  <c r="R97" i="28"/>
  <c r="R70" i="28"/>
  <c r="J100" i="28"/>
  <c r="J105" i="28" s="1"/>
  <c r="J107" i="28" s="1"/>
  <c r="O98" i="28" s="1"/>
  <c r="O99" i="28" s="1"/>
  <c r="O100" i="28" s="1"/>
  <c r="J9" i="28"/>
  <c r="T36" i="28"/>
  <c r="T37" i="28" s="1"/>
  <c r="L44" i="28"/>
  <c r="T62" i="28"/>
  <c r="T63" i="28" s="1"/>
  <c r="R68" i="28"/>
  <c r="J99" i="28"/>
  <c r="R105" i="28"/>
  <c r="R107" i="28" s="1"/>
  <c r="L88" i="28"/>
  <c r="L89" i="28" s="1"/>
  <c r="R17" i="28"/>
  <c r="J39" i="28"/>
  <c r="R42" i="28"/>
  <c r="R45" i="28" s="1"/>
  <c r="L45" i="28"/>
  <c r="T59" i="28"/>
  <c r="T60" i="28" s="1"/>
  <c r="T91" i="28"/>
  <c r="T92" i="28" s="1"/>
  <c r="J98" i="28"/>
  <c r="R12" i="28"/>
  <c r="T20" i="28"/>
  <c r="L42" i="28"/>
  <c r="R71" i="28"/>
  <c r="R91" i="28"/>
  <c r="W97" i="28"/>
  <c r="R100" i="28"/>
  <c r="L6" i="28"/>
  <c r="L7" i="28" s="1"/>
  <c r="L12" i="28" s="1"/>
  <c r="L14" i="28" s="1"/>
  <c r="L16" i="28" s="1"/>
  <c r="R9" i="28"/>
  <c r="R69" i="28"/>
  <c r="R99" i="28"/>
  <c r="R18" i="28"/>
  <c r="J62" i="28"/>
  <c r="R72" i="28"/>
  <c r="R76" i="28" s="1"/>
  <c r="R78" i="28" s="1"/>
  <c r="J97" i="28"/>
  <c r="G22" i="16"/>
  <c r="G22" i="17"/>
  <c r="G22" i="18"/>
  <c r="G22" i="13"/>
  <c r="G22" i="14"/>
  <c r="G22" i="15"/>
  <c r="G22" i="12"/>
  <c r="F3" i="19"/>
  <c r="F2" i="19"/>
  <c r="B54" i="22"/>
  <c r="B55" i="22" s="1"/>
  <c r="B57" i="22"/>
  <c r="F20" i="10"/>
  <c r="B3" i="79" l="1"/>
  <c r="B3" i="82"/>
  <c r="B3" i="55"/>
  <c r="B3" i="29"/>
  <c r="B5" i="82"/>
  <c r="B5" i="79"/>
  <c r="B5" i="55"/>
  <c r="B5" i="29"/>
  <c r="W37" i="35"/>
  <c r="D8" i="101"/>
  <c r="J15" i="127"/>
  <c r="D9" i="101"/>
  <c r="B28" i="68"/>
  <c r="D3" i="19"/>
  <c r="D8" i="119"/>
  <c r="J15" i="90"/>
  <c r="I15" i="39"/>
  <c r="I16" i="39" s="1"/>
  <c r="I15" i="33"/>
  <c r="I16" i="33" s="1"/>
  <c r="D9" i="119"/>
  <c r="B62" i="90"/>
  <c r="B63" i="90" s="1"/>
  <c r="B41" i="90"/>
  <c r="B64" i="90"/>
  <c r="B65" i="90" s="1"/>
  <c r="B3" i="20"/>
  <c r="D7" i="101"/>
  <c r="W69" i="28"/>
  <c r="W70" i="28" s="1"/>
  <c r="W71" i="28" s="1"/>
  <c r="W60" i="35"/>
  <c r="D10" i="119"/>
  <c r="D7" i="119"/>
  <c r="D2" i="19"/>
  <c r="T72" i="19" s="1"/>
  <c r="B5" i="20"/>
  <c r="B62" i="127"/>
  <c r="B63" i="127" s="1"/>
  <c r="B41" i="127"/>
  <c r="B64" i="127"/>
  <c r="D10" i="101"/>
  <c r="W63" i="35"/>
  <c r="O92" i="35"/>
  <c r="O89" i="35"/>
  <c r="W92" i="35"/>
  <c r="O40" i="35"/>
  <c r="W89" i="35"/>
  <c r="O37" i="35"/>
  <c r="M60" i="35"/>
  <c r="O60" i="35" s="1"/>
  <c r="J68" i="35"/>
  <c r="O66" i="35" s="1"/>
  <c r="O67" i="35" s="1"/>
  <c r="O68" i="35" s="1"/>
  <c r="J12" i="35"/>
  <c r="J14" i="35" s="1"/>
  <c r="J16" i="35" s="1"/>
  <c r="O13" i="35" s="1"/>
  <c r="O14" i="35" s="1"/>
  <c r="O15" i="35" s="1"/>
  <c r="M7" i="35"/>
  <c r="O7" i="35" s="1"/>
  <c r="O63" i="35"/>
  <c r="W7" i="35"/>
  <c r="J92" i="28"/>
  <c r="M92" i="28" s="1"/>
  <c r="M91" i="28"/>
  <c r="J37" i="28"/>
  <c r="M37" i="28" s="1"/>
  <c r="O37" i="28" s="1"/>
  <c r="M36" i="28"/>
  <c r="W98" i="28"/>
  <c r="W99" i="28" s="1"/>
  <c r="W100" i="28" s="1"/>
  <c r="J60" i="28"/>
  <c r="M59" i="28"/>
  <c r="R7" i="28"/>
  <c r="U7" i="28" s="1"/>
  <c r="U6" i="28"/>
  <c r="M39" i="28"/>
  <c r="J40" i="28"/>
  <c r="M40" i="28" s="1"/>
  <c r="O40" i="28" s="1"/>
  <c r="J63" i="28"/>
  <c r="M63" i="28" s="1"/>
  <c r="M62" i="28"/>
  <c r="U91" i="28"/>
  <c r="R92" i="28"/>
  <c r="U92" i="28" s="1"/>
  <c r="U62" i="28"/>
  <c r="R63" i="28"/>
  <c r="U63" i="28" s="1"/>
  <c r="U36" i="28"/>
  <c r="R37" i="28"/>
  <c r="U37" i="28" s="1"/>
  <c r="W37" i="28" s="1"/>
  <c r="M9" i="28"/>
  <c r="J10" i="28"/>
  <c r="M10" i="28" s="1"/>
  <c r="M88" i="28"/>
  <c r="J89" i="28"/>
  <c r="M89" i="28" s="1"/>
  <c r="R10" i="28"/>
  <c r="U10" i="28" s="1"/>
  <c r="U9" i="28"/>
  <c r="U59" i="28"/>
  <c r="R60" i="28"/>
  <c r="U60" i="28" s="1"/>
  <c r="W60" i="28" s="1"/>
  <c r="M6" i="28"/>
  <c r="J7" i="28"/>
  <c r="R89" i="28"/>
  <c r="U89" i="28" s="1"/>
  <c r="W89" i="28" s="1"/>
  <c r="U88" i="28"/>
  <c r="I8" i="20"/>
  <c r="J4" i="20"/>
  <c r="D2" i="20"/>
  <c r="D8" i="20" s="1"/>
  <c r="E2" i="20"/>
  <c r="J99" i="19"/>
  <c r="R98" i="19"/>
  <c r="O97" i="19"/>
  <c r="T87" i="19"/>
  <c r="R87" i="19"/>
  <c r="J82" i="19"/>
  <c r="L80" i="19"/>
  <c r="L82" i="19" s="1"/>
  <c r="J80" i="19"/>
  <c r="T69" i="19"/>
  <c r="R68" i="19"/>
  <c r="O65" i="19"/>
  <c r="L62" i="19"/>
  <c r="L63" i="19" s="1"/>
  <c r="T58" i="19"/>
  <c r="R58" i="19"/>
  <c r="W68" i="19" s="1"/>
  <c r="J46" i="19"/>
  <c r="J50" i="19" s="1"/>
  <c r="J52" i="19" s="1"/>
  <c r="L44" i="19"/>
  <c r="L43" i="19"/>
  <c r="J36" i="19"/>
  <c r="J37" i="19" s="1"/>
  <c r="T35" i="19"/>
  <c r="R35" i="19"/>
  <c r="T18" i="19"/>
  <c r="O12" i="19"/>
  <c r="J9" i="19"/>
  <c r="J10" i="19" s="1"/>
  <c r="T5" i="19"/>
  <c r="T9" i="19" s="1"/>
  <c r="T10" i="19" s="1"/>
  <c r="R5" i="19"/>
  <c r="R99" i="19"/>
  <c r="L98" i="19"/>
  <c r="B57" i="18"/>
  <c r="B54" i="18"/>
  <c r="B55" i="18" s="1"/>
  <c r="B34" i="18"/>
  <c r="B32" i="18" s="1"/>
  <c r="J14" i="18"/>
  <c r="J13" i="18"/>
  <c r="J12" i="18"/>
  <c r="J11" i="18"/>
  <c r="J10" i="18"/>
  <c r="J9" i="18"/>
  <c r="J8" i="18"/>
  <c r="J7" i="18"/>
  <c r="J6" i="18"/>
  <c r="J15" i="18" s="1"/>
  <c r="B57" i="17"/>
  <c r="B54" i="17"/>
  <c r="B55" i="17" s="1"/>
  <c r="B34" i="17"/>
  <c r="B33" i="17" s="1"/>
  <c r="J14" i="17"/>
  <c r="J13" i="17"/>
  <c r="J12" i="17"/>
  <c r="J11" i="17"/>
  <c r="J10" i="17"/>
  <c r="J9" i="17"/>
  <c r="J8" i="17"/>
  <c r="J7" i="17"/>
  <c r="J6" i="17"/>
  <c r="J15" i="17" s="1"/>
  <c r="B57" i="16"/>
  <c r="B34" i="16"/>
  <c r="B33" i="16" s="1"/>
  <c r="J15" i="16"/>
  <c r="J14" i="16"/>
  <c r="J13" i="16"/>
  <c r="J12" i="16"/>
  <c r="B54" i="16"/>
  <c r="B55" i="16" s="1"/>
  <c r="J11" i="16"/>
  <c r="J10" i="16"/>
  <c r="J9" i="16"/>
  <c r="J8" i="16"/>
  <c r="J7" i="16"/>
  <c r="J6" i="16"/>
  <c r="I18" i="39" l="1"/>
  <c r="I17" i="39"/>
  <c r="B56" i="39" s="1"/>
  <c r="J4" i="29"/>
  <c r="G5" i="29"/>
  <c r="C6" i="29"/>
  <c r="C8" i="29" s="1"/>
  <c r="D6" i="29"/>
  <c r="E6" i="29"/>
  <c r="I6" i="29"/>
  <c r="I6" i="55"/>
  <c r="D6" i="55"/>
  <c r="D8" i="55" s="1"/>
  <c r="C6" i="55"/>
  <c r="C8" i="55" s="1"/>
  <c r="G5" i="55"/>
  <c r="J4" i="55"/>
  <c r="E6" i="55"/>
  <c r="I6" i="79"/>
  <c r="E6" i="79"/>
  <c r="D6" i="79"/>
  <c r="D8" i="79" s="1"/>
  <c r="C6" i="79"/>
  <c r="C8" i="79" s="1"/>
  <c r="F8" i="79" s="1"/>
  <c r="M8" i="79" s="1"/>
  <c r="G5" i="79"/>
  <c r="J4" i="79"/>
  <c r="W63" i="28"/>
  <c r="O92" i="28"/>
  <c r="B47" i="90"/>
  <c r="B43" i="90"/>
  <c r="B44" i="90" s="1"/>
  <c r="J4" i="82"/>
  <c r="D6" i="82"/>
  <c r="D8" i="82" s="1"/>
  <c r="C6" i="82"/>
  <c r="C8" i="82" s="1"/>
  <c r="G5" i="82"/>
  <c r="I6" i="82"/>
  <c r="E6" i="82"/>
  <c r="D2" i="29"/>
  <c r="D8" i="29" s="1"/>
  <c r="G3" i="29"/>
  <c r="E2" i="29"/>
  <c r="I2" i="29"/>
  <c r="C2" i="29"/>
  <c r="H4" i="29"/>
  <c r="R6" i="19"/>
  <c r="J43" i="19"/>
  <c r="T91" i="19"/>
  <c r="T92" i="19" s="1"/>
  <c r="H4" i="55"/>
  <c r="I2" i="55"/>
  <c r="E2" i="55"/>
  <c r="D2" i="55"/>
  <c r="G3" i="55"/>
  <c r="C2" i="55"/>
  <c r="F8" i="55" s="1"/>
  <c r="M8" i="55" s="1"/>
  <c r="B65" i="127"/>
  <c r="D2" i="82"/>
  <c r="G3" i="82"/>
  <c r="I2" i="82"/>
  <c r="E2" i="82"/>
  <c r="H4" i="82"/>
  <c r="C2" i="82"/>
  <c r="O10" i="28"/>
  <c r="G15" i="110"/>
  <c r="G16" i="110" s="1"/>
  <c r="G15" i="32"/>
  <c r="G16" i="32" s="1"/>
  <c r="G15" i="27"/>
  <c r="G16" i="27" s="1"/>
  <c r="G15" i="30"/>
  <c r="G16" i="30" s="1"/>
  <c r="B43" i="127"/>
  <c r="B44" i="127" s="1"/>
  <c r="B46" i="127" s="1"/>
  <c r="B47" i="127"/>
  <c r="I18" i="33"/>
  <c r="I17" i="33"/>
  <c r="B56" i="33" s="1"/>
  <c r="B36" i="68"/>
  <c r="E2" i="79"/>
  <c r="G3" i="79"/>
  <c r="I2" i="79"/>
  <c r="D2" i="79"/>
  <c r="C2" i="79"/>
  <c r="H4" i="79"/>
  <c r="B33" i="18"/>
  <c r="W10" i="28"/>
  <c r="W7" i="28"/>
  <c r="O89" i="28"/>
  <c r="W92" i="28"/>
  <c r="M7" i="28"/>
  <c r="O7" i="28" s="1"/>
  <c r="J12" i="28"/>
  <c r="J14" i="28" s="1"/>
  <c r="J16" i="28" s="1"/>
  <c r="O13" i="28" s="1"/>
  <c r="O14" i="28" s="1"/>
  <c r="O15" i="28" s="1"/>
  <c r="O63" i="28"/>
  <c r="M60" i="28"/>
  <c r="O60" i="28" s="1"/>
  <c r="J68" i="28"/>
  <c r="O66" i="28" s="1"/>
  <c r="O67" i="28" s="1"/>
  <c r="O68" i="28" s="1"/>
  <c r="R70" i="19"/>
  <c r="L36" i="19"/>
  <c r="L37" i="19" s="1"/>
  <c r="M37" i="19" s="1"/>
  <c r="J100" i="19"/>
  <c r="J105" i="19" s="1"/>
  <c r="J107" i="19" s="1"/>
  <c r="O98" i="19" s="1"/>
  <c r="O99" i="19" s="1"/>
  <c r="O100" i="19" s="1"/>
  <c r="T88" i="19"/>
  <c r="T89" i="19" s="1"/>
  <c r="R18" i="19"/>
  <c r="R39" i="19"/>
  <c r="R40" i="19" s="1"/>
  <c r="T59" i="19"/>
  <c r="T60" i="19" s="1"/>
  <c r="J91" i="19"/>
  <c r="J92" i="19" s="1"/>
  <c r="L46" i="19"/>
  <c r="R9" i="19"/>
  <c r="R10" i="19" s="1"/>
  <c r="U10" i="19" s="1"/>
  <c r="T36" i="19"/>
  <c r="T37" i="19" s="1"/>
  <c r="R72" i="19"/>
  <c r="R76" i="19" s="1"/>
  <c r="R78" i="19" s="1"/>
  <c r="R101" i="19"/>
  <c r="R105" i="19" s="1"/>
  <c r="R107" i="19" s="1"/>
  <c r="J62" i="19"/>
  <c r="M62" i="19" s="1"/>
  <c r="T6" i="19"/>
  <c r="T7" i="19" s="1"/>
  <c r="R19" i="19"/>
  <c r="R20" i="19" s="1"/>
  <c r="J97" i="19"/>
  <c r="T99" i="19"/>
  <c r="T101" i="19"/>
  <c r="R7" i="19"/>
  <c r="L97" i="19"/>
  <c r="R88" i="19"/>
  <c r="R89" i="19" s="1"/>
  <c r="J6" i="20"/>
  <c r="J8" i="20" s="1"/>
  <c r="J2" i="20"/>
  <c r="D6" i="20"/>
  <c r="E6" i="20"/>
  <c r="G5" i="20"/>
  <c r="G3" i="20"/>
  <c r="I2" i="20"/>
  <c r="C2" i="20"/>
  <c r="H4" i="20"/>
  <c r="I6" i="20"/>
  <c r="C6" i="20"/>
  <c r="C8" i="20" s="1"/>
  <c r="U9" i="19"/>
  <c r="T20" i="19"/>
  <c r="T43" i="19"/>
  <c r="T45" i="19" s="1"/>
  <c r="T98" i="19"/>
  <c r="T19" i="19"/>
  <c r="R36" i="19"/>
  <c r="J44" i="19"/>
  <c r="L47" i="19"/>
  <c r="L50" i="19" s="1"/>
  <c r="L52" i="19" s="1"/>
  <c r="L59" i="19"/>
  <c r="L60" i="19" s="1"/>
  <c r="L68" i="19" s="1"/>
  <c r="R62" i="19"/>
  <c r="T70" i="19"/>
  <c r="T76" i="19"/>
  <c r="T78" i="19" s="1"/>
  <c r="L91" i="19"/>
  <c r="L92" i="19" s="1"/>
  <c r="R97" i="19"/>
  <c r="L100" i="19"/>
  <c r="L105" i="19" s="1"/>
  <c r="L107" i="19" s="1"/>
  <c r="M36" i="19"/>
  <c r="J59" i="19"/>
  <c r="T62" i="19"/>
  <c r="T63" i="19" s="1"/>
  <c r="T97" i="19"/>
  <c r="L9" i="19"/>
  <c r="L10" i="19" s="1"/>
  <c r="M10" i="19" s="1"/>
  <c r="R12" i="19"/>
  <c r="L42" i="19"/>
  <c r="J45" i="19"/>
  <c r="R59" i="19"/>
  <c r="T68" i="19"/>
  <c r="R71" i="19"/>
  <c r="L88" i="19"/>
  <c r="L89" i="19" s="1"/>
  <c r="R91" i="19"/>
  <c r="W97" i="19"/>
  <c r="L99" i="19"/>
  <c r="R100" i="19"/>
  <c r="T105" i="19"/>
  <c r="T107" i="19" s="1"/>
  <c r="T39" i="19"/>
  <c r="T40" i="19" s="1"/>
  <c r="J88" i="19"/>
  <c r="J6" i="19"/>
  <c r="T12" i="19"/>
  <c r="R17" i="19"/>
  <c r="J39" i="19"/>
  <c r="R42" i="19"/>
  <c r="R45" i="19" s="1"/>
  <c r="L45" i="19"/>
  <c r="T71" i="19"/>
  <c r="J98" i="19"/>
  <c r="T100" i="19"/>
  <c r="J42" i="19"/>
  <c r="L6" i="19"/>
  <c r="L7" i="19" s="1"/>
  <c r="L12" i="19" s="1"/>
  <c r="T17" i="19"/>
  <c r="L39" i="19"/>
  <c r="L40" i="19" s="1"/>
  <c r="T42" i="19"/>
  <c r="R69" i="19"/>
  <c r="B32" i="17"/>
  <c r="B32" i="16"/>
  <c r="H6" i="79" l="1"/>
  <c r="H2" i="79"/>
  <c r="H8" i="79" s="1"/>
  <c r="B58" i="33"/>
  <c r="B60" i="33"/>
  <c r="B34" i="56"/>
  <c r="B34" i="121"/>
  <c r="B49" i="90"/>
  <c r="B50" i="90" s="1"/>
  <c r="B51" i="90"/>
  <c r="J13" i="68"/>
  <c r="J10" i="68"/>
  <c r="J7" i="68"/>
  <c r="J11" i="68"/>
  <c r="B48" i="68"/>
  <c r="B39" i="68"/>
  <c r="B40" i="68" s="1"/>
  <c r="J6" i="68"/>
  <c r="J15" i="68" s="1"/>
  <c r="J12" i="68"/>
  <c r="J14" i="68"/>
  <c r="J9" i="68"/>
  <c r="L14" i="19"/>
  <c r="L16" i="19" s="1"/>
  <c r="B49" i="127"/>
  <c r="B50" i="127" s="1"/>
  <c r="B51" i="127"/>
  <c r="H2" i="82"/>
  <c r="H8" i="82" s="1"/>
  <c r="K8" i="82" s="1"/>
  <c r="H6" i="82"/>
  <c r="J6" i="55"/>
  <c r="J8" i="55" s="1"/>
  <c r="J2" i="55"/>
  <c r="B46" i="90"/>
  <c r="G15" i="23"/>
  <c r="G16" i="23" s="1"/>
  <c r="G15" i="22"/>
  <c r="G16" i="22" s="1"/>
  <c r="H2" i="29"/>
  <c r="H8" i="29" s="1"/>
  <c r="K8" i="29" s="1"/>
  <c r="H6" i="29"/>
  <c r="J6" i="79"/>
  <c r="J8" i="79" s="1"/>
  <c r="J2" i="79"/>
  <c r="G18" i="30"/>
  <c r="G17" i="30"/>
  <c r="B56" i="30" s="1"/>
  <c r="F8" i="29"/>
  <c r="M8" i="29" s="1"/>
  <c r="F8" i="82"/>
  <c r="M8" i="82" s="1"/>
  <c r="B34" i="83" s="1"/>
  <c r="J6" i="29"/>
  <c r="J8" i="29" s="1"/>
  <c r="J2" i="29"/>
  <c r="G17" i="27"/>
  <c r="B56" i="27" s="1"/>
  <c r="G18" i="27"/>
  <c r="H6" i="55"/>
  <c r="H2" i="55"/>
  <c r="H8" i="55" s="1"/>
  <c r="K8" i="55" s="1"/>
  <c r="B34" i="80"/>
  <c r="B34" i="103"/>
  <c r="B58" i="39"/>
  <c r="B60" i="39"/>
  <c r="G18" i="110"/>
  <c r="G17" i="110"/>
  <c r="B56" i="110" s="1"/>
  <c r="J8" i="68"/>
  <c r="G18" i="32"/>
  <c r="G17" i="32"/>
  <c r="B56" i="32" s="1"/>
  <c r="J6" i="82"/>
  <c r="J8" i="82" s="1"/>
  <c r="J2" i="82"/>
  <c r="F8" i="20"/>
  <c r="M8" i="20" s="1"/>
  <c r="M92" i="19"/>
  <c r="U40" i="19"/>
  <c r="U6" i="19"/>
  <c r="U7" i="19"/>
  <c r="J63" i="19"/>
  <c r="M63" i="19" s="1"/>
  <c r="O63" i="19" s="1"/>
  <c r="O37" i="19"/>
  <c r="U89" i="19"/>
  <c r="U88" i="19"/>
  <c r="W89" i="19" s="1"/>
  <c r="H2" i="20"/>
  <c r="H8" i="20" s="1"/>
  <c r="K8" i="20" s="1"/>
  <c r="H6" i="20"/>
  <c r="M88" i="19"/>
  <c r="J89" i="19"/>
  <c r="M89" i="19" s="1"/>
  <c r="M91" i="19"/>
  <c r="W10" i="19"/>
  <c r="W69" i="19"/>
  <c r="W70" i="19" s="1"/>
  <c r="W71" i="19" s="1"/>
  <c r="M59" i="19"/>
  <c r="J60" i="19"/>
  <c r="J40" i="19"/>
  <c r="M40" i="19" s="1"/>
  <c r="M39" i="19"/>
  <c r="U39" i="19"/>
  <c r="U91" i="19"/>
  <c r="R92" i="19"/>
  <c r="U92" i="19" s="1"/>
  <c r="U36" i="19"/>
  <c r="R37" i="19"/>
  <c r="U37" i="19" s="1"/>
  <c r="U59" i="19"/>
  <c r="R60" i="19"/>
  <c r="U60" i="19" s="1"/>
  <c r="U62" i="19"/>
  <c r="R63" i="19"/>
  <c r="U63" i="19" s="1"/>
  <c r="J7" i="19"/>
  <c r="M6" i="19"/>
  <c r="W98" i="19"/>
  <c r="W99" i="19" s="1"/>
  <c r="W100" i="19" s="1"/>
  <c r="M9" i="19"/>
  <c r="O10" i="19" s="1"/>
  <c r="B59" i="39" l="1"/>
  <c r="B8" i="39" s="1"/>
  <c r="D8" i="39" s="1"/>
  <c r="B7" i="39"/>
  <c r="D7" i="39" s="1"/>
  <c r="B10" i="39"/>
  <c r="D10" i="39" s="1"/>
  <c r="B9" i="39"/>
  <c r="D9" i="39" s="1"/>
  <c r="B32" i="83"/>
  <c r="B33" i="83"/>
  <c r="G18" i="22"/>
  <c r="G17" i="22"/>
  <c r="B56" i="22" s="1"/>
  <c r="B34" i="110"/>
  <c r="B34" i="32"/>
  <c r="B34" i="30"/>
  <c r="B34" i="27"/>
  <c r="G17" i="23"/>
  <c r="B56" i="23" s="1"/>
  <c r="G18" i="23"/>
  <c r="B62" i="68"/>
  <c r="B63" i="68" s="1"/>
  <c r="B64" i="68"/>
  <c r="B65" i="68" s="1"/>
  <c r="B41" i="68"/>
  <c r="B33" i="121"/>
  <c r="B32" i="121"/>
  <c r="B58" i="30"/>
  <c r="B60" i="30"/>
  <c r="B33" i="56"/>
  <c r="B32" i="56"/>
  <c r="B32" i="103"/>
  <c r="B33" i="103"/>
  <c r="B58" i="110"/>
  <c r="B60" i="110"/>
  <c r="B7" i="33"/>
  <c r="D7" i="33" s="1"/>
  <c r="B9" i="33"/>
  <c r="D9" i="33" s="1"/>
  <c r="B59" i="33"/>
  <c r="B8" i="33" s="1"/>
  <c r="D8" i="33" s="1"/>
  <c r="B10" i="33"/>
  <c r="D10" i="33" s="1"/>
  <c r="B58" i="32"/>
  <c r="B60" i="32"/>
  <c r="O92" i="19"/>
  <c r="B58" i="27"/>
  <c r="B60" i="27"/>
  <c r="K8" i="79"/>
  <c r="B32" i="80"/>
  <c r="B33" i="80"/>
  <c r="W40" i="19"/>
  <c r="W7" i="19"/>
  <c r="B34" i="23"/>
  <c r="B34" i="22"/>
  <c r="W63" i="19"/>
  <c r="O89" i="19"/>
  <c r="W92" i="19"/>
  <c r="M7" i="19"/>
  <c r="O7" i="19" s="1"/>
  <c r="J12" i="19"/>
  <c r="W60" i="19"/>
  <c r="O40" i="19"/>
  <c r="M60" i="19"/>
  <c r="O60" i="19" s="1"/>
  <c r="J68" i="19"/>
  <c r="O66" i="19" s="1"/>
  <c r="O67" i="19" s="1"/>
  <c r="O68" i="19" s="1"/>
  <c r="W37" i="19"/>
  <c r="B58" i="22" l="1"/>
  <c r="B60" i="22"/>
  <c r="B9" i="110"/>
  <c r="B10" i="110"/>
  <c r="B7" i="110"/>
  <c r="B59" i="110"/>
  <c r="B8" i="110" s="1"/>
  <c r="B7" i="32"/>
  <c r="B9" i="32"/>
  <c r="B10" i="32"/>
  <c r="B59" i="32"/>
  <c r="B8" i="32" s="1"/>
  <c r="B7" i="30"/>
  <c r="B9" i="30"/>
  <c r="B59" i="30"/>
  <c r="B8" i="30" s="1"/>
  <c r="B10" i="30"/>
  <c r="B58" i="23"/>
  <c r="B60" i="23"/>
  <c r="B32" i="27"/>
  <c r="B33" i="27"/>
  <c r="B32" i="30"/>
  <c r="B33" i="30"/>
  <c r="J14" i="19"/>
  <c r="J16" i="19" s="1"/>
  <c r="O13" i="19" s="1"/>
  <c r="O14" i="19" s="1"/>
  <c r="O15" i="19" s="1"/>
  <c r="B33" i="32"/>
  <c r="B32" i="32"/>
  <c r="B7" i="27"/>
  <c r="B9" i="27"/>
  <c r="B10" i="27"/>
  <c r="B59" i="27"/>
  <c r="B8" i="27" s="1"/>
  <c r="B47" i="68"/>
  <c r="B43" i="68"/>
  <c r="B44" i="68" s="1"/>
  <c r="B33" i="110"/>
  <c r="B32" i="110"/>
  <c r="B33" i="22"/>
  <c r="B32" i="22"/>
  <c r="B33" i="23"/>
  <c r="B32" i="23"/>
  <c r="B46" i="68" l="1"/>
  <c r="B59" i="23"/>
  <c r="B8" i="23" s="1"/>
  <c r="B7" i="23"/>
  <c r="B10" i="23"/>
  <c r="B9" i="23"/>
  <c r="B49" i="68"/>
  <c r="B50" i="68" s="1"/>
  <c r="B51" i="68"/>
  <c r="B10" i="22"/>
  <c r="B9" i="22"/>
  <c r="B7" i="22"/>
  <c r="B59" i="22"/>
  <c r="B8" i="22" s="1"/>
  <c r="B57" i="15" l="1"/>
  <c r="B54" i="15"/>
  <c r="B55" i="15" s="1"/>
  <c r="B34" i="15"/>
  <c r="B33" i="15" s="1"/>
  <c r="J14" i="15"/>
  <c r="J13" i="15"/>
  <c r="J12" i="15"/>
  <c r="J11" i="15"/>
  <c r="J10" i="15"/>
  <c r="J9" i="15"/>
  <c r="J8" i="15"/>
  <c r="J7" i="15"/>
  <c r="J6" i="15"/>
  <c r="J15" i="15" s="1"/>
  <c r="B57" i="14"/>
  <c r="B34" i="14"/>
  <c r="B33" i="14" s="1"/>
  <c r="J15" i="14"/>
  <c r="J14" i="14"/>
  <c r="J13" i="14"/>
  <c r="J12" i="14"/>
  <c r="B54" i="14"/>
  <c r="B55" i="14" s="1"/>
  <c r="J11" i="14"/>
  <c r="J10" i="14"/>
  <c r="J9" i="14"/>
  <c r="J8" i="14"/>
  <c r="J7" i="14"/>
  <c r="J6" i="14"/>
  <c r="B57" i="13"/>
  <c r="B34" i="13"/>
  <c r="B33" i="13" s="1"/>
  <c r="J14" i="13"/>
  <c r="J13" i="13"/>
  <c r="J12" i="13"/>
  <c r="B54" i="13"/>
  <c r="B55" i="13" s="1"/>
  <c r="J11" i="13"/>
  <c r="J10" i="13"/>
  <c r="J9" i="13"/>
  <c r="J8" i="13"/>
  <c r="J7" i="13"/>
  <c r="J6" i="13"/>
  <c r="J15" i="13" s="1"/>
  <c r="B34" i="12"/>
  <c r="B32" i="12" s="1"/>
  <c r="B33" i="12" l="1"/>
  <c r="B32" i="14"/>
  <c r="B32" i="15"/>
  <c r="B32" i="13"/>
  <c r="B3" i="4" l="1"/>
  <c r="B57" i="12"/>
  <c r="D2" i="3"/>
  <c r="D3" i="3"/>
  <c r="B54" i="12" l="1"/>
  <c r="B55" i="12" s="1"/>
  <c r="J14" i="12" l="1"/>
  <c r="J10" i="12"/>
  <c r="J9" i="12"/>
  <c r="J12" i="12"/>
  <c r="J8" i="12"/>
  <c r="J11" i="12"/>
  <c r="J13" i="12"/>
  <c r="J6" i="12"/>
  <c r="J15" i="12" s="1"/>
  <c r="J7" i="12"/>
  <c r="E8" i="4" l="1"/>
  <c r="I12" i="2" l="1"/>
  <c r="B31" i="2" l="1"/>
  <c r="O65" i="3" l="1"/>
  <c r="J59" i="3"/>
  <c r="C34" i="2" l="1"/>
  <c r="C35" i="2" l="1"/>
  <c r="D44" i="2"/>
  <c r="C47" i="2" l="1"/>
  <c r="C38" i="2"/>
  <c r="C39" i="2" s="1"/>
  <c r="D34" i="2"/>
  <c r="E4" i="9"/>
  <c r="C61" i="2" l="1"/>
  <c r="C62" i="2" s="1"/>
  <c r="C53" i="2"/>
  <c r="C54" i="2" s="1"/>
  <c r="D53" i="2"/>
  <c r="D54" i="2" s="1"/>
  <c r="O97" i="3"/>
  <c r="C63" i="2" l="1"/>
  <c r="C64" i="2" s="1"/>
  <c r="C40" i="2"/>
  <c r="F8" i="10"/>
  <c r="F11" i="10" s="1"/>
  <c r="F16" i="10" s="1"/>
  <c r="F18" i="10" s="1"/>
  <c r="G21" i="122" l="1"/>
  <c r="B15" i="122" s="1"/>
  <c r="G21" i="126"/>
  <c r="B15" i="126" s="1"/>
  <c r="G21" i="125"/>
  <c r="B15" i="125" s="1"/>
  <c r="G21" i="130"/>
  <c r="B15" i="130" s="1"/>
  <c r="G21" i="121"/>
  <c r="B15" i="121" s="1"/>
  <c r="G21" i="127"/>
  <c r="I21" i="119"/>
  <c r="B15" i="119" s="1"/>
  <c r="I21" i="118"/>
  <c r="B15" i="118" s="1"/>
  <c r="G21" i="107"/>
  <c r="B15" i="107" s="1"/>
  <c r="G21" i="113"/>
  <c r="B15" i="113" s="1"/>
  <c r="G21" i="110"/>
  <c r="B15" i="110" s="1"/>
  <c r="G21" i="114"/>
  <c r="B15" i="114" s="1"/>
  <c r="G21" i="104"/>
  <c r="B15" i="104" s="1"/>
  <c r="G21" i="103"/>
  <c r="B15" i="103" s="1"/>
  <c r="I21" i="101"/>
  <c r="B15" i="101" s="1"/>
  <c r="G21" i="90"/>
  <c r="G21" i="83"/>
  <c r="B15" i="83" s="1"/>
  <c r="G21" i="80"/>
  <c r="B15" i="80" s="1"/>
  <c r="G21" i="71"/>
  <c r="B13" i="71" s="1"/>
  <c r="B28" i="71" s="1"/>
  <c r="G21" i="53"/>
  <c r="B15" i="53" s="1"/>
  <c r="I21" i="59"/>
  <c r="B15" i="59" s="1"/>
  <c r="D15" i="59" s="1"/>
  <c r="G21" i="52"/>
  <c r="B15" i="52" s="1"/>
  <c r="G21" i="47"/>
  <c r="B15" i="47" s="1"/>
  <c r="G21" i="44"/>
  <c r="B15" i="44" s="1"/>
  <c r="G21" i="49"/>
  <c r="B15" i="49" s="1"/>
  <c r="G21" i="68"/>
  <c r="G21" i="56"/>
  <c r="B15" i="56" s="1"/>
  <c r="G21" i="62"/>
  <c r="B15" i="62" s="1"/>
  <c r="G21" i="43"/>
  <c r="B15" i="43" s="1"/>
  <c r="G21" i="48"/>
  <c r="B15" i="48" s="1"/>
  <c r="G21" i="40"/>
  <c r="B15" i="40" s="1"/>
  <c r="I21" i="39"/>
  <c r="B15" i="39" s="1"/>
  <c r="I21" i="33"/>
  <c r="B15" i="33" s="1"/>
  <c r="G21" i="30"/>
  <c r="B15" i="30" s="1"/>
  <c r="G21" i="27"/>
  <c r="B15" i="27" s="1"/>
  <c r="G21" i="23"/>
  <c r="B15" i="23" s="1"/>
  <c r="G21" i="32"/>
  <c r="B15" i="32" s="1"/>
  <c r="G21" i="22"/>
  <c r="B15" i="22" s="1"/>
  <c r="C42" i="2"/>
  <c r="C43" i="2" s="1"/>
  <c r="C45" i="2" s="1"/>
  <c r="C46" i="2"/>
  <c r="F22" i="10"/>
  <c r="F24" i="10" s="1"/>
  <c r="B15" i="2" s="1"/>
  <c r="D15" i="2" s="1"/>
  <c r="D15" i="118" l="1"/>
  <c r="D28" i="118" s="1"/>
  <c r="D36" i="118" s="1"/>
  <c r="B36" i="118"/>
  <c r="D15" i="101"/>
  <c r="B28" i="101"/>
  <c r="B36" i="101" s="1"/>
  <c r="D15" i="119"/>
  <c r="L13" i="119"/>
  <c r="B36" i="119"/>
  <c r="B28" i="103"/>
  <c r="B36" i="103" s="1"/>
  <c r="B28" i="104"/>
  <c r="B28" i="121"/>
  <c r="B28" i="114"/>
  <c r="B28" i="130"/>
  <c r="B28" i="110"/>
  <c r="B28" i="125"/>
  <c r="B36" i="125" s="1"/>
  <c r="B28" i="126"/>
  <c r="B28" i="107"/>
  <c r="B36" i="122"/>
  <c r="J13" i="122" s="1"/>
  <c r="B28" i="122"/>
  <c r="B28" i="32"/>
  <c r="B28" i="47"/>
  <c r="B28" i="23"/>
  <c r="B28" i="52"/>
  <c r="B28" i="43"/>
  <c r="B28" i="53"/>
  <c r="B36" i="53" s="1"/>
  <c r="D15" i="33"/>
  <c r="D28" i="33" s="1"/>
  <c r="D36" i="33" s="1"/>
  <c r="B36" i="33"/>
  <c r="L12" i="33" s="1"/>
  <c r="D15" i="39"/>
  <c r="D28" i="39" s="1"/>
  <c r="D36" i="39" s="1"/>
  <c r="B36" i="39"/>
  <c r="L12" i="39" s="1"/>
  <c r="B28" i="49"/>
  <c r="B28" i="80"/>
  <c r="B28" i="22"/>
  <c r="B28" i="40"/>
  <c r="B36" i="40" s="1"/>
  <c r="J13" i="40" s="1"/>
  <c r="B28" i="44"/>
  <c r="B28" i="48"/>
  <c r="B36" i="48" s="1"/>
  <c r="J13" i="48" s="1"/>
  <c r="B28" i="83"/>
  <c r="B28" i="27"/>
  <c r="B28" i="59"/>
  <c r="D28" i="59" s="1"/>
  <c r="D36" i="59" s="1"/>
  <c r="D39" i="59" s="1"/>
  <c r="B28" i="62"/>
  <c r="B28" i="30"/>
  <c r="B28" i="56"/>
  <c r="B36" i="71"/>
  <c r="J8" i="71" s="1"/>
  <c r="C48" i="2"/>
  <c r="C49" i="2" s="1"/>
  <c r="C50" i="2"/>
  <c r="H4" i="4"/>
  <c r="O12" i="3"/>
  <c r="T87" i="3"/>
  <c r="R87" i="3"/>
  <c r="T58" i="3"/>
  <c r="R58" i="3"/>
  <c r="T35" i="3"/>
  <c r="R35" i="3"/>
  <c r="T5" i="3"/>
  <c r="R5" i="3"/>
  <c r="J91" i="3"/>
  <c r="J42" i="3"/>
  <c r="J8" i="103" l="1"/>
  <c r="B48" i="103"/>
  <c r="B39" i="103"/>
  <c r="B40" i="103" s="1"/>
  <c r="J9" i="103"/>
  <c r="J14" i="103"/>
  <c r="J6" i="103"/>
  <c r="J15" i="103" s="1"/>
  <c r="J12" i="103"/>
  <c r="J11" i="103"/>
  <c r="J10" i="103"/>
  <c r="J7" i="103"/>
  <c r="J13" i="103"/>
  <c r="B39" i="101"/>
  <c r="B40" i="101" s="1"/>
  <c r="B62" i="101" s="1"/>
  <c r="B48" i="101"/>
  <c r="D36" i="101"/>
  <c r="D39" i="101" s="1"/>
  <c r="D40" i="101" s="1"/>
  <c r="D62" i="101" s="1"/>
  <c r="L11" i="101"/>
  <c r="L10" i="101"/>
  <c r="L7" i="101"/>
  <c r="L6" i="101"/>
  <c r="L14" i="101"/>
  <c r="L9" i="101"/>
  <c r="L12" i="101"/>
  <c r="L13" i="101"/>
  <c r="B39" i="125"/>
  <c r="B40" i="125" s="1"/>
  <c r="J11" i="125"/>
  <c r="B48" i="125"/>
  <c r="J10" i="125"/>
  <c r="J7" i="125"/>
  <c r="J9" i="125"/>
  <c r="J14" i="125"/>
  <c r="J12" i="125"/>
  <c r="J6" i="125"/>
  <c r="J15" i="125" s="1"/>
  <c r="J13" i="125"/>
  <c r="B36" i="110"/>
  <c r="J8" i="110"/>
  <c r="B36" i="107"/>
  <c r="J8" i="107"/>
  <c r="B36" i="104"/>
  <c r="J8" i="104"/>
  <c r="D28" i="101"/>
  <c r="L8" i="101"/>
  <c r="B36" i="130"/>
  <c r="J8" i="130"/>
  <c r="B36" i="126"/>
  <c r="J8" i="126"/>
  <c r="B36" i="114"/>
  <c r="J8" i="114"/>
  <c r="L13" i="118"/>
  <c r="B39" i="118"/>
  <c r="B40" i="118" s="1"/>
  <c r="L7" i="118"/>
  <c r="L11" i="118"/>
  <c r="L9" i="118"/>
  <c r="L6" i="118"/>
  <c r="B48" i="118"/>
  <c r="L8" i="118"/>
  <c r="L10" i="118"/>
  <c r="L14" i="118"/>
  <c r="D36" i="119"/>
  <c r="D28" i="119"/>
  <c r="B48" i="119"/>
  <c r="B39" i="119"/>
  <c r="B40" i="119" s="1"/>
  <c r="L8" i="119"/>
  <c r="L11" i="119"/>
  <c r="L7" i="119"/>
  <c r="L10" i="119"/>
  <c r="L12" i="119"/>
  <c r="L6" i="119"/>
  <c r="L14" i="119"/>
  <c r="L9" i="119"/>
  <c r="L12" i="118"/>
  <c r="J8" i="122"/>
  <c r="B39" i="122"/>
  <c r="B40" i="122" s="1"/>
  <c r="J7" i="122"/>
  <c r="B48" i="122"/>
  <c r="J11" i="122"/>
  <c r="J10" i="122"/>
  <c r="J12" i="122"/>
  <c r="J9" i="122"/>
  <c r="J6" i="122"/>
  <c r="J14" i="122"/>
  <c r="J8" i="125"/>
  <c r="B36" i="121"/>
  <c r="J8" i="121"/>
  <c r="D48" i="118"/>
  <c r="D39" i="118"/>
  <c r="D40" i="118" s="1"/>
  <c r="D63" i="59"/>
  <c r="J8" i="53"/>
  <c r="B39" i="53"/>
  <c r="B40" i="53" s="1"/>
  <c r="B62" i="53" s="1"/>
  <c r="J6" i="53"/>
  <c r="B48" i="53"/>
  <c r="J10" i="53"/>
  <c r="J11" i="53"/>
  <c r="J7" i="53"/>
  <c r="J9" i="53"/>
  <c r="J14" i="53"/>
  <c r="J12" i="53"/>
  <c r="J13" i="53"/>
  <c r="B36" i="27"/>
  <c r="J8" i="27" s="1"/>
  <c r="J13" i="71"/>
  <c r="B39" i="71"/>
  <c r="B48" i="71"/>
  <c r="J10" i="71"/>
  <c r="J12" i="71"/>
  <c r="J11" i="71"/>
  <c r="J6" i="71"/>
  <c r="J7" i="71"/>
  <c r="J9" i="71"/>
  <c r="J14" i="71"/>
  <c r="B36" i="56"/>
  <c r="J8" i="56" s="1"/>
  <c r="B36" i="49"/>
  <c r="J8" i="49" s="1"/>
  <c r="D39" i="33"/>
  <c r="D48" i="33"/>
  <c r="B36" i="59"/>
  <c r="L8" i="59" s="1"/>
  <c r="J7" i="48"/>
  <c r="J6" i="48"/>
  <c r="B39" i="48"/>
  <c r="B40" i="48" s="1"/>
  <c r="B62" i="48" s="1"/>
  <c r="J10" i="48"/>
  <c r="B48" i="48"/>
  <c r="J11" i="48"/>
  <c r="J14" i="48"/>
  <c r="J9" i="48"/>
  <c r="J12" i="48"/>
  <c r="J8" i="40"/>
  <c r="B48" i="40"/>
  <c r="J11" i="40"/>
  <c r="J6" i="40"/>
  <c r="J9" i="40"/>
  <c r="J7" i="40"/>
  <c r="J12" i="40"/>
  <c r="J14" i="40"/>
  <c r="J10" i="40"/>
  <c r="B39" i="40"/>
  <c r="B40" i="40" s="1"/>
  <c r="B62" i="40" s="1"/>
  <c r="B36" i="52"/>
  <c r="J8" i="52" s="1"/>
  <c r="B36" i="30"/>
  <c r="J8" i="30" s="1"/>
  <c r="J8" i="48"/>
  <c r="L13" i="39"/>
  <c r="L11" i="39"/>
  <c r="L8" i="39"/>
  <c r="L14" i="39"/>
  <c r="L10" i="39"/>
  <c r="B48" i="39"/>
  <c r="B39" i="39"/>
  <c r="B40" i="39" s="1"/>
  <c r="L6" i="39"/>
  <c r="L9" i="39"/>
  <c r="L7" i="39"/>
  <c r="D39" i="39"/>
  <c r="D40" i="39" s="1"/>
  <c r="D48" i="39"/>
  <c r="B36" i="23"/>
  <c r="J8" i="23" s="1"/>
  <c r="B36" i="47"/>
  <c r="J8" i="47" s="1"/>
  <c r="B36" i="22"/>
  <c r="J8" i="22" s="1"/>
  <c r="B36" i="80"/>
  <c r="B36" i="62"/>
  <c r="J8" i="62" s="1"/>
  <c r="B36" i="83"/>
  <c r="J8" i="83" s="1"/>
  <c r="B36" i="44"/>
  <c r="J8" i="44" s="1"/>
  <c r="L8" i="33"/>
  <c r="L9" i="33"/>
  <c r="B39" i="33"/>
  <c r="L13" i="33"/>
  <c r="L11" i="33"/>
  <c r="L7" i="33"/>
  <c r="B48" i="33"/>
  <c r="L6" i="33"/>
  <c r="L14" i="33"/>
  <c r="L10" i="33"/>
  <c r="B36" i="43"/>
  <c r="J8" i="43" s="1"/>
  <c r="B36" i="32"/>
  <c r="J8" i="32" s="1"/>
  <c r="J6" i="3"/>
  <c r="C2" i="4"/>
  <c r="C8" i="4" s="1"/>
  <c r="L44" i="3"/>
  <c r="T101" i="3"/>
  <c r="T105" i="3" s="1"/>
  <c r="T107" i="3" s="1"/>
  <c r="J88" i="3"/>
  <c r="R98" i="3"/>
  <c r="J97" i="3"/>
  <c r="J98" i="3"/>
  <c r="R9" i="3"/>
  <c r="R10" i="3" s="1"/>
  <c r="T62" i="3"/>
  <c r="T63" i="3" s="1"/>
  <c r="R88" i="3"/>
  <c r="T9" i="3"/>
  <c r="T10" i="3" s="1"/>
  <c r="B53" i="2"/>
  <c r="B54" i="2" s="1"/>
  <c r="L6" i="3"/>
  <c r="L7" i="3" s="1"/>
  <c r="L12" i="3" s="1"/>
  <c r="L14" i="3" s="1"/>
  <c r="L47" i="3"/>
  <c r="L50" i="3" s="1"/>
  <c r="L52" i="3" s="1"/>
  <c r="L100" i="3"/>
  <c r="L105" i="3" s="1"/>
  <c r="J100" i="3"/>
  <c r="J105" i="3" s="1"/>
  <c r="R72" i="3"/>
  <c r="R76" i="3" s="1"/>
  <c r="R78" i="3" s="1"/>
  <c r="J44" i="3"/>
  <c r="J80" i="3"/>
  <c r="J82" i="3" s="1"/>
  <c r="R39" i="3"/>
  <c r="R40" i="3" s="1"/>
  <c r="T59" i="3"/>
  <c r="T60" i="3" s="1"/>
  <c r="T88" i="3"/>
  <c r="T89" i="3" s="1"/>
  <c r="J92" i="3"/>
  <c r="R62" i="3"/>
  <c r="R63" i="3" s="1"/>
  <c r="T36" i="3"/>
  <c r="T37" i="3" s="1"/>
  <c r="L59" i="3"/>
  <c r="L60" i="3" s="1"/>
  <c r="L68" i="3" s="1"/>
  <c r="T6" i="3"/>
  <c r="T7" i="3" s="1"/>
  <c r="R97" i="3"/>
  <c r="T17" i="3"/>
  <c r="L91" i="3"/>
  <c r="L92" i="3" s="1"/>
  <c r="R6" i="3"/>
  <c r="R7" i="3" s="1"/>
  <c r="L80" i="3"/>
  <c r="L82" i="3" s="1"/>
  <c r="T39" i="3"/>
  <c r="T40" i="3" s="1"/>
  <c r="T70" i="3"/>
  <c r="R36" i="3"/>
  <c r="R37" i="3" s="1"/>
  <c r="T98" i="3"/>
  <c r="L42" i="3"/>
  <c r="J45" i="3"/>
  <c r="R59" i="3"/>
  <c r="R69" i="3"/>
  <c r="T72" i="3"/>
  <c r="T76" i="3" s="1"/>
  <c r="T78" i="3" s="1"/>
  <c r="T97" i="3"/>
  <c r="J99" i="3"/>
  <c r="R18" i="3"/>
  <c r="J39" i="3"/>
  <c r="R42" i="3"/>
  <c r="R45" i="3" s="1"/>
  <c r="L45" i="3"/>
  <c r="T69" i="3"/>
  <c r="L88" i="3"/>
  <c r="L89" i="3" s="1"/>
  <c r="R91" i="3"/>
  <c r="W97" i="3"/>
  <c r="L99" i="3"/>
  <c r="R100" i="3"/>
  <c r="T18" i="3"/>
  <c r="L39" i="3"/>
  <c r="L40" i="3" s="1"/>
  <c r="T42" i="3"/>
  <c r="R71" i="3"/>
  <c r="T91" i="3"/>
  <c r="T92" i="3" s="1"/>
  <c r="T100" i="3"/>
  <c r="J9" i="3"/>
  <c r="R12" i="3"/>
  <c r="R19" i="3"/>
  <c r="R20" i="3" s="1"/>
  <c r="J36" i="3"/>
  <c r="J43" i="3"/>
  <c r="J62" i="3"/>
  <c r="R68" i="3"/>
  <c r="T71" i="3"/>
  <c r="L98" i="3"/>
  <c r="R99" i="3"/>
  <c r="L9" i="3"/>
  <c r="L10" i="3" s="1"/>
  <c r="T12" i="3"/>
  <c r="T19" i="3"/>
  <c r="T20" i="3" s="1"/>
  <c r="L36" i="3"/>
  <c r="L37" i="3" s="1"/>
  <c r="L43" i="3"/>
  <c r="J46" i="3"/>
  <c r="J50" i="3" s="1"/>
  <c r="J52" i="3" s="1"/>
  <c r="L62" i="3"/>
  <c r="L63" i="3" s="1"/>
  <c r="T68" i="3"/>
  <c r="T99" i="3"/>
  <c r="R101" i="3"/>
  <c r="R105" i="3" s="1"/>
  <c r="R107" i="3" s="1"/>
  <c r="R17" i="3"/>
  <c r="T43" i="3"/>
  <c r="T45" i="3" s="1"/>
  <c r="L46" i="3"/>
  <c r="W68" i="3"/>
  <c r="R70" i="3"/>
  <c r="L97" i="3"/>
  <c r="B41" i="125" l="1"/>
  <c r="B64" i="125"/>
  <c r="B62" i="125"/>
  <c r="B63" i="125" s="1"/>
  <c r="D62" i="118"/>
  <c r="D63" i="118" s="1"/>
  <c r="D64" i="118"/>
  <c r="D65" i="118" s="1"/>
  <c r="D41" i="118"/>
  <c r="D63" i="101"/>
  <c r="B62" i="119"/>
  <c r="B63" i="119" s="1"/>
  <c r="B41" i="119"/>
  <c r="B64" i="119"/>
  <c r="B65" i="119" s="1"/>
  <c r="J10" i="114"/>
  <c r="B39" i="114"/>
  <c r="B48" i="114"/>
  <c r="J14" i="114"/>
  <c r="J11" i="114"/>
  <c r="J12" i="114"/>
  <c r="J9" i="114"/>
  <c r="J6" i="114"/>
  <c r="J15" i="114" s="1"/>
  <c r="J7" i="114"/>
  <c r="J13" i="114"/>
  <c r="J11" i="104"/>
  <c r="J7" i="104"/>
  <c r="J10" i="104"/>
  <c r="J9" i="104"/>
  <c r="J14" i="104"/>
  <c r="J6" i="104"/>
  <c r="B39" i="104"/>
  <c r="B40" i="104" s="1"/>
  <c r="J12" i="104"/>
  <c r="B48" i="104"/>
  <c r="J13" i="104"/>
  <c r="D48" i="101"/>
  <c r="L15" i="119"/>
  <c r="D48" i="119"/>
  <c r="L15" i="118"/>
  <c r="B63" i="101"/>
  <c r="J12" i="121"/>
  <c r="B39" i="121"/>
  <c r="B40" i="121" s="1"/>
  <c r="B48" i="121"/>
  <c r="J9" i="121"/>
  <c r="J14" i="121"/>
  <c r="J6" i="121"/>
  <c r="J11" i="121"/>
  <c r="J7" i="121"/>
  <c r="J10" i="121"/>
  <c r="J13" i="121"/>
  <c r="J7" i="126"/>
  <c r="B39" i="126"/>
  <c r="B40" i="126" s="1"/>
  <c r="B48" i="126"/>
  <c r="J10" i="126"/>
  <c r="J11" i="126"/>
  <c r="J14" i="126"/>
  <c r="J12" i="126"/>
  <c r="J9" i="126"/>
  <c r="J6" i="126"/>
  <c r="J13" i="126"/>
  <c r="B48" i="107"/>
  <c r="B39" i="107"/>
  <c r="B40" i="107" s="1"/>
  <c r="J14" i="107"/>
  <c r="J9" i="107"/>
  <c r="J12" i="107"/>
  <c r="J6" i="107"/>
  <c r="J11" i="107"/>
  <c r="J10" i="107"/>
  <c r="J7" i="107"/>
  <c r="J13" i="107"/>
  <c r="D39" i="119"/>
  <c r="D40" i="119" s="1"/>
  <c r="L15" i="101"/>
  <c r="B62" i="103"/>
  <c r="B63" i="103" s="1"/>
  <c r="B41" i="103"/>
  <c r="B64" i="103"/>
  <c r="B64" i="122"/>
  <c r="B41" i="122"/>
  <c r="B62" i="122"/>
  <c r="B63" i="122" s="1"/>
  <c r="B39" i="130"/>
  <c r="B40" i="130" s="1"/>
  <c r="B48" i="130"/>
  <c r="J6" i="130"/>
  <c r="J9" i="130"/>
  <c r="J12" i="130"/>
  <c r="J14" i="130"/>
  <c r="J11" i="130"/>
  <c r="J7" i="130"/>
  <c r="J10" i="130"/>
  <c r="J13" i="130"/>
  <c r="B39" i="110"/>
  <c r="B40" i="110" s="1"/>
  <c r="B48" i="110"/>
  <c r="J11" i="110"/>
  <c r="J14" i="110"/>
  <c r="J10" i="110"/>
  <c r="J6" i="110"/>
  <c r="J7" i="110"/>
  <c r="J9" i="110"/>
  <c r="J12" i="110"/>
  <c r="J13" i="110"/>
  <c r="J15" i="122"/>
  <c r="B62" i="118"/>
  <c r="B63" i="118" s="1"/>
  <c r="B41" i="118"/>
  <c r="B64" i="118"/>
  <c r="D41" i="59"/>
  <c r="D43" i="59" s="1"/>
  <c r="D44" i="59" s="1"/>
  <c r="D64" i="59"/>
  <c r="D65" i="59" s="1"/>
  <c r="L15" i="33"/>
  <c r="J15" i="71"/>
  <c r="J6" i="47"/>
  <c r="J10" i="47"/>
  <c r="J12" i="47"/>
  <c r="J7" i="47"/>
  <c r="J9" i="47"/>
  <c r="B48" i="47"/>
  <c r="J11" i="47"/>
  <c r="J14" i="47"/>
  <c r="B39" i="47"/>
  <c r="B40" i="47" s="1"/>
  <c r="B62" i="47" s="1"/>
  <c r="J13" i="47"/>
  <c r="J10" i="52"/>
  <c r="B39" i="52"/>
  <c r="B40" i="52" s="1"/>
  <c r="B62" i="52" s="1"/>
  <c r="J7" i="52"/>
  <c r="B48" i="52"/>
  <c r="J9" i="52"/>
  <c r="J6" i="52"/>
  <c r="J14" i="52"/>
  <c r="J11" i="52"/>
  <c r="J12" i="52"/>
  <c r="J13" i="52"/>
  <c r="B48" i="27"/>
  <c r="J11" i="27"/>
  <c r="J12" i="27"/>
  <c r="J7" i="27"/>
  <c r="B39" i="27"/>
  <c r="B40" i="27" s="1"/>
  <c r="B62" i="27" s="1"/>
  <c r="J9" i="27"/>
  <c r="J10" i="27"/>
  <c r="J14" i="27"/>
  <c r="J6" i="27"/>
  <c r="J13" i="27"/>
  <c r="B62" i="71"/>
  <c r="B63" i="71" s="1"/>
  <c r="B40" i="71"/>
  <c r="B48" i="59"/>
  <c r="D48" i="59" s="1"/>
  <c r="L9" i="59"/>
  <c r="L7" i="59"/>
  <c r="L11" i="59"/>
  <c r="L14" i="59"/>
  <c r="L6" i="59"/>
  <c r="B39" i="59"/>
  <c r="L12" i="59"/>
  <c r="L10" i="59"/>
  <c r="L13" i="59"/>
  <c r="J7" i="22"/>
  <c r="J11" i="22"/>
  <c r="J10" i="22"/>
  <c r="J9" i="22"/>
  <c r="B48" i="22"/>
  <c r="J12" i="22"/>
  <c r="J6" i="22"/>
  <c r="J14" i="22"/>
  <c r="B39" i="22"/>
  <c r="B40" i="22" s="1"/>
  <c r="B62" i="22" s="1"/>
  <c r="J13" i="22"/>
  <c r="J6" i="30"/>
  <c r="B39" i="30"/>
  <c r="B40" i="30" s="1"/>
  <c r="B62" i="30" s="1"/>
  <c r="J12" i="30"/>
  <c r="B48" i="30"/>
  <c r="J10" i="30"/>
  <c r="J7" i="30"/>
  <c r="J14" i="30"/>
  <c r="J9" i="30"/>
  <c r="J11" i="30"/>
  <c r="J13" i="30"/>
  <c r="J10" i="23"/>
  <c r="J7" i="23"/>
  <c r="J12" i="23"/>
  <c r="J9" i="23"/>
  <c r="J11" i="23"/>
  <c r="J14" i="23"/>
  <c r="B39" i="23"/>
  <c r="B40" i="23" s="1"/>
  <c r="B48" i="23"/>
  <c r="J6" i="23"/>
  <c r="J13" i="23"/>
  <c r="B48" i="32"/>
  <c r="J7" i="32"/>
  <c r="J14" i="32"/>
  <c r="J10" i="32"/>
  <c r="J6" i="32"/>
  <c r="B39" i="32"/>
  <c r="B40" i="32" s="1"/>
  <c r="B62" i="32" s="1"/>
  <c r="J9" i="32"/>
  <c r="J11" i="32"/>
  <c r="J12" i="32"/>
  <c r="J13" i="32"/>
  <c r="D63" i="39"/>
  <c r="B63" i="48"/>
  <c r="J15" i="53"/>
  <c r="J15" i="48"/>
  <c r="B63" i="53"/>
  <c r="J14" i="80"/>
  <c r="J9" i="80"/>
  <c r="B39" i="80"/>
  <c r="B40" i="80" s="1"/>
  <c r="B62" i="80" s="1"/>
  <c r="J6" i="80"/>
  <c r="J7" i="80"/>
  <c r="B48" i="80"/>
  <c r="J12" i="80"/>
  <c r="J10" i="80"/>
  <c r="J11" i="80"/>
  <c r="J13" i="80"/>
  <c r="B63" i="39"/>
  <c r="J10" i="44"/>
  <c r="J7" i="44"/>
  <c r="B39" i="44"/>
  <c r="B40" i="44" s="1"/>
  <c r="B62" i="44" s="1"/>
  <c r="J6" i="44"/>
  <c r="B48" i="44"/>
  <c r="J12" i="44"/>
  <c r="J11" i="44"/>
  <c r="J14" i="44"/>
  <c r="J9" i="44"/>
  <c r="J13" i="44"/>
  <c r="J15" i="40"/>
  <c r="D40" i="33"/>
  <c r="D62" i="33"/>
  <c r="D63" i="33" s="1"/>
  <c r="B39" i="83"/>
  <c r="J11" i="83"/>
  <c r="J12" i="83"/>
  <c r="J10" i="83"/>
  <c r="J7" i="83"/>
  <c r="J14" i="83"/>
  <c r="J6" i="83"/>
  <c r="J9" i="83"/>
  <c r="B48" i="83"/>
  <c r="J13" i="83"/>
  <c r="B63" i="40"/>
  <c r="J10" i="49"/>
  <c r="J7" i="49"/>
  <c r="J14" i="49"/>
  <c r="J12" i="49"/>
  <c r="B48" i="49"/>
  <c r="J9" i="49"/>
  <c r="J11" i="49"/>
  <c r="J6" i="49"/>
  <c r="B39" i="49"/>
  <c r="B40" i="49" s="1"/>
  <c r="B62" i="49" s="1"/>
  <c r="J13" i="49"/>
  <c r="B48" i="43"/>
  <c r="J14" i="43"/>
  <c r="B39" i="43"/>
  <c r="B40" i="43" s="1"/>
  <c r="B62" i="43" s="1"/>
  <c r="J11" i="43"/>
  <c r="J12" i="43"/>
  <c r="J9" i="43"/>
  <c r="J7" i="43"/>
  <c r="J10" i="43"/>
  <c r="J6" i="43"/>
  <c r="J13" i="43"/>
  <c r="B40" i="33"/>
  <c r="B62" i="33"/>
  <c r="B63" i="33" s="1"/>
  <c r="B39" i="62"/>
  <c r="J9" i="62"/>
  <c r="J14" i="62"/>
  <c r="J10" i="62"/>
  <c r="J11" i="62"/>
  <c r="J7" i="62"/>
  <c r="J6" i="62"/>
  <c r="J12" i="62"/>
  <c r="B48" i="62"/>
  <c r="J13" i="62"/>
  <c r="J8" i="80"/>
  <c r="L15" i="39"/>
  <c r="J11" i="56"/>
  <c r="J12" i="56"/>
  <c r="J14" i="56"/>
  <c r="J6" i="56"/>
  <c r="B39" i="56"/>
  <c r="B40" i="56" s="1"/>
  <c r="B62" i="56" s="1"/>
  <c r="J9" i="56"/>
  <c r="B48" i="56"/>
  <c r="J10" i="56"/>
  <c r="J7" i="56"/>
  <c r="J13" i="56"/>
  <c r="U88" i="3"/>
  <c r="R89" i="3"/>
  <c r="U63" i="3"/>
  <c r="L16" i="3"/>
  <c r="U39" i="3"/>
  <c r="U62" i="3"/>
  <c r="J107" i="3"/>
  <c r="U10" i="3"/>
  <c r="L107" i="3"/>
  <c r="U9" i="3"/>
  <c r="U40" i="3"/>
  <c r="U89" i="3"/>
  <c r="M92" i="3"/>
  <c r="M91" i="3"/>
  <c r="U36" i="3"/>
  <c r="U37" i="3"/>
  <c r="W69" i="3"/>
  <c r="W70" i="3" s="1"/>
  <c r="W71" i="3" s="1"/>
  <c r="U6" i="3"/>
  <c r="U7" i="3"/>
  <c r="W98" i="3"/>
  <c r="W99" i="3" s="1"/>
  <c r="W100" i="3" s="1"/>
  <c r="M9" i="3"/>
  <c r="J10" i="3"/>
  <c r="M10" i="3" s="1"/>
  <c r="U91" i="3"/>
  <c r="R92" i="3"/>
  <c r="U92" i="3" s="1"/>
  <c r="M39" i="3"/>
  <c r="J40" i="3"/>
  <c r="M40" i="3" s="1"/>
  <c r="J60" i="3"/>
  <c r="M59" i="3"/>
  <c r="M62" i="3"/>
  <c r="J63" i="3"/>
  <c r="M63" i="3" s="1"/>
  <c r="J89" i="3"/>
  <c r="M89" i="3" s="1"/>
  <c r="M88" i="3"/>
  <c r="J7" i="3"/>
  <c r="M6" i="3"/>
  <c r="U59" i="3"/>
  <c r="R60" i="3"/>
  <c r="U60" i="3" s="1"/>
  <c r="M36" i="3"/>
  <c r="J37" i="3"/>
  <c r="M37" i="3" s="1"/>
  <c r="B65" i="118" l="1"/>
  <c r="B62" i="110"/>
  <c r="B63" i="110" s="1"/>
  <c r="B64" i="110"/>
  <c r="B65" i="110" s="1"/>
  <c r="B41" i="110"/>
  <c r="J15" i="130"/>
  <c r="J15" i="107"/>
  <c r="J15" i="126"/>
  <c r="B40" i="114"/>
  <c r="B62" i="114"/>
  <c r="B63" i="114" s="1"/>
  <c r="D41" i="101"/>
  <c r="D43" i="101" s="1"/>
  <c r="D44" i="101" s="1"/>
  <c r="D64" i="101"/>
  <c r="D65" i="101" s="1"/>
  <c r="B43" i="118"/>
  <c r="B44" i="118" s="1"/>
  <c r="B46" i="118" s="1"/>
  <c r="B47" i="118"/>
  <c r="B62" i="104"/>
  <c r="B63" i="104" s="1"/>
  <c r="B41" i="104"/>
  <c r="B64" i="104"/>
  <c r="B65" i="104" s="1"/>
  <c r="D43" i="118"/>
  <c r="D44" i="118" s="1"/>
  <c r="D47" i="118"/>
  <c r="B43" i="103"/>
  <c r="B44" i="103" s="1"/>
  <c r="B47" i="103"/>
  <c r="J15" i="110"/>
  <c r="B41" i="130"/>
  <c r="B64" i="130"/>
  <c r="B62" i="130"/>
  <c r="B63" i="130" s="1"/>
  <c r="J15" i="104"/>
  <c r="D62" i="119"/>
  <c r="D63" i="119" s="1"/>
  <c r="D41" i="119"/>
  <c r="D43" i="119" s="1"/>
  <c r="D44" i="119" s="1"/>
  <c r="D64" i="119"/>
  <c r="B62" i="121"/>
  <c r="B63" i="121" s="1"/>
  <c r="B64" i="121"/>
  <c r="B65" i="121" s="1"/>
  <c r="B41" i="121"/>
  <c r="B43" i="122"/>
  <c r="B44" i="122" s="1"/>
  <c r="B46" i="122" s="1"/>
  <c r="B47" i="122"/>
  <c r="B47" i="119"/>
  <c r="B43" i="119"/>
  <c r="B44" i="119" s="1"/>
  <c r="B46" i="119" s="1"/>
  <c r="D46" i="119" s="1"/>
  <c r="B65" i="122"/>
  <c r="B62" i="107"/>
  <c r="B63" i="107" s="1"/>
  <c r="B64" i="107"/>
  <c r="B65" i="107" s="1"/>
  <c r="B41" i="107"/>
  <c r="B65" i="125"/>
  <c r="B41" i="126"/>
  <c r="B64" i="126"/>
  <c r="B62" i="126"/>
  <c r="B63" i="126" s="1"/>
  <c r="O37" i="3"/>
  <c r="G15" i="16"/>
  <c r="G16" i="16" s="1"/>
  <c r="G15" i="17"/>
  <c r="G16" i="17" s="1"/>
  <c r="G15" i="18"/>
  <c r="G16" i="18" s="1"/>
  <c r="G15" i="15"/>
  <c r="G16" i="15" s="1"/>
  <c r="G15" i="13"/>
  <c r="G16" i="13" s="1"/>
  <c r="G15" i="14"/>
  <c r="G16" i="14" s="1"/>
  <c r="G15" i="12"/>
  <c r="G16" i="12" s="1"/>
  <c r="B65" i="103"/>
  <c r="J15" i="121"/>
  <c r="B41" i="101"/>
  <c r="B64" i="101"/>
  <c r="B65" i="101" s="1"/>
  <c r="B43" i="125"/>
  <c r="B44" i="125" s="1"/>
  <c r="B46" i="125" s="1"/>
  <c r="B47" i="125"/>
  <c r="J15" i="44"/>
  <c r="J15" i="32"/>
  <c r="B63" i="47"/>
  <c r="J15" i="49"/>
  <c r="B40" i="62"/>
  <c r="B62" i="62"/>
  <c r="B63" i="62" s="1"/>
  <c r="J15" i="22"/>
  <c r="B63" i="44"/>
  <c r="J15" i="52"/>
  <c r="J15" i="80"/>
  <c r="B64" i="48"/>
  <c r="B65" i="48" s="1"/>
  <c r="B41" i="48"/>
  <c r="B63" i="32"/>
  <c r="J15" i="23"/>
  <c r="J15" i="27"/>
  <c r="B62" i="83"/>
  <c r="B63" i="83" s="1"/>
  <c r="B40" i="83"/>
  <c r="J15" i="56"/>
  <c r="D41" i="33"/>
  <c r="D64" i="33"/>
  <c r="D65" i="33" s="1"/>
  <c r="J15" i="83"/>
  <c r="B41" i="39"/>
  <c r="B64" i="39"/>
  <c r="B65" i="39" s="1"/>
  <c r="B63" i="80"/>
  <c r="B63" i="30"/>
  <c r="B63" i="59"/>
  <c r="B63" i="52"/>
  <c r="B64" i="53"/>
  <c r="B65" i="53" s="1"/>
  <c r="B41" i="53"/>
  <c r="B63" i="27"/>
  <c r="B63" i="22"/>
  <c r="B64" i="33"/>
  <c r="B65" i="33" s="1"/>
  <c r="B41" i="33"/>
  <c r="B63" i="43"/>
  <c r="B63" i="56"/>
  <c r="B63" i="23"/>
  <c r="J15" i="30"/>
  <c r="L15" i="59"/>
  <c r="B64" i="71"/>
  <c r="B65" i="71" s="1"/>
  <c r="B41" i="71"/>
  <c r="B63" i="49"/>
  <c r="J15" i="47"/>
  <c r="B41" i="40"/>
  <c r="B64" i="40"/>
  <c r="B65" i="40" s="1"/>
  <c r="J15" i="62"/>
  <c r="J15" i="43"/>
  <c r="D64" i="39"/>
  <c r="D65" i="39" s="1"/>
  <c r="D41" i="39"/>
  <c r="W89" i="3"/>
  <c r="M7" i="3"/>
  <c r="J12" i="3"/>
  <c r="M60" i="3"/>
  <c r="O60" i="3" s="1"/>
  <c r="J68" i="3"/>
  <c r="O66" i="3" s="1"/>
  <c r="O67" i="3" s="1"/>
  <c r="O68" i="3" s="1"/>
  <c r="W63" i="3"/>
  <c r="O98" i="3"/>
  <c r="O99" i="3" s="1"/>
  <c r="O100" i="3" s="1"/>
  <c r="O40" i="3"/>
  <c r="W40" i="3"/>
  <c r="W10" i="3"/>
  <c r="W7" i="3"/>
  <c r="O63" i="3"/>
  <c r="O10" i="3"/>
  <c r="W37" i="3"/>
  <c r="O92" i="3"/>
  <c r="W60" i="3"/>
  <c r="W92" i="3"/>
  <c r="O7" i="3"/>
  <c r="O89" i="3"/>
  <c r="J14" i="3" l="1"/>
  <c r="J16" i="3" s="1"/>
  <c r="O13" i="3" s="1"/>
  <c r="O14" i="3" s="1"/>
  <c r="O15" i="3" s="1"/>
  <c r="G17" i="14"/>
  <c r="B56" i="14" s="1"/>
  <c r="G18" i="14"/>
  <c r="B65" i="126"/>
  <c r="D47" i="119"/>
  <c r="D51" i="119" s="1"/>
  <c r="B49" i="119"/>
  <c r="B51" i="119"/>
  <c r="B49" i="103"/>
  <c r="B50" i="103" s="1"/>
  <c r="B51" i="103"/>
  <c r="B49" i="118"/>
  <c r="B50" i="118" s="1"/>
  <c r="B51" i="118"/>
  <c r="B49" i="125"/>
  <c r="B50" i="125" s="1"/>
  <c r="B51" i="125"/>
  <c r="G18" i="13"/>
  <c r="G17" i="13"/>
  <c r="B56" i="13" s="1"/>
  <c r="B47" i="126"/>
  <c r="B43" i="126"/>
  <c r="B44" i="126" s="1"/>
  <c r="B46" i="126" s="1"/>
  <c r="B49" i="122"/>
  <c r="B50" i="122" s="1"/>
  <c r="B51" i="122"/>
  <c r="B46" i="103"/>
  <c r="B43" i="101"/>
  <c r="B44" i="101" s="1"/>
  <c r="B46" i="101" s="1"/>
  <c r="D46" i="101" s="1"/>
  <c r="B47" i="101"/>
  <c r="G18" i="15"/>
  <c r="G17" i="15"/>
  <c r="B56" i="15" s="1"/>
  <c r="D49" i="118"/>
  <c r="D50" i="118" s="1"/>
  <c r="D51" i="118"/>
  <c r="B43" i="110"/>
  <c r="B44" i="110" s="1"/>
  <c r="B47" i="110"/>
  <c r="G18" i="18"/>
  <c r="G17" i="18"/>
  <c r="B56" i="18" s="1"/>
  <c r="B47" i="107"/>
  <c r="B43" i="107"/>
  <c r="B44" i="107" s="1"/>
  <c r="B47" i="121"/>
  <c r="B43" i="121"/>
  <c r="B44" i="121" s="1"/>
  <c r="G18" i="17"/>
  <c r="G17" i="17"/>
  <c r="B56" i="17" s="1"/>
  <c r="B65" i="130"/>
  <c r="G17" i="16"/>
  <c r="B56" i="16" s="1"/>
  <c r="G18" i="16"/>
  <c r="B43" i="130"/>
  <c r="B44" i="130" s="1"/>
  <c r="B46" i="130" s="1"/>
  <c r="B47" i="130"/>
  <c r="B43" i="104"/>
  <c r="B44" i="104" s="1"/>
  <c r="B47" i="104"/>
  <c r="D65" i="119"/>
  <c r="B41" i="114"/>
  <c r="B64" i="114"/>
  <c r="B65" i="114" s="1"/>
  <c r="B41" i="22"/>
  <c r="B64" i="22"/>
  <c r="B65" i="22" s="1"/>
  <c r="B41" i="52"/>
  <c r="B64" i="52"/>
  <c r="B65" i="52" s="1"/>
  <c r="D47" i="33"/>
  <c r="D43" i="33"/>
  <c r="D44" i="33" s="1"/>
  <c r="B43" i="40"/>
  <c r="B44" i="40" s="1"/>
  <c r="B47" i="40"/>
  <c r="B43" i="71"/>
  <c r="B44" i="71" s="1"/>
  <c r="B47" i="71"/>
  <c r="B64" i="43"/>
  <c r="B65" i="43" s="1"/>
  <c r="B41" i="43"/>
  <c r="B64" i="62"/>
  <c r="B65" i="62" s="1"/>
  <c r="B41" i="62"/>
  <c r="B43" i="33"/>
  <c r="B44" i="33" s="1"/>
  <c r="B46" i="33" s="1"/>
  <c r="B47" i="33"/>
  <c r="B64" i="49"/>
  <c r="B65" i="49" s="1"/>
  <c r="B41" i="49"/>
  <c r="B41" i="30"/>
  <c r="B64" i="30"/>
  <c r="B65" i="30" s="1"/>
  <c r="B64" i="44"/>
  <c r="B65" i="44" s="1"/>
  <c r="B41" i="44"/>
  <c r="D43" i="39"/>
  <c r="D44" i="39" s="1"/>
  <c r="D47" i="39"/>
  <c r="B64" i="27"/>
  <c r="B65" i="27" s="1"/>
  <c r="B41" i="27"/>
  <c r="B41" i="80"/>
  <c r="B64" i="80"/>
  <c r="B65" i="80" s="1"/>
  <c r="B43" i="53"/>
  <c r="B44" i="53" s="1"/>
  <c r="B47" i="53"/>
  <c r="B64" i="59"/>
  <c r="B65" i="59" s="1"/>
  <c r="B41" i="59"/>
  <c r="B47" i="39"/>
  <c r="B43" i="39"/>
  <c r="B44" i="39" s="1"/>
  <c r="B46" i="39" s="1"/>
  <c r="B41" i="47"/>
  <c r="B64" i="47"/>
  <c r="B65" i="47" s="1"/>
  <c r="B64" i="23"/>
  <c r="B65" i="23" s="1"/>
  <c r="B41" i="23"/>
  <c r="B41" i="56"/>
  <c r="B64" i="56"/>
  <c r="B65" i="56" s="1"/>
  <c r="B41" i="83"/>
  <c r="B64" i="83"/>
  <c r="B65" i="83" s="1"/>
  <c r="B43" i="48"/>
  <c r="B44" i="48" s="1"/>
  <c r="B47" i="48"/>
  <c r="B41" i="32"/>
  <c r="B64" i="32"/>
  <c r="B65" i="32" s="1"/>
  <c r="I15" i="2"/>
  <c r="I16" i="2" s="1"/>
  <c r="B58" i="16" l="1"/>
  <c r="B60" i="16"/>
  <c r="B46" i="121"/>
  <c r="B49" i="110"/>
  <c r="B50" i="110" s="1"/>
  <c r="B51" i="110"/>
  <c r="B49" i="121"/>
  <c r="B50" i="121" s="1"/>
  <c r="B51" i="121"/>
  <c r="B58" i="14"/>
  <c r="B60" i="14"/>
  <c r="B46" i="107"/>
  <c r="B58" i="15"/>
  <c r="B60" i="15"/>
  <c r="B46" i="110"/>
  <c r="B49" i="104"/>
  <c r="B50" i="104" s="1"/>
  <c r="B51" i="104"/>
  <c r="B49" i="107"/>
  <c r="B50" i="107" s="1"/>
  <c r="B51" i="107"/>
  <c r="B49" i="126"/>
  <c r="B50" i="126" s="1"/>
  <c r="B51" i="126"/>
  <c r="B46" i="104"/>
  <c r="B58" i="17"/>
  <c r="B60" i="17"/>
  <c r="B60" i="18"/>
  <c r="B58" i="18"/>
  <c r="B49" i="101"/>
  <c r="D47" i="101"/>
  <c r="D51" i="101" s="1"/>
  <c r="B51" i="101"/>
  <c r="B58" i="13"/>
  <c r="B60" i="13"/>
  <c r="B43" i="114"/>
  <c r="B44" i="114" s="1"/>
  <c r="B47" i="114"/>
  <c r="B49" i="130"/>
  <c r="B50" i="130" s="1"/>
  <c r="B51" i="130"/>
  <c r="B50" i="119"/>
  <c r="D49" i="119"/>
  <c r="D50" i="119" s="1"/>
  <c r="B43" i="59"/>
  <c r="B44" i="59" s="1"/>
  <c r="B47" i="59"/>
  <c r="D47" i="59" s="1"/>
  <c r="D51" i="59" s="1"/>
  <c r="B43" i="27"/>
  <c r="B44" i="27" s="1"/>
  <c r="B47" i="27"/>
  <c r="B43" i="62"/>
  <c r="B44" i="62" s="1"/>
  <c r="B47" i="62"/>
  <c r="B43" i="32"/>
  <c r="B44" i="32" s="1"/>
  <c r="B47" i="32"/>
  <c r="B47" i="56"/>
  <c r="B43" i="56"/>
  <c r="B44" i="56" s="1"/>
  <c r="D49" i="33"/>
  <c r="D50" i="33" s="1"/>
  <c r="D51" i="33"/>
  <c r="B47" i="23"/>
  <c r="B43" i="23"/>
  <c r="B44" i="23" s="1"/>
  <c r="B49" i="53"/>
  <c r="B50" i="53" s="1"/>
  <c r="B51" i="53"/>
  <c r="D49" i="39"/>
  <c r="D50" i="39" s="1"/>
  <c r="D51" i="39"/>
  <c r="B43" i="43"/>
  <c r="B44" i="43" s="1"/>
  <c r="B47" i="43"/>
  <c r="B46" i="53"/>
  <c r="B47" i="30"/>
  <c r="B43" i="30"/>
  <c r="B44" i="30" s="1"/>
  <c r="B43" i="52"/>
  <c r="B44" i="52" s="1"/>
  <c r="B47" i="52"/>
  <c r="B49" i="48"/>
  <c r="B50" i="48" s="1"/>
  <c r="B51" i="48"/>
  <c r="B47" i="44"/>
  <c r="B43" i="44"/>
  <c r="B44" i="44" s="1"/>
  <c r="B43" i="49"/>
  <c r="B44" i="49" s="1"/>
  <c r="B47" i="49"/>
  <c r="B43" i="47"/>
  <c r="B44" i="47" s="1"/>
  <c r="B47" i="47"/>
  <c r="B46" i="71"/>
  <c r="B49" i="33"/>
  <c r="B50" i="33" s="1"/>
  <c r="B51" i="33"/>
  <c r="B49" i="40"/>
  <c r="B50" i="40" s="1"/>
  <c r="B51" i="40"/>
  <c r="B49" i="71"/>
  <c r="B50" i="71" s="1"/>
  <c r="B51" i="71"/>
  <c r="B46" i="48"/>
  <c r="B47" i="22"/>
  <c r="B43" i="22"/>
  <c r="B44" i="22" s="1"/>
  <c r="B47" i="83"/>
  <c r="B43" i="83"/>
  <c r="B44" i="83" s="1"/>
  <c r="B49" i="39"/>
  <c r="B50" i="39" s="1"/>
  <c r="B51" i="39"/>
  <c r="B43" i="80"/>
  <c r="B44" i="80" s="1"/>
  <c r="B47" i="80"/>
  <c r="B46" i="40"/>
  <c r="I17" i="2"/>
  <c r="I18" i="2"/>
  <c r="G17" i="12"/>
  <c r="G18" i="12"/>
  <c r="B49" i="114" l="1"/>
  <c r="B50" i="114" s="1"/>
  <c r="B51" i="114"/>
  <c r="B46" i="114"/>
  <c r="B50" i="101"/>
  <c r="D49" i="101"/>
  <c r="D50" i="101" s="1"/>
  <c r="B10" i="18"/>
  <c r="B59" i="18"/>
  <c r="B8" i="18" s="1"/>
  <c r="B7" i="18"/>
  <c r="B9" i="18"/>
  <c r="B59" i="14"/>
  <c r="B8" i="14" s="1"/>
  <c r="B10" i="14"/>
  <c r="B7" i="14"/>
  <c r="B9" i="14"/>
  <c r="B10" i="16"/>
  <c r="B59" i="16"/>
  <c r="B8" i="16" s="1"/>
  <c r="B7" i="16"/>
  <c r="B9" i="16"/>
  <c r="B10" i="15"/>
  <c r="B7" i="15"/>
  <c r="B9" i="15"/>
  <c r="B59" i="15"/>
  <c r="B8" i="15" s="1"/>
  <c r="B10" i="13"/>
  <c r="B7" i="13"/>
  <c r="B59" i="13"/>
  <c r="B8" i="13" s="1"/>
  <c r="B9" i="13"/>
  <c r="B59" i="17"/>
  <c r="B8" i="17" s="1"/>
  <c r="B10" i="17"/>
  <c r="B7" i="17"/>
  <c r="B28" i="17" s="1"/>
  <c r="B36" i="17" s="1"/>
  <c r="B9" i="17"/>
  <c r="B46" i="83"/>
  <c r="B49" i="83"/>
  <c r="B50" i="83" s="1"/>
  <c r="B51" i="83"/>
  <c r="B46" i="52"/>
  <c r="B46" i="30"/>
  <c r="B46" i="43"/>
  <c r="B46" i="49"/>
  <c r="B49" i="30"/>
  <c r="B50" i="30" s="1"/>
  <c r="B51" i="30"/>
  <c r="B49" i="43"/>
  <c r="B50" i="43" s="1"/>
  <c r="B51" i="43"/>
  <c r="B49" i="62"/>
  <c r="B50" i="62" s="1"/>
  <c r="B51" i="62"/>
  <c r="B49" i="49"/>
  <c r="B50" i="49" s="1"/>
  <c r="B51" i="49"/>
  <c r="B46" i="62"/>
  <c r="B49" i="80"/>
  <c r="B50" i="80" s="1"/>
  <c r="B51" i="80"/>
  <c r="B46" i="22"/>
  <c r="B46" i="44"/>
  <c r="B46" i="80"/>
  <c r="B49" i="22"/>
  <c r="B50" i="22" s="1"/>
  <c r="B51" i="22"/>
  <c r="B49" i="44"/>
  <c r="B50" i="44" s="1"/>
  <c r="B51" i="44"/>
  <c r="B46" i="56"/>
  <c r="B49" i="27"/>
  <c r="B50" i="27" s="1"/>
  <c r="B51" i="27"/>
  <c r="B46" i="27"/>
  <c r="B49" i="56"/>
  <c r="B50" i="56" s="1"/>
  <c r="B51" i="56"/>
  <c r="B46" i="47"/>
  <c r="B46" i="23"/>
  <c r="B49" i="32"/>
  <c r="B50" i="32" s="1"/>
  <c r="B51" i="32"/>
  <c r="B49" i="59"/>
  <c r="B51" i="59"/>
  <c r="B49" i="47"/>
  <c r="B50" i="47" s="1"/>
  <c r="B51" i="47"/>
  <c r="B49" i="52"/>
  <c r="B50" i="52" s="1"/>
  <c r="B51" i="52"/>
  <c r="B49" i="23"/>
  <c r="B50" i="23" s="1"/>
  <c r="B51" i="23"/>
  <c r="B46" i="32"/>
  <c r="B46" i="59"/>
  <c r="D46" i="59" s="1"/>
  <c r="B56" i="12"/>
  <c r="C56" i="2"/>
  <c r="D56" i="2"/>
  <c r="B56" i="2"/>
  <c r="C55" i="2"/>
  <c r="C57" i="2" s="1"/>
  <c r="C58" i="2" s="1"/>
  <c r="D55" i="2"/>
  <c r="B55" i="2"/>
  <c r="D31" i="2"/>
  <c r="B28" i="15" l="1"/>
  <c r="B36" i="15" s="1"/>
  <c r="B28" i="16"/>
  <c r="B36" i="16" s="1"/>
  <c r="B28" i="18"/>
  <c r="B36" i="18" s="1"/>
  <c r="B57" i="2"/>
  <c r="B7" i="2" s="1"/>
  <c r="D7" i="2" s="1"/>
  <c r="B39" i="15"/>
  <c r="B40" i="15" s="1"/>
  <c r="B48" i="15"/>
  <c r="B28" i="13"/>
  <c r="B36" i="13" s="1"/>
  <c r="B28" i="14"/>
  <c r="B36" i="14" s="1"/>
  <c r="B39" i="17"/>
  <c r="B40" i="17" s="1"/>
  <c r="B48" i="17"/>
  <c r="B50" i="59"/>
  <c r="D49" i="59"/>
  <c r="D50" i="59" s="1"/>
  <c r="B58" i="12"/>
  <c r="D57" i="2"/>
  <c r="D58" i="2" s="1"/>
  <c r="C59" i="2"/>
  <c r="D59" i="2"/>
  <c r="B58" i="2"/>
  <c r="B8" i="2" s="1"/>
  <c r="D8" i="2" s="1"/>
  <c r="B9" i="2"/>
  <c r="D9" i="2" s="1"/>
  <c r="B60" i="12"/>
  <c r="B5" i="4"/>
  <c r="E2" i="4"/>
  <c r="B62" i="17" l="1"/>
  <c r="B63" i="17" s="1"/>
  <c r="B41" i="17"/>
  <c r="B64" i="17"/>
  <c r="B65" i="17" s="1"/>
  <c r="B62" i="15"/>
  <c r="B63" i="15" s="1"/>
  <c r="B41" i="15"/>
  <c r="B64" i="15"/>
  <c r="B65" i="15" s="1"/>
  <c r="B7" i="12"/>
  <c r="B10" i="12"/>
  <c r="B48" i="14"/>
  <c r="B39" i="14"/>
  <c r="B40" i="14" s="1"/>
  <c r="B39" i="18"/>
  <c r="B40" i="18" s="1"/>
  <c r="B48" i="18"/>
  <c r="B48" i="13"/>
  <c r="B39" i="13"/>
  <c r="B40" i="13" s="1"/>
  <c r="B48" i="16"/>
  <c r="B39" i="16"/>
  <c r="B40" i="16" s="1"/>
  <c r="B59" i="12"/>
  <c r="B8" i="12" s="1"/>
  <c r="B9" i="12"/>
  <c r="J4" i="4"/>
  <c r="E6" i="4"/>
  <c r="D6" i="4"/>
  <c r="D8" i="4" s="1"/>
  <c r="B35" i="2"/>
  <c r="C6" i="4"/>
  <c r="G5" i="4"/>
  <c r="D2" i="4"/>
  <c r="I8" i="4" s="1"/>
  <c r="G3" i="4"/>
  <c r="B62" i="16" l="1"/>
  <c r="B63" i="16" s="1"/>
  <c r="B64" i="16"/>
  <c r="B65" i="16" s="1"/>
  <c r="B41" i="16"/>
  <c r="B62" i="14"/>
  <c r="B63" i="14" s="1"/>
  <c r="B64" i="14"/>
  <c r="B65" i="14" s="1"/>
  <c r="B41" i="14"/>
  <c r="B47" i="15"/>
  <c r="B43" i="15"/>
  <c r="B44" i="15" s="1"/>
  <c r="B62" i="13"/>
  <c r="B63" i="13" s="1"/>
  <c r="B64" i="13"/>
  <c r="B65" i="13" s="1"/>
  <c r="B41" i="13"/>
  <c r="B43" i="17"/>
  <c r="B44" i="17" s="1"/>
  <c r="B47" i="17"/>
  <c r="B62" i="18"/>
  <c r="B63" i="18" s="1"/>
  <c r="B41" i="18"/>
  <c r="B64" i="18"/>
  <c r="B65" i="18" s="1"/>
  <c r="AD3" i="11"/>
  <c r="B28" i="12"/>
  <c r="B36" i="12" s="1"/>
  <c r="B48" i="12" s="1"/>
  <c r="F8" i="4"/>
  <c r="J6" i="4"/>
  <c r="J8" i="4" s="1"/>
  <c r="J2" i="4"/>
  <c r="I6" i="4"/>
  <c r="I2" i="4"/>
  <c r="B49" i="15" l="1"/>
  <c r="B50" i="15" s="1"/>
  <c r="B51" i="15"/>
  <c r="B43" i="14"/>
  <c r="B44" i="14" s="1"/>
  <c r="B47" i="14"/>
  <c r="B49" i="17"/>
  <c r="B50" i="17" s="1"/>
  <c r="B51" i="17"/>
  <c r="B47" i="16"/>
  <c r="B43" i="16"/>
  <c r="B44" i="16" s="1"/>
  <c r="B43" i="18"/>
  <c r="B44" i="18" s="1"/>
  <c r="B47" i="18"/>
  <c r="B46" i="17"/>
  <c r="B43" i="13"/>
  <c r="B44" i="13" s="1"/>
  <c r="B47" i="13"/>
  <c r="B46" i="15"/>
  <c r="B39" i="12"/>
  <c r="B40" i="12" s="1"/>
  <c r="B62" i="12" s="1"/>
  <c r="H2" i="4"/>
  <c r="H8" i="4" s="1"/>
  <c r="H6" i="4"/>
  <c r="B49" i="16" l="1"/>
  <c r="B50" i="16" s="1"/>
  <c r="B51" i="16"/>
  <c r="B49" i="14"/>
  <c r="B50" i="14" s="1"/>
  <c r="B51" i="14"/>
  <c r="B46" i="14"/>
  <c r="B49" i="18"/>
  <c r="B50" i="18" s="1"/>
  <c r="B51" i="18"/>
  <c r="B46" i="16"/>
  <c r="B49" i="13"/>
  <c r="B50" i="13" s="1"/>
  <c r="B51" i="13"/>
  <c r="B46" i="13"/>
  <c r="B46" i="18"/>
  <c r="B63" i="12"/>
  <c r="B64" i="12"/>
  <c r="B41" i="12"/>
  <c r="K8" i="4"/>
  <c r="D33" i="2" s="1"/>
  <c r="D32" i="2" s="1"/>
  <c r="D28" i="2" s="1"/>
  <c r="D35" i="2" s="1"/>
  <c r="B59" i="2"/>
  <c r="B65" i="12" l="1"/>
  <c r="B47" i="12"/>
  <c r="B43" i="12"/>
  <c r="B44" i="12" s="1"/>
  <c r="D47" i="2"/>
  <c r="D38" i="2"/>
  <c r="D39" i="2" s="1"/>
  <c r="L14" i="2"/>
  <c r="L13" i="2"/>
  <c r="B46" i="12" l="1"/>
  <c r="B49" i="12"/>
  <c r="B50" i="12" s="1"/>
  <c r="B51" i="12"/>
  <c r="D61" i="2"/>
  <c r="D62" i="2" s="1"/>
  <c r="L7" i="2"/>
  <c r="L9" i="2"/>
  <c r="L12" i="2"/>
  <c r="L10" i="2"/>
  <c r="L6" i="2"/>
  <c r="L11" i="2"/>
  <c r="L8" i="2"/>
  <c r="D40" i="2" l="1"/>
  <c r="D63" i="2"/>
  <c r="D64" i="2" s="1"/>
  <c r="B38" i="2"/>
  <c r="B47" i="2"/>
  <c r="L15" i="2"/>
  <c r="B61" i="2" l="1"/>
  <c r="B62" i="2" s="1"/>
  <c r="B39" i="2"/>
  <c r="B63" i="2" s="1"/>
  <c r="D46" i="2"/>
  <c r="D42" i="2"/>
  <c r="D43" i="2" s="1"/>
  <c r="D45" i="2" s="1"/>
  <c r="B64" i="2" l="1"/>
  <c r="D48" i="2"/>
  <c r="D49" i="2" s="1"/>
  <c r="D50" i="2"/>
  <c r="B40" i="2"/>
  <c r="B42" i="2" s="1"/>
  <c r="B43" i="2" s="1"/>
  <c r="B45" i="2" l="1"/>
  <c r="B46" i="2"/>
  <c r="B48" i="2" l="1"/>
  <c r="B49" i="2" s="1"/>
  <c r="B50" i="2"/>
  <c r="B28" i="113" l="1"/>
  <c r="B36" i="113" s="1"/>
  <c r="J7" i="113" l="1"/>
  <c r="J14" i="113"/>
  <c r="J13" i="113"/>
  <c r="B48" i="113"/>
  <c r="J10" i="113"/>
  <c r="B39" i="113"/>
  <c r="B40" i="113" s="1"/>
  <c r="B62" i="113" s="1"/>
  <c r="J11" i="113"/>
  <c r="J12" i="113"/>
  <c r="J9" i="113"/>
  <c r="J6" i="113"/>
  <c r="J15" i="113" s="1"/>
  <c r="J8" i="113"/>
  <c r="B63" i="113" l="1"/>
  <c r="B64" i="113" l="1"/>
  <c r="B65" i="113" s="1"/>
  <c r="B41" i="113"/>
  <c r="B43" i="113" l="1"/>
  <c r="B44" i="113" s="1"/>
  <c r="B47" i="113"/>
  <c r="B46" i="113" l="1"/>
  <c r="B49" i="113"/>
  <c r="B50" i="113" s="1"/>
  <c r="B51" i="113"/>
</calcChain>
</file>

<file path=xl/sharedStrings.xml><?xml version="1.0" encoding="utf-8"?>
<sst xmlns="http://schemas.openxmlformats.org/spreadsheetml/2006/main" count="14416" uniqueCount="1218">
  <si>
    <t>Trabajo</t>
  </si>
  <si>
    <t>Costo</t>
  </si>
  <si>
    <t>CANTIDAD</t>
  </si>
  <si>
    <t>Concepto</t>
  </si>
  <si>
    <t>Contribución</t>
  </si>
  <si>
    <t>DISENO</t>
  </si>
  <si>
    <t>PLACAS</t>
  </si>
  <si>
    <t>por placa (1 PLACA DURA 150 MILLARES)/ 400 GRANDE</t>
  </si>
  <si>
    <t>PAPEL</t>
  </si>
  <si>
    <t>por tipo de papel (precio actualizado )</t>
  </si>
  <si>
    <t>Doblez</t>
  </si>
  <si>
    <t>TIRAJE</t>
  </si>
  <si>
    <t>por Millar de cada tinta (100 MXN x por tamanos 200 MXN x pliego completo)</t>
  </si>
  <si>
    <t>Compaginado</t>
  </si>
  <si>
    <t>CORTE ($50 pesos)</t>
  </si>
  <si>
    <t>30 a 100</t>
  </si>
  <si>
    <t>por Millar de pliegos</t>
  </si>
  <si>
    <t>Placas</t>
  </si>
  <si>
    <t>FOLIADO</t>
  </si>
  <si>
    <t>foliado sencillo</t>
  </si>
  <si>
    <t>Flete</t>
  </si>
  <si>
    <t>foliado doble</t>
  </si>
  <si>
    <t>Tiraje</t>
  </si>
  <si>
    <t>PEGADO</t>
  </si>
  <si>
    <t>block de 50 piezas</t>
  </si>
  <si>
    <t>Empaque</t>
  </si>
  <si>
    <t>millar</t>
  </si>
  <si>
    <t>Arreglo</t>
  </si>
  <si>
    <t>((((paginas/2) * num. Piezas))*90)/36000)*13</t>
  </si>
  <si>
    <t>ENGLOSADO (lomo libro)</t>
  </si>
  <si>
    <t>3.5 a 5</t>
  </si>
  <si>
    <t>por pieza (minimo 500 pesos)</t>
  </si>
  <si>
    <t>BARNIZ HEAT SEAL</t>
  </si>
  <si>
    <t>MILLAR pliego es 8 C</t>
  </si>
  <si>
    <t>BARNIZ UV</t>
  </si>
  <si>
    <t>millar (tamano doble carta) - 27.94 cm x 43.18 cm</t>
  </si>
  <si>
    <t>Papel</t>
  </si>
  <si>
    <t>millar (tamano cuatro carta) - 55.88 cm x 43.18 cm</t>
  </si>
  <si>
    <t>Total</t>
  </si>
  <si>
    <t>BARNIZ  AGUA</t>
  </si>
  <si>
    <t>PORTADA</t>
  </si>
  <si>
    <t>subcotizacion</t>
  </si>
  <si>
    <t>SUAJE O TROQUEL</t>
  </si>
  <si>
    <t>herramienta</t>
  </si>
  <si>
    <t>molde figura de la pieza se cotiza (estimado 6000 )/ GRANDE 15000</t>
  </si>
  <si>
    <t>SUAJADO O TROQUELADO</t>
  </si>
  <si>
    <t>aplicar herramienta</t>
  </si>
  <si>
    <t>$400 pesos millar de tamano del suaje</t>
  </si>
  <si>
    <t>QUIEBRE</t>
  </si>
  <si>
    <t>millar de piezas</t>
  </si>
  <si>
    <t>PERFORADO O PUNTEO</t>
  </si>
  <si>
    <t>ARILLOS</t>
  </si>
  <si>
    <t>trabajo para encuadernar, se cotiza</t>
  </si>
  <si>
    <t>ARREGLO</t>
  </si>
  <si>
    <t>100 a 200</t>
  </si>
  <si>
    <t>millar (para imprevistos en acabados)</t>
  </si>
  <si>
    <t>LAMINADO MATE/BTE</t>
  </si>
  <si>
    <t>tamano doble carta por 1 lado SE COTIZA</t>
  </si>
  <si>
    <t>tamano doble carta por ambos lados SE COTIZA</t>
  </si>
  <si>
    <t>DOBLEZ</t>
  </si>
  <si>
    <t xml:space="preserve">OTROS: FLETE </t>
  </si>
  <si>
    <t>millar de piezas (5000 a 10000 por trabajo)</t>
  </si>
  <si>
    <t>EMPAQUE</t>
  </si>
  <si>
    <t>por caja  tc (3000 hojas carta en 1 caja)</t>
  </si>
  <si>
    <t>SUBTOTAL</t>
  </si>
  <si>
    <t>% UTILIDAD (SOBREPRECIO)</t>
  </si>
  <si>
    <t>COMISION AGENTE</t>
  </si>
  <si>
    <t>TOTAL</t>
  </si>
  <si>
    <t>TOTAL VENTA + COMISIÓN 10%</t>
  </si>
  <si>
    <t>Comisión</t>
  </si>
  <si>
    <t>PRECIO UNITARIO</t>
  </si>
  <si>
    <t>Costo de Venta</t>
  </si>
  <si>
    <t>DLLS</t>
  </si>
  <si>
    <t>Ingreso</t>
  </si>
  <si>
    <t>PRECIO UNITARIO EN DLLS</t>
  </si>
  <si>
    <t>Utilidad sobre venta</t>
  </si>
  <si>
    <t>PRECIO MILLAR</t>
  </si>
  <si>
    <t>TARGET PRICE (ACTUAL)</t>
  </si>
  <si>
    <t>Ventas</t>
  </si>
  <si>
    <t>Margen de Beneficio</t>
  </si>
  <si>
    <t>% utilidad / Ventas</t>
  </si>
  <si>
    <t>% Costo / Ventas</t>
  </si>
  <si>
    <t>CANTIDAD PLIEGOS</t>
  </si>
  <si>
    <t>SET UP</t>
  </si>
  <si>
    <t>PLIEGOS</t>
  </si>
  <si>
    <t>COSTO PAPEL</t>
  </si>
  <si>
    <t>Tintas Frente</t>
  </si>
  <si>
    <t>Medida Final con Margen</t>
  </si>
  <si>
    <t>Medida Original sin Margen</t>
  </si>
  <si>
    <t>MM</t>
  </si>
  <si>
    <t>LARGO</t>
  </si>
  <si>
    <t>ALTO</t>
  </si>
  <si>
    <t>1 Tamaños</t>
  </si>
  <si>
    <t>2 Tamaños</t>
  </si>
  <si>
    <t>700*950</t>
  </si>
  <si>
    <t>X</t>
  </si>
  <si>
    <t>REAL</t>
  </si>
  <si>
    <t>REDONDEADO</t>
  </si>
  <si>
    <t>Aprovechamiento</t>
  </si>
  <si>
    <t>Área Total</t>
  </si>
  <si>
    <t>Area en blanco</t>
  </si>
  <si>
    <t>Desperdicio</t>
  </si>
  <si>
    <t>Sobrante area+suaje</t>
  </si>
  <si>
    <t>Margen</t>
  </si>
  <si>
    <t>Sobrante Final</t>
  </si>
  <si>
    <t>610*900</t>
  </si>
  <si>
    <t>Largo</t>
  </si>
  <si>
    <t>Ancho</t>
  </si>
  <si>
    <t>Alto</t>
  </si>
  <si>
    <t>ITEMS</t>
  </si>
  <si>
    <t>Capacidad Total por Caja</t>
  </si>
  <si>
    <t>Parametro</t>
  </si>
  <si>
    <t>Referencia</t>
  </si>
  <si>
    <r>
      <t xml:space="preserve">COMPAGINADO/ENGRAPADO/ DOBLEZ </t>
    </r>
    <r>
      <rPr>
        <sz val="8"/>
        <color theme="1"/>
        <rFont val="Bahnschrift"/>
        <family val="2"/>
      </rPr>
      <t>(MAS DE 4 PAG) YA NO LLEVA DOBLEZ</t>
    </r>
  </si>
  <si>
    <t>Valor</t>
  </si>
  <si>
    <t>Variables</t>
  </si>
  <si>
    <t>Tintas Vuelta</t>
  </si>
  <si>
    <t>Prensas</t>
  </si>
  <si>
    <t>SAKXL</t>
  </si>
  <si>
    <t>SAK2</t>
  </si>
  <si>
    <t>SAK4</t>
  </si>
  <si>
    <t>SM74</t>
  </si>
  <si>
    <t>SM CD-102</t>
  </si>
  <si>
    <t>DIGITAL</t>
  </si>
  <si>
    <t>Prensa</t>
  </si>
  <si>
    <t>Tamaños</t>
  </si>
  <si>
    <t>TIPO DE PAPEL</t>
  </si>
  <si>
    <t>Grs</t>
  </si>
  <si>
    <t>58x88</t>
  </si>
  <si>
    <t>61x68.5</t>
  </si>
  <si>
    <t>72x53</t>
  </si>
  <si>
    <t>72x102</t>
  </si>
  <si>
    <t>61x90</t>
  </si>
  <si>
    <t>57x87</t>
  </si>
  <si>
    <t>70x95</t>
  </si>
  <si>
    <t>Medida Pliego</t>
  </si>
  <si>
    <t>640*940</t>
  </si>
  <si>
    <t>Paginas PN</t>
  </si>
  <si>
    <t>Paginas x Pliego</t>
  </si>
  <si>
    <t>Paginas por Tamaño</t>
  </si>
  <si>
    <t>Pliegos x Pieza</t>
  </si>
  <si>
    <t>Costo x Placa</t>
  </si>
  <si>
    <t>BOND</t>
  </si>
  <si>
    <t>COUCHES 2/C SB</t>
  </si>
  <si>
    <t>Tipo Papel</t>
  </si>
  <si>
    <t>Gramaje / Calibre</t>
  </si>
  <si>
    <t>Sustrato</t>
  </si>
  <si>
    <t>Gramaje</t>
  </si>
  <si>
    <t>Precio Millar</t>
  </si>
  <si>
    <t>Costo Tiraje</t>
  </si>
  <si>
    <t>Costo Pliego (Millar</t>
  </si>
  <si>
    <t>Costo Pliego (Unitario)</t>
  </si>
  <si>
    <t>Sobrante por Pliego</t>
  </si>
  <si>
    <t>Corridas</t>
  </si>
  <si>
    <t>Proporción Sobrante vs Impresión</t>
  </si>
  <si>
    <t>Doblez Millar Pliegos</t>
  </si>
  <si>
    <t>Costo Flete Full</t>
  </si>
  <si>
    <t>Rendimiento Placas (Pliegos)</t>
  </si>
  <si>
    <t>MENSUAL</t>
  </si>
  <si>
    <t>RODRIGUEZ RUIZ DORA EVELIA</t>
  </si>
  <si>
    <t>VILLALPANDO CEPEDA ROSA ESTHER</t>
  </si>
  <si>
    <t>MENDIVIL ZAMORANO SILVIA GENOVEVA</t>
  </si>
  <si>
    <t>SANMARTIN VALENZUELA MARIA JOSE</t>
  </si>
  <si>
    <t>SUELDOS</t>
  </si>
  <si>
    <t>SUELDOS CALIDAD</t>
  </si>
  <si>
    <t>SUELDOS SUPERVISOR</t>
  </si>
  <si>
    <t>COSTO USO MAQUINARIA</t>
  </si>
  <si>
    <t>COSTO GASTOS GENERALES (LUZ)</t>
  </si>
  <si>
    <t>CANTIDAD AL MES</t>
  </si>
  <si>
    <t>GASTOS TOTALES</t>
  </si>
  <si>
    <t>COSTO POR MANUAL COMPAGINADO</t>
  </si>
  <si>
    <t>COSTO COMPAGINADO</t>
  </si>
  <si>
    <t>MAS 60% FACTOR</t>
  </si>
  <si>
    <t>Costo Caja (Embalaje)</t>
  </si>
  <si>
    <t>Cajas por Viaje (HINO)</t>
  </si>
  <si>
    <t>Flete (Nogales)</t>
  </si>
  <si>
    <t>ETIQUETA</t>
  </si>
  <si>
    <t>64x94</t>
  </si>
  <si>
    <t>Etiqueta</t>
  </si>
  <si>
    <t>002-2358-000</t>
  </si>
  <si>
    <t>114-5058-000</t>
  </si>
  <si>
    <t>NP</t>
  </si>
  <si>
    <t>DESCRIPCIÓN</t>
  </si>
  <si>
    <t>DEMANDA ANUAL</t>
  </si>
  <si>
    <t>YA LO HACEMOS</t>
  </si>
  <si>
    <t>CON ETIQUETA</t>
  </si>
  <si>
    <t>MEDIDA</t>
  </si>
  <si>
    <t>HORIENTACIÓN</t>
  </si>
  <si>
    <t>TINTAS</t>
  </si>
  <si>
    <t>IMPRESIÓN LADOS</t>
  </si>
  <si>
    <t>PAGINAS</t>
  </si>
  <si>
    <t>COMPAGINADO</t>
  </si>
  <si>
    <t>ETIQUETAS</t>
  </si>
  <si>
    <t>FAMILIA</t>
  </si>
  <si>
    <t>002-2410-000</t>
  </si>
  <si>
    <t>Sí</t>
  </si>
  <si>
    <t>6x9''</t>
  </si>
  <si>
    <t>HORIZONTAL</t>
  </si>
  <si>
    <t>Bond</t>
  </si>
  <si>
    <t>50 lb</t>
  </si>
  <si>
    <t>114-5711-010</t>
  </si>
  <si>
    <t>(MANUAL,LM,ENG,FRN,SPN)</t>
  </si>
  <si>
    <t>No</t>
  </si>
  <si>
    <t>VERTICAL</t>
  </si>
  <si>
    <t>002-2389-000</t>
  </si>
  <si>
    <t>(ASSY,USERGUIDE,RETAIL,FALCON)</t>
  </si>
  <si>
    <t>01-39130</t>
  </si>
  <si>
    <t>8.5x11''</t>
  </si>
  <si>
    <t>114-5819-000</t>
  </si>
  <si>
    <t>(ART,USERMANUAL,PRO,FALCON)</t>
  </si>
  <si>
    <t>114-5461-000</t>
  </si>
  <si>
    <t>(MANUAL,OWNERS,KLIK5U-BK2,KLIK5U-SS)</t>
  </si>
  <si>
    <t>114-5685-000</t>
  </si>
  <si>
    <t>(INSTRUCTION811LMXAND813LMX)</t>
  </si>
  <si>
    <t>01-39240-2</t>
  </si>
  <si>
    <t>(WIRINGDIAGRAM,CSL24UL)</t>
  </si>
  <si>
    <t>20x24''</t>
  </si>
  <si>
    <t>Tyvek</t>
  </si>
  <si>
    <t>01-39240-1</t>
  </si>
  <si>
    <t>(WIRING-DIAGRAM,CSW24UL)</t>
  </si>
  <si>
    <t>114-5433-000</t>
  </si>
  <si>
    <t>(USERGUIDE,KEYPAD,MAX,DELIVERYSVC,LM)</t>
  </si>
  <si>
    <t>01-39049</t>
  </si>
  <si>
    <t>002-2390-000</t>
  </si>
  <si>
    <t>114-5589-000</t>
  </si>
  <si>
    <t>(USER-GUIDE,WIFI,RJOEMEAA)</t>
  </si>
  <si>
    <t>8114A3656D</t>
  </si>
  <si>
    <t>(MANUAL,OWNERS,G1210EM/G1220EM)</t>
  </si>
  <si>
    <t>002-2373-000</t>
  </si>
  <si>
    <t>(MANUALASSY,PURCHASED,COM,LJ8900W)</t>
  </si>
  <si>
    <t>114A5043</t>
  </si>
  <si>
    <t>(INSTR,INSTALL,G953EV\EVC,G956EV\EVC)</t>
  </si>
  <si>
    <t>01-39240-10</t>
  </si>
  <si>
    <t>(WIRINGDIAGRAM,LA400UL)</t>
  </si>
  <si>
    <t>01-39240-9</t>
  </si>
  <si>
    <t>(WIRINGDIAGRAM,LA500UL)</t>
  </si>
  <si>
    <t>114A4714B</t>
  </si>
  <si>
    <t>(INSERT,INSTALL,CGI,ENG/SPN/FRN)</t>
  </si>
  <si>
    <t>01-38939</t>
  </si>
  <si>
    <t>(INSTR,LM,CPS-U)</t>
  </si>
  <si>
    <t>114A3936F</t>
  </si>
  <si>
    <t>01-39240-4</t>
  </si>
  <si>
    <t>(WIRINGDIAGRAM,RSL12UL)</t>
  </si>
  <si>
    <t>01-39502</t>
  </si>
  <si>
    <t>(ENDCAPSERVICEBULLETIN)</t>
  </si>
  <si>
    <t>114A3930</t>
  </si>
  <si>
    <t>114A3938D</t>
  </si>
  <si>
    <t>01-39240-5</t>
  </si>
  <si>
    <t>(WIRING-DIAGRAM,SL3000UL)</t>
  </si>
  <si>
    <t>114-5709-000</t>
  </si>
  <si>
    <t>(USERGUIDE,PRO,LED)</t>
  </si>
  <si>
    <t>114A4109D</t>
  </si>
  <si>
    <t>(INSTR,371LM,373LM)</t>
  </si>
  <si>
    <t>01-39381B</t>
  </si>
  <si>
    <t>(MANUAL,OWNERS,INSTALL,CSL24UL,ENG)</t>
  </si>
  <si>
    <t>01-39407B</t>
  </si>
  <si>
    <t>(MANUAL,OWNERS,INSTALL,CSL24UL,FRN)</t>
  </si>
  <si>
    <t>8114A2935E</t>
  </si>
  <si>
    <t>(MANUAL,OWNERS,G711MD)</t>
  </si>
  <si>
    <t>114A4224</t>
  </si>
  <si>
    <t>114A4962</t>
  </si>
  <si>
    <t>(MANUAL,INSTALLATION,CAPXL)</t>
  </si>
  <si>
    <t>114-5801-000</t>
  </si>
  <si>
    <t>(INSTR,INSTALL,SK,IR,SENSORS,BRKT)</t>
  </si>
  <si>
    <t>114-5463-000</t>
  </si>
  <si>
    <t>(INSTR,INSTALL,380UT)</t>
  </si>
  <si>
    <t>11x17''</t>
  </si>
  <si>
    <t>01-34213</t>
  </si>
  <si>
    <t>(MANUAL,OWNERS,MD,5011U)</t>
  </si>
  <si>
    <t>002-2372-000</t>
  </si>
  <si>
    <t>(USER-GUIDEASSY,LM,WIFI,PURCHASED-ATSW)</t>
  </si>
  <si>
    <t>01-39384B</t>
  </si>
  <si>
    <t>(MANUAL,OWNERS,INSTALL,LA400UL,ENG)</t>
  </si>
  <si>
    <t>01-39413B</t>
  </si>
  <si>
    <t>(MANUAL,OWNERS,INSTALL,LA400UL,FRN)</t>
  </si>
  <si>
    <t>01-39382C</t>
  </si>
  <si>
    <t>(MANUAL,OWNERS,INSTALL,LA500UL,ENG)</t>
  </si>
  <si>
    <t>01-39409C</t>
  </si>
  <si>
    <t>(MANUAL,OWNERS,INSTALL,LA500UL,FRN)</t>
  </si>
  <si>
    <t>8114A3657E</t>
  </si>
  <si>
    <t>(INSTR,INSTALL,KIT)</t>
  </si>
  <si>
    <t>114A5044</t>
  </si>
  <si>
    <t>(ART,MANUAL,WIRELESSKEYPAD)</t>
  </si>
  <si>
    <t>01-39240-11</t>
  </si>
  <si>
    <t>(WIRINGDIAGRAM,LA412UL)</t>
  </si>
  <si>
    <t>01-39380B</t>
  </si>
  <si>
    <t>(MANUAL,OWNERS,INSTALL,CSW24UL,ENG)</t>
  </si>
  <si>
    <t>01-39405B</t>
  </si>
  <si>
    <t>(MANUAL,OWNERS,INSTALL,CSW24UL,FRN)</t>
  </si>
  <si>
    <t>114A4895</t>
  </si>
  <si>
    <t>5.5x8.5''</t>
  </si>
  <si>
    <t>114A5145</t>
  </si>
  <si>
    <t>34x22''</t>
  </si>
  <si>
    <t>114A4513D</t>
  </si>
  <si>
    <t>114-5741-000</t>
  </si>
  <si>
    <t>(GUIDE,QUICK,INSTALL,RJO70)</t>
  </si>
  <si>
    <t>Diagrama tamaño 20x24 in, dos paginas, impreso en selección color en papel Tyvek</t>
  </si>
  <si>
    <t>TYVEK</t>
  </si>
  <si>
    <t>NA</t>
  </si>
  <si>
    <t>102x72 cm</t>
  </si>
  <si>
    <t>INFORMACIÓN SACADA DEL TABLERO DE CHAMBERLAIN</t>
  </si>
  <si>
    <t>TARIMA</t>
  </si>
  <si>
    <t>CAJAS POR TARIMA</t>
  </si>
  <si>
    <t>Costo Unitario Compaginado</t>
  </si>
  <si>
    <t>Corte</t>
  </si>
  <si>
    <t>57x87 cm</t>
  </si>
  <si>
    <t>COTIZADO</t>
  </si>
  <si>
    <t>Manual impreso a una tinta (negra), 4 paginas a tamaño carta, compaginado</t>
  </si>
  <si>
    <t>Manual impreso a una tinta (negra), 8 paginas a tamaño carta, compaginado</t>
  </si>
  <si>
    <t>114-5822-000</t>
  </si>
  <si>
    <t>114A1718</t>
  </si>
  <si>
    <t>114-5725-000</t>
  </si>
  <si>
    <t>Manual impreso a una tinta (negra), 52 paginas a tamaño carta, compaginado</t>
  </si>
  <si>
    <t>Manual impreso a una tinta (negra), 56 paginas a tamaño carta, compaginado</t>
  </si>
  <si>
    <t>Manual impreso a una tinta (negra), 64 paginas a tamaño carta, compaginado</t>
  </si>
  <si>
    <t>Manual impreso a una tinta (negra), 28 paginas a tamaño carta, compaginado</t>
  </si>
  <si>
    <t>Manual impreso a una tinta (negra), 80 paginas a tamaño carta, compaginado</t>
  </si>
  <si>
    <t>Manual impreso selección color, 92 paginas a tamaño carta, compaginado</t>
  </si>
  <si>
    <t>Manual impreso a una tinta (negro), 2 paginas a tamaño carta, compaginado</t>
  </si>
  <si>
    <t>Manual impreso selección color, 3 paginas a tamaño carta, compaginado</t>
  </si>
  <si>
    <t>Manual impreso a una tinta (negro), 24 paginas a tamaño carta, compaginado</t>
  </si>
  <si>
    <t>Manual impreso a una tinta (negra), 52 paginas a tamaño 6x9 italiano, compaginado mas una etiqueta</t>
  </si>
  <si>
    <t xml:space="preserve">Manual impreso a una tinta (negra), 40 paginas a tamaño 6x9 francés, compaginado </t>
  </si>
  <si>
    <t>64x94 cm</t>
  </si>
  <si>
    <t xml:space="preserve">Manual impreso a una tinta (negra), 36 paginas a tamaño 6x9 francés, compaginado </t>
  </si>
  <si>
    <t>SUBFAMILIA</t>
  </si>
  <si>
    <t>A</t>
  </si>
  <si>
    <t>B</t>
  </si>
  <si>
    <t>C</t>
  </si>
  <si>
    <t>D</t>
  </si>
  <si>
    <t>NOTA</t>
  </si>
  <si>
    <t>Manual impreso selección color, 16 paginas a tamaño carta, compaginado</t>
  </si>
  <si>
    <t>Manual impreso a una tinta (negra), 2 paginas a tamaño doble carta</t>
  </si>
  <si>
    <t>950 x 700 mm</t>
  </si>
  <si>
    <t>SIN INFORMACIÓN</t>
  </si>
  <si>
    <t>Precio / Millar (Norwork)</t>
  </si>
  <si>
    <t>Ingresos Totales (Norwork)</t>
  </si>
  <si>
    <t>Costos Totales (Norwork)</t>
  </si>
  <si>
    <t>Beneficio (Norwork)</t>
  </si>
  <si>
    <t>Margen Bruto (Norwork)</t>
  </si>
  <si>
    <t>Etiquetas</t>
  </si>
  <si>
    <t>MANUAL</t>
  </si>
  <si>
    <t xml:space="preserve">Bond </t>
  </si>
  <si>
    <t>90x61 cm</t>
  </si>
  <si>
    <t>COUCHE</t>
  </si>
  <si>
    <t>80 LB</t>
  </si>
  <si>
    <t>2.5x6''</t>
  </si>
  <si>
    <t>Manual impreso a una tinta (negra), 16 paginas a tamaño 2.5x6 in</t>
  </si>
  <si>
    <t>Manual impreso a una tinta (negro), 12 paginas a tamaño media carta, compaginado</t>
  </si>
  <si>
    <t xml:space="preserve"> </t>
  </si>
  <si>
    <t>Manual impreso a una tinta (negra), 376 paginas a tamaño 6x9 italiano, compaginado mas una etiqueta</t>
  </si>
  <si>
    <t>ETIQUETAS #</t>
  </si>
  <si>
    <t>Manual impreso a una tinta (negra), 64 paginas a tamaño 6x9 italiano, compaginado mas una etiqueta</t>
  </si>
  <si>
    <t>01-32966</t>
  </si>
  <si>
    <t>114-5616-000</t>
  </si>
  <si>
    <t>114-5573-000</t>
  </si>
  <si>
    <t>01-39240-3</t>
  </si>
  <si>
    <t>114-5558-000</t>
  </si>
  <si>
    <t>01-35688F</t>
  </si>
  <si>
    <t>01-60162</t>
  </si>
  <si>
    <t>01-33249</t>
  </si>
  <si>
    <t>114A4388D</t>
  </si>
  <si>
    <t>01-33748</t>
  </si>
  <si>
    <t>01-35045B</t>
  </si>
  <si>
    <t>01-35926</t>
  </si>
  <si>
    <t>01-34698</t>
  </si>
  <si>
    <t>01-38797</t>
  </si>
  <si>
    <t>01-34774</t>
  </si>
  <si>
    <t>01-60219</t>
  </si>
  <si>
    <t>01-34006</t>
  </si>
  <si>
    <t>01-35670B</t>
  </si>
  <si>
    <t>01-34219</t>
  </si>
  <si>
    <t>01-34218</t>
  </si>
  <si>
    <t>01-39055</t>
  </si>
  <si>
    <t>01-17189</t>
  </si>
  <si>
    <t>01-13405</t>
  </si>
  <si>
    <t>01-37313</t>
  </si>
  <si>
    <t>114A5158</t>
  </si>
  <si>
    <t>132-3271-030</t>
  </si>
  <si>
    <t>114A2074I-1</t>
  </si>
  <si>
    <t>114-5692-000</t>
  </si>
  <si>
    <t>114-5681-000</t>
  </si>
  <si>
    <t>002A2027</t>
  </si>
  <si>
    <t>114A3935E</t>
  </si>
  <si>
    <t>114-5566-000</t>
  </si>
  <si>
    <t>114A4464</t>
  </si>
  <si>
    <t>01-37540</t>
  </si>
  <si>
    <t>114A4846</t>
  </si>
  <si>
    <t>40-37292</t>
  </si>
  <si>
    <t>114A3484</t>
  </si>
  <si>
    <t>01-39240-12</t>
  </si>
  <si>
    <t>114A4972B</t>
  </si>
  <si>
    <t>002-2195</t>
  </si>
  <si>
    <t>01-34005</t>
  </si>
  <si>
    <t>114A5260</t>
  </si>
  <si>
    <t>01-39383B</t>
  </si>
  <si>
    <t>01-39411B</t>
  </si>
  <si>
    <t>002-2374-000</t>
  </si>
  <si>
    <t>01-39379B</t>
  </si>
  <si>
    <t>01-39403B</t>
  </si>
  <si>
    <t>114A4720C</t>
  </si>
  <si>
    <t>01-38727E</t>
  </si>
  <si>
    <t>01-39056</t>
  </si>
  <si>
    <t>114-5496-000</t>
  </si>
  <si>
    <t>01-39450</t>
  </si>
  <si>
    <t>114-5313</t>
  </si>
  <si>
    <t>8114A4913</t>
  </si>
  <si>
    <t>114A5164</t>
  </si>
  <si>
    <t>114A4008C</t>
  </si>
  <si>
    <t>01-39451</t>
  </si>
  <si>
    <t>01-39375B</t>
  </si>
  <si>
    <t>01-39395B</t>
  </si>
  <si>
    <t>114A1165E</t>
  </si>
  <si>
    <t>114-5316</t>
  </si>
  <si>
    <t>01-39217</t>
  </si>
  <si>
    <t>114-5606-000</t>
  </si>
  <si>
    <t>114-5821-000</t>
  </si>
  <si>
    <t>002-2367-010</t>
  </si>
  <si>
    <t>114A4499C</t>
  </si>
  <si>
    <t>114A4958B</t>
  </si>
  <si>
    <t>114A4418C</t>
  </si>
  <si>
    <t>114A5040B</t>
  </si>
  <si>
    <t>002B2043</t>
  </si>
  <si>
    <t>114-5824-000</t>
  </si>
  <si>
    <t>114A2795-1B-1</t>
  </si>
  <si>
    <t>01-36190</t>
  </si>
  <si>
    <t>114-5723-010</t>
  </si>
  <si>
    <t>114-5315</t>
  </si>
  <si>
    <t>114-5781-000</t>
  </si>
  <si>
    <t>114-5462-000</t>
  </si>
  <si>
    <t>114A2075I-1</t>
  </si>
  <si>
    <t>114A4018B</t>
  </si>
  <si>
    <t>114A3484G</t>
  </si>
  <si>
    <t>114A4933</t>
  </si>
  <si>
    <t>114A4106B</t>
  </si>
  <si>
    <t>114-5816-000</t>
  </si>
  <si>
    <t>114-5722-010</t>
  </si>
  <si>
    <t>114-5331-000</t>
  </si>
  <si>
    <t>114-5332-000</t>
  </si>
  <si>
    <t>01-39385</t>
  </si>
  <si>
    <t>01-39378B</t>
  </si>
  <si>
    <t>01-39401B</t>
  </si>
  <si>
    <t>114-5798-000</t>
  </si>
  <si>
    <t>114A4845E</t>
  </si>
  <si>
    <t>114-5820-000</t>
  </si>
  <si>
    <t>114A3273E</t>
  </si>
  <si>
    <t>114-5793-000</t>
  </si>
  <si>
    <t>01-39374B</t>
  </si>
  <si>
    <t>01-39393B</t>
  </si>
  <si>
    <t>114A4123C</t>
  </si>
  <si>
    <t>114-5759-000</t>
  </si>
  <si>
    <t>114A3941C</t>
  </si>
  <si>
    <t>114-5740-000</t>
  </si>
  <si>
    <t>114A1049B-1</t>
  </si>
  <si>
    <t>114-5335-000</t>
  </si>
  <si>
    <t>114-5336-000</t>
  </si>
  <si>
    <t>114A1735B-1</t>
  </si>
  <si>
    <t>114A1721</t>
  </si>
  <si>
    <t>114A4846D</t>
  </si>
  <si>
    <t>01-34311</t>
  </si>
  <si>
    <t>01-37069C</t>
  </si>
  <si>
    <t>01-18718</t>
  </si>
  <si>
    <t>114-5432-000</t>
  </si>
  <si>
    <t>114A2508F</t>
  </si>
  <si>
    <t>114-5567-000</t>
  </si>
  <si>
    <t>114A1637E</t>
  </si>
  <si>
    <t>114A3326F</t>
  </si>
  <si>
    <t>114A5096</t>
  </si>
  <si>
    <t>114-5590-000</t>
  </si>
  <si>
    <t>114A1167H</t>
  </si>
  <si>
    <t>114A4356E</t>
  </si>
  <si>
    <t>114A2141D</t>
  </si>
  <si>
    <t>114-5724-010</t>
  </si>
  <si>
    <t>01-39449</t>
  </si>
  <si>
    <t>114A4019</t>
  </si>
  <si>
    <t>114A4997</t>
  </si>
  <si>
    <t>114-5708-000</t>
  </si>
  <si>
    <t>114A5396B</t>
  </si>
  <si>
    <t>01-38506</t>
  </si>
  <si>
    <t>114A5055</t>
  </si>
  <si>
    <t>114A2546C-1</t>
  </si>
  <si>
    <t>114A2380F</t>
  </si>
  <si>
    <t>114-5695-000</t>
  </si>
  <si>
    <t>01-32324</t>
  </si>
  <si>
    <t>114A1866E</t>
  </si>
  <si>
    <t>01-37533</t>
  </si>
  <si>
    <t>01-35619</t>
  </si>
  <si>
    <t>114-5697-000</t>
  </si>
  <si>
    <t>114A2076C-1</t>
  </si>
  <si>
    <t>01-38251</t>
  </si>
  <si>
    <t>01-50690</t>
  </si>
  <si>
    <t>114A3495</t>
  </si>
  <si>
    <t>114-5680-000</t>
  </si>
  <si>
    <t>01-35668</t>
  </si>
  <si>
    <t>01-37913-8</t>
  </si>
  <si>
    <t>01-38799</t>
  </si>
  <si>
    <t>114A3264-1</t>
  </si>
  <si>
    <t>114A4585D</t>
  </si>
  <si>
    <t>01-34266</t>
  </si>
  <si>
    <t>01-38498</t>
  </si>
  <si>
    <t>01-39338</t>
  </si>
  <si>
    <t>01-36145</t>
  </si>
  <si>
    <t>114A2729</t>
  </si>
  <si>
    <t>01-37913-7</t>
  </si>
  <si>
    <t>114-5314</t>
  </si>
  <si>
    <t>114A2401B-1</t>
  </si>
  <si>
    <t>01-33446</t>
  </si>
  <si>
    <t>114A1146D</t>
  </si>
  <si>
    <t>114A5123</t>
  </si>
  <si>
    <t>114A0870E</t>
  </si>
  <si>
    <t>002-2135</t>
  </si>
  <si>
    <t>114A4360F</t>
  </si>
  <si>
    <t>01-32051G</t>
  </si>
  <si>
    <t>01-39058</t>
  </si>
  <si>
    <t>114-5682-000</t>
  </si>
  <si>
    <t>01-35771H</t>
  </si>
  <si>
    <t>114-5540-000</t>
  </si>
  <si>
    <t>114A3495E</t>
  </si>
  <si>
    <t>01-37362C</t>
  </si>
  <si>
    <t>114A3302C</t>
  </si>
  <si>
    <t>01-37239</t>
  </si>
  <si>
    <t>114A4009E</t>
  </si>
  <si>
    <t>114A2416D</t>
  </si>
  <si>
    <t>01-36083</t>
  </si>
  <si>
    <t>114A4569B</t>
  </si>
  <si>
    <t>01-37240</t>
  </si>
  <si>
    <t>114A4494C</t>
  </si>
  <si>
    <t>01-12198I</t>
  </si>
  <si>
    <t>114-5679-000</t>
  </si>
  <si>
    <t>114A5218</t>
  </si>
  <si>
    <t>114-5296-000</t>
  </si>
  <si>
    <t>01-51150</t>
  </si>
  <si>
    <t>114A4502C</t>
  </si>
  <si>
    <t>114A0944-1</t>
  </si>
  <si>
    <t>01-38122</t>
  </si>
  <si>
    <t>01-19256</t>
  </si>
  <si>
    <t>01-50738</t>
  </si>
  <si>
    <t>01-39070</t>
  </si>
  <si>
    <t>01-34310</t>
  </si>
  <si>
    <t>114A2685B</t>
  </si>
  <si>
    <t>01-38798</t>
  </si>
  <si>
    <t>01-658201E</t>
  </si>
  <si>
    <t>114-5577-000</t>
  </si>
  <si>
    <t>114-5792-000</t>
  </si>
  <si>
    <t>114A3394B-1</t>
  </si>
  <si>
    <t>01-36821</t>
  </si>
  <si>
    <t>114-5783-000</t>
  </si>
  <si>
    <t>114A4548C</t>
  </si>
  <si>
    <t>114A5045</t>
  </si>
  <si>
    <t>114-5694-000</t>
  </si>
  <si>
    <t>114A5159</t>
  </si>
  <si>
    <t>01-30966</t>
  </si>
  <si>
    <t>114-5638-000</t>
  </si>
  <si>
    <t>114A1656-1C-1</t>
  </si>
  <si>
    <t>114A1656C-1</t>
  </si>
  <si>
    <t>114A3943</t>
  </si>
  <si>
    <t>114-5698-000</t>
  </si>
  <si>
    <t>01-39108</t>
  </si>
  <si>
    <t>114A4121B</t>
  </si>
  <si>
    <t>114-5872-000</t>
  </si>
  <si>
    <t>01-16013</t>
  </si>
  <si>
    <t>01-34155</t>
  </si>
  <si>
    <t>01-36108</t>
  </si>
  <si>
    <t>114A2236C</t>
  </si>
  <si>
    <t>114A2238C</t>
  </si>
  <si>
    <t>114A3944B</t>
  </si>
  <si>
    <t>01-32632</t>
  </si>
  <si>
    <t>01-34371</t>
  </si>
  <si>
    <t>01-50688</t>
  </si>
  <si>
    <t>01-11341</t>
  </si>
  <si>
    <t>01-38130</t>
  </si>
  <si>
    <t>114-5530-000</t>
  </si>
  <si>
    <t>114A4383C</t>
  </si>
  <si>
    <t>114A3327C</t>
  </si>
  <si>
    <t>01-38505</t>
  </si>
  <si>
    <t>01-32046</t>
  </si>
  <si>
    <t>114-5882-000</t>
  </si>
  <si>
    <t>01-37976</t>
  </si>
  <si>
    <t>114A4658</t>
  </si>
  <si>
    <t>114A2668B-1</t>
  </si>
  <si>
    <t>01-32052H</t>
  </si>
  <si>
    <t>01-34513</t>
  </si>
  <si>
    <t>114A2381E</t>
  </si>
  <si>
    <t>01-32056</t>
  </si>
  <si>
    <t>114-5784-000</t>
  </si>
  <si>
    <t>01-35773E</t>
  </si>
  <si>
    <t>01-34250</t>
  </si>
  <si>
    <t>114-5421</t>
  </si>
  <si>
    <t>01-G0674</t>
  </si>
  <si>
    <t>0170U-1HP</t>
  </si>
  <si>
    <t>114A2058J-1</t>
  </si>
  <si>
    <t>01-38123</t>
  </si>
  <si>
    <t>01-32479</t>
  </si>
  <si>
    <t>114-5693-000</t>
  </si>
  <si>
    <t>114-5499-000</t>
  </si>
  <si>
    <t>114A1618G</t>
  </si>
  <si>
    <t>01-35772</t>
  </si>
  <si>
    <t>114A1545</t>
  </si>
  <si>
    <t>114A2776C-1</t>
  </si>
  <si>
    <t>114A4998</t>
  </si>
  <si>
    <t>114-5482-000</t>
  </si>
  <si>
    <t>01-504001</t>
  </si>
  <si>
    <t>01-11241</t>
  </si>
  <si>
    <t>01-12502C</t>
  </si>
  <si>
    <t>01-39057</t>
  </si>
  <si>
    <t>114-5453-000</t>
  </si>
  <si>
    <t>114A3314B-1</t>
  </si>
  <si>
    <t>01-33629</t>
  </si>
  <si>
    <t>114A2787D</t>
  </si>
  <si>
    <t>01-34584</t>
  </si>
  <si>
    <t>114A5124</t>
  </si>
  <si>
    <t>01-50450</t>
  </si>
  <si>
    <t>114A1939F-1</t>
  </si>
  <si>
    <t>01-37913-9</t>
  </si>
  <si>
    <t>114A1166E-1</t>
  </si>
  <si>
    <t>01-39011</t>
  </si>
  <si>
    <t>01-35675</t>
  </si>
  <si>
    <t>01-30970</t>
  </si>
  <si>
    <t>114A4589</t>
  </si>
  <si>
    <t>114A2475D-1</t>
  </si>
  <si>
    <t>114-5524</t>
  </si>
  <si>
    <t>01-32675</t>
  </si>
  <si>
    <t>01-32630</t>
  </si>
  <si>
    <t>114A2800E</t>
  </si>
  <si>
    <t>114-5782-000</t>
  </si>
  <si>
    <t>114-5478-000</t>
  </si>
  <si>
    <t>114-5702-000</t>
  </si>
  <si>
    <t>10189</t>
  </si>
  <si>
    <t>01-37342</t>
  </si>
  <si>
    <t>01-39132</t>
  </si>
  <si>
    <t>01-18134</t>
  </si>
  <si>
    <t>01-31376</t>
  </si>
  <si>
    <t>01-19266</t>
  </si>
  <si>
    <t>01-10701</t>
  </si>
  <si>
    <t>01-11859</t>
  </si>
  <si>
    <t>01-37913-10</t>
  </si>
  <si>
    <t>114A4804</t>
  </si>
  <si>
    <t>114A3554B</t>
  </si>
  <si>
    <t>114A4006</t>
  </si>
  <si>
    <t>01-32627</t>
  </si>
  <si>
    <t>114-5881-000</t>
  </si>
  <si>
    <t>01-32939</t>
  </si>
  <si>
    <t>01-36563D</t>
  </si>
  <si>
    <t>01-34262</t>
  </si>
  <si>
    <t>01-60229</t>
  </si>
  <si>
    <t>01-12496</t>
  </si>
  <si>
    <t>01-31377</t>
  </si>
  <si>
    <t>01-12785</t>
  </si>
  <si>
    <t>114-5795-000</t>
  </si>
  <si>
    <t>114A2766B-1</t>
  </si>
  <si>
    <t>01-35654</t>
  </si>
  <si>
    <t>01-32628</t>
  </si>
  <si>
    <t>01-33464B</t>
  </si>
  <si>
    <t>01-32940</t>
  </si>
  <si>
    <t>01-37792B</t>
  </si>
  <si>
    <t>01-12574</t>
  </si>
  <si>
    <t>114A1493</t>
  </si>
  <si>
    <t>114A4910B</t>
  </si>
  <si>
    <t>01-17033</t>
  </si>
  <si>
    <t>01-19542</t>
  </si>
  <si>
    <t>01-13404</t>
  </si>
  <si>
    <t>01-37890</t>
  </si>
  <si>
    <t>114A3383</t>
  </si>
  <si>
    <t>114-5585</t>
  </si>
  <si>
    <t>01-31099F</t>
  </si>
  <si>
    <t>114A2514E</t>
  </si>
  <si>
    <t>114-5536-000</t>
  </si>
  <si>
    <t>114A3919</t>
  </si>
  <si>
    <t>114-5344</t>
  </si>
  <si>
    <t>01-CQR294</t>
  </si>
  <si>
    <t>01-32629</t>
  </si>
  <si>
    <t>114-5450-000</t>
  </si>
  <si>
    <t>01-32631</t>
  </si>
  <si>
    <t>01-18328</t>
  </si>
  <si>
    <t>01-11960</t>
  </si>
  <si>
    <t>01-33601</t>
  </si>
  <si>
    <t>01-30969</t>
  </si>
  <si>
    <t>01-37913-4</t>
  </si>
  <si>
    <t>01-13162</t>
  </si>
  <si>
    <t>114-5527-000</t>
  </si>
  <si>
    <t>114A4839B</t>
  </si>
  <si>
    <t>01-20500</t>
  </si>
  <si>
    <t>01-35681</t>
  </si>
  <si>
    <t>01-32694</t>
  </si>
  <si>
    <t>114A5205</t>
  </si>
  <si>
    <t>114A3355-1</t>
  </si>
  <si>
    <t>10191</t>
  </si>
  <si>
    <t>01-12497</t>
  </si>
  <si>
    <t>01-39485</t>
  </si>
  <si>
    <t>114A3349</t>
  </si>
  <si>
    <t>002-2203-000</t>
  </si>
  <si>
    <t>01-34360</t>
  </si>
  <si>
    <t>01-34372</t>
  </si>
  <si>
    <t>114A5176</t>
  </si>
  <si>
    <t>01-20506</t>
  </si>
  <si>
    <t>114A5174</t>
  </si>
  <si>
    <t>01-20511</t>
  </si>
  <si>
    <t>01-12501</t>
  </si>
  <si>
    <t>01-19911</t>
  </si>
  <si>
    <t>01-G1014</t>
  </si>
  <si>
    <t>01-51004</t>
  </si>
  <si>
    <t>01-12151</t>
  </si>
  <si>
    <t>01-36191</t>
  </si>
  <si>
    <t>01-39131</t>
  </si>
  <si>
    <t>01-19294</t>
  </si>
  <si>
    <t>01-17150</t>
  </si>
  <si>
    <t>01-12495</t>
  </si>
  <si>
    <t>01-12575</t>
  </si>
  <si>
    <t>114A4094C</t>
  </si>
  <si>
    <t>01-34548</t>
  </si>
  <si>
    <t>01-12853</t>
  </si>
  <si>
    <t>114A1617D-1</t>
  </si>
  <si>
    <t>01-36721</t>
  </si>
  <si>
    <t>01-37078</t>
  </si>
  <si>
    <t>01-50745</t>
  </si>
  <si>
    <t>114-5583-000</t>
  </si>
  <si>
    <t>01-13419</t>
  </si>
  <si>
    <t>01-51003</t>
  </si>
  <si>
    <t>114A3500B</t>
  </si>
  <si>
    <t>01-18573</t>
  </si>
  <si>
    <t>01-39483</t>
  </si>
  <si>
    <t>01-35254</t>
  </si>
  <si>
    <t>01-38204</t>
  </si>
  <si>
    <t>0201-2HP</t>
  </si>
  <si>
    <t>709487</t>
  </si>
  <si>
    <t>114A4478</t>
  </si>
  <si>
    <t>114A5200</t>
  </si>
  <si>
    <t>01-13401</t>
  </si>
  <si>
    <t>01-35399</t>
  </si>
  <si>
    <t>114-5814-000</t>
  </si>
  <si>
    <t>114-5347</t>
  </si>
  <si>
    <t>01-18373</t>
  </si>
  <si>
    <t>01-39542-000</t>
  </si>
  <si>
    <t>114-5280-000</t>
  </si>
  <si>
    <t>01-12792</t>
  </si>
  <si>
    <t>01-19296</t>
  </si>
  <si>
    <t>01-12197</t>
  </si>
  <si>
    <t>01-31098E</t>
  </si>
  <si>
    <t>01-35674</t>
  </si>
  <si>
    <t>01-36121</t>
  </si>
  <si>
    <t>114A1490D-1</t>
  </si>
  <si>
    <t>114A1925B-1</t>
  </si>
  <si>
    <t>01-18840</t>
  </si>
  <si>
    <t>114-5812-000</t>
  </si>
  <si>
    <t>114A5048</t>
  </si>
  <si>
    <t>01-12504</t>
  </si>
  <si>
    <t>01-31101</t>
  </si>
  <si>
    <t>114A2531D</t>
  </si>
  <si>
    <t>01-19973</t>
  </si>
  <si>
    <t>01-34679</t>
  </si>
  <si>
    <t>114A4549B</t>
  </si>
  <si>
    <t>114A4103</t>
  </si>
  <si>
    <t>01-35317</t>
  </si>
  <si>
    <t>01-12784</t>
  </si>
  <si>
    <t>114A5197</t>
  </si>
  <si>
    <t>01-15519</t>
  </si>
  <si>
    <t>114A1189E</t>
  </si>
  <si>
    <t>01-36720</t>
  </si>
  <si>
    <t>114A5198</t>
  </si>
  <si>
    <t>114A5206</t>
  </si>
  <si>
    <t>114-5537-000</t>
  </si>
  <si>
    <t>01-35775</t>
  </si>
  <si>
    <t>01-35777</t>
  </si>
  <si>
    <t>01-13417</t>
  </si>
  <si>
    <t>01-13403</t>
  </si>
  <si>
    <t>01-36200</t>
  </si>
  <si>
    <t>01-50400</t>
  </si>
  <si>
    <t>01-34361</t>
  </si>
  <si>
    <t>01-19297</t>
  </si>
  <si>
    <t>01-39484</t>
  </si>
  <si>
    <t>01-12485</t>
  </si>
  <si>
    <t>01-32737</t>
  </si>
  <si>
    <t>01-34505</t>
  </si>
  <si>
    <t>114A5080</t>
  </si>
  <si>
    <t>01-34362</t>
  </si>
  <si>
    <t>01-13035</t>
  </si>
  <si>
    <t>01-33328</t>
  </si>
  <si>
    <t>01-12505</t>
  </si>
  <si>
    <t>01-33389</t>
  </si>
  <si>
    <t>114-5234</t>
  </si>
  <si>
    <t>01-18371</t>
  </si>
  <si>
    <t>10207-15HP</t>
  </si>
  <si>
    <t>CARD,REGISTRATION,PRODUCT,CHAMBERLAIN</t>
  </si>
  <si>
    <t>MANUAL, BLDC INDUSTRIAL, FRENCH</t>
  </si>
  <si>
    <t>MANUAL, BLDC INDUSTRIAL</t>
  </si>
  <si>
    <t>WIRING-DIAGRAM,RSW12UL</t>
  </si>
  <si>
    <t>MANUAL,ADDENDUM</t>
  </si>
  <si>
    <t>AINSTR,INSTALL,CPSUN4G-1</t>
  </si>
  <si>
    <t>MANUAL,OWNERS,MA-DC-BB &amp; MAT-DC-BB</t>
  </si>
  <si>
    <t>CARD,CUSTOMER-FEEDBACK</t>
  </si>
  <si>
    <t>INSTR,RCVR,3-CHNL,850LM/860LM,ENG/FR/SP</t>
  </si>
  <si>
    <t>INSTR,WARNING,"DISCONNECT OUTLET BOX"</t>
  </si>
  <si>
    <t>INSTR,KIT,SVC,JUNCTION-BOX,EXT</t>
  </si>
  <si>
    <t>USER-GUIDE,QUICK-START,MEGA-ARM</t>
  </si>
  <si>
    <t>ADDENDUM,MA/MAS/MAT/MAST SPEED</t>
  </si>
  <si>
    <t>INSTR,INSTALL,STD-HD,HINGES</t>
  </si>
  <si>
    <t>CHECKLIST,QUALITY-CONTROL</t>
  </si>
  <si>
    <t>INSTR,KIT,SVC,SEQ ACCESS MANAGEMENT,SY</t>
  </si>
  <si>
    <t>USER-GUIDE,BMT,MGJ,MHS,MJ,MT</t>
  </si>
  <si>
    <t>BOOKLET,PARTS,MD,REPLACEMENT</t>
  </si>
  <si>
    <t>USER-GUIDE,QUICK-START,MGJ,MH,MHS,MJ</t>
  </si>
  <si>
    <t>USER-GUIDE,QUICK-START,MT/BMT5011U</t>
  </si>
  <si>
    <t>ADDENDUM,L5,LM,DAMP-ENVIRONMENT</t>
  </si>
  <si>
    <t>ADDENDUM,BH,W/BRKT,ROLLER-BEARING</t>
  </si>
  <si>
    <t>INSTR,KIT,SVC,ROLLER-BEARING,3/4"</t>
  </si>
  <si>
    <t>INSTR,KIT,LIMIT-SW,AUX,W/WIRE-LEADS</t>
  </si>
  <si>
    <t>ADDENDUM,MANUAL,CDO UL</t>
  </si>
  <si>
    <t>GREEN,PLACARD,GENERIC</t>
  </si>
  <si>
    <t>MANUAL,OWNERS,12 LANG 4210/4410-433 EURO</t>
  </si>
  <si>
    <t>MANUAL,OWERS,889LM</t>
  </si>
  <si>
    <t>MANUAL,OWNER,PURCHASED,G5111SA</t>
  </si>
  <si>
    <t>INSTR,REMOTES,892 &amp; 894LT</t>
  </si>
  <si>
    <t>INSTR,INSTALL,ACCESORY,CHAMBERLAIN</t>
  </si>
  <si>
    <t>INSTR,INSTALL,WARNING-SHEET</t>
  </si>
  <si>
    <t>BULLETIN,24VDC GO BD COMPATIBILITY</t>
  </si>
  <si>
    <t>MANUAL,OWNERS,374UT,REMOTE</t>
  </si>
  <si>
    <t>TAG,SOLAR,LA412</t>
  </si>
  <si>
    <t>INSTR,INSTALL,KLIK2U,KEYLESS-ENTRY</t>
  </si>
  <si>
    <t>WIRING DIAGRAM, HCTDCUL</t>
  </si>
  <si>
    <t>INSTR,MOTION,881LMW/882LMW/886LMW</t>
  </si>
  <si>
    <t>MANUAL, ASSY, MERIK,411W</t>
  </si>
  <si>
    <t>MANUAL,OWNERS,MT5011U/BMT5011U</t>
  </si>
  <si>
    <t>BBU Insert, LM</t>
  </si>
  <si>
    <t>MANUAL,OWNERS,INSTALL,LA412UL,ENG</t>
  </si>
  <si>
    <t>MANUAL,OWNERS,INSTALL,LA412UL,FRN</t>
  </si>
  <si>
    <t>MANUAL ASSY,PURCHASED,COM,LJ8950W</t>
  </si>
  <si>
    <t>MANUAL,OWNERS,INSTALL,RSL12UL, ENG</t>
  </si>
  <si>
    <t>MANUAL,OWNERS,INSTALL,RSL12UL, FRN</t>
  </si>
  <si>
    <t>INSTR,INSTALL,PASSPORT MAX,REMOTE-CNTRL</t>
  </si>
  <si>
    <t>MANUAL,OWNERS,GSD-SDO</t>
  </si>
  <si>
    <t>PARTS-LIST,L5,LM,LOGIC-PCB</t>
  </si>
  <si>
    <t>MANUAL, 1-BUTTON TRANSMITTER</t>
  </si>
  <si>
    <t>INSTR,SHEET,SVC KIT,DC,UL</t>
  </si>
  <si>
    <t>INSTR,INSTALL,KEYPAD,CM,SBD</t>
  </si>
  <si>
    <t>USER-GUIDE,DC,WiFi,FTB,DLL,MERIK</t>
  </si>
  <si>
    <t>GUIDE,QUICK-INSTALL,RJO, ANZ</t>
  </si>
  <si>
    <t>MANUAL,OWNERS,G885LM</t>
  </si>
  <si>
    <t>INSTR,SHEET,SVC KIT,LA,UL</t>
  </si>
  <si>
    <t>MANUAL, OWNERS, SL3000UL, ENG</t>
  </si>
  <si>
    <t>MANUAL, OWNERS, SL3000UL, FRN</t>
  </si>
  <si>
    <t>INSTR,INSTALL,BEARING,HARDWARE-REPLACEME</t>
  </si>
  <si>
    <t>INSTR,INSTALL,KEYPAD,UNIV,CM,SBD</t>
  </si>
  <si>
    <t>QUICK START GUIDE, CAPXL</t>
  </si>
  <si>
    <t>MANUAL, MC100AMLR</t>
  </si>
  <si>
    <t>ART,USER MANUAL,PRO,FALCON,84505RRGD</t>
  </si>
  <si>
    <t>ASSY,PURCH,MANUAL,BELT,ENG</t>
  </si>
  <si>
    <t>INSTR,INSTALL,TRAVEL MODULE,MODEL 41D77</t>
  </si>
  <si>
    <t>INSTR,SMART,CONTROL-PANEL,880LMW</t>
  </si>
  <si>
    <t>INSTR,INSTALL,G893MAX-LNK</t>
  </si>
  <si>
    <t>INSTR,SHEET,INSTALL,IR,EURO</t>
  </si>
  <si>
    <t>ASSY,MANL,OWNERS,T/U,CHN,SLL,LA</t>
  </si>
  <si>
    <t>INSTRUCT,LOGIC-BOARD,050DCTBFMC</t>
  </si>
  <si>
    <t>INSTR,INSTALL,INSERT,USDC,ENG/SPN</t>
  </si>
  <si>
    <t>INSTR,KIT,SVC,LOOP-DETECTOR,LM</t>
  </si>
  <si>
    <t>MANUAL,AC,DLX,CHAIN,ENG</t>
  </si>
  <si>
    <t>INSTR,INSTALL,TX,3-BTN,UNIV,CM,SBD</t>
  </si>
  <si>
    <t>USER-GUIDE,LM,INTERNET-GATEWAY,SERIES</t>
  </si>
  <si>
    <t>MANUAL,OWNERS,KLIK5C-BK2,KLIK5C-SS</t>
  </si>
  <si>
    <t>ILLUSTRATION,GENERIC,4210/4410,EURO</t>
  </si>
  <si>
    <t>INSTR,INSTALL,G935EV/G935EVC/041A7317-1</t>
  </si>
  <si>
    <t>INSTR,INSTALL,SVC,MODULE,TRAVEL</t>
  </si>
  <si>
    <t>INSTR,INSTALL,G970LM-SERIES,TRANMITTER</t>
  </si>
  <si>
    <t>INSTR,INSTALL,HOMELINK,RPTR</t>
  </si>
  <si>
    <t>MANUAL,AC,ST,CHAIN,ENG</t>
  </si>
  <si>
    <t>MANUAL, OWNERS, INSTALL, HDSL24UL, ENGLI</t>
  </si>
  <si>
    <t>MANUAL, OWNERS, INSTALL, HDSL24UL, FRENC</t>
  </si>
  <si>
    <t>MANUAL,OWNERS,HCTDCUL</t>
  </si>
  <si>
    <t>MANUAL,OWNERS,INSTALL,RSW12UL, ENG</t>
  </si>
  <si>
    <t>MANUAL,OWNERS,INSTALL,RSW12UL, FRN</t>
  </si>
  <si>
    <t>INSTRUCT,LOGIC-BOARD,050ACTWFMC</t>
  </si>
  <si>
    <t>MANUAL,OWNERS,REMOTE,MC100</t>
  </si>
  <si>
    <t>ART,USER MANUAL,PRO,FALCON,87504RRGD-267</t>
  </si>
  <si>
    <t>INSTR,INSTALL,485-SERIES</t>
  </si>
  <si>
    <t>INSTRUCT,LOGIC-BOARD,045DCTMC</t>
  </si>
  <si>
    <t>MANUAL,OWNERS,CSW200UL,ENG</t>
  </si>
  <si>
    <t>MANUAL,OWNERS,CSW200UL,FRN</t>
  </si>
  <si>
    <t>INSTR,INSTALL,G312HM/G412HM</t>
  </si>
  <si>
    <t>MANUAL,PURCHASED,COM,DDO8900W</t>
  </si>
  <si>
    <t>INSTR,INSTALL,G877MGX</t>
  </si>
  <si>
    <t>MANUAL,PURCHASED,CB, RJO</t>
  </si>
  <si>
    <t>INSTR,INSTALL,ROPE-REPLACEMENT</t>
  </si>
  <si>
    <t>MANUAL, OWNERS, INSTALL, SW24UL, ENGLISH</t>
  </si>
  <si>
    <t>MANUAL, OWNERS, INSTALL, SW24UL, FRENCH</t>
  </si>
  <si>
    <t>INSTR,INSTALL,LM,12'-14',DOOR</t>
  </si>
  <si>
    <t>BROCHURE,SAFETY,ENG/FR-NLA</t>
  </si>
  <si>
    <t>MANUAL,OWNERS,374UT</t>
  </si>
  <si>
    <t>INSTR,KIT,SVC,OMNI-BOARD</t>
  </si>
  <si>
    <t>MANUAL,OWNERS,LA500CONTDC,XLMDC,ENG</t>
  </si>
  <si>
    <t>INSTR,KIT,CHAIN-TENSIONER,SVC</t>
  </si>
  <si>
    <t>ASSY,PURCHASED, MANUAL,DC,PHX,RAYNOR</t>
  </si>
  <si>
    <t>INSTR,INSTALL,LM RX/LX,TU,PNL-ASSY</t>
  </si>
  <si>
    <t>INSTR,INSTALL,ACCESORY,SBD</t>
  </si>
  <si>
    <t>MANUAL,OWNERS,G760E</t>
  </si>
  <si>
    <t>INSTR,KIT,SVC,BATTERY-REPLACEMENT</t>
  </si>
  <si>
    <t>INSTR,INSTALL,EVO DB PACK-IN,WiFi</t>
  </si>
  <si>
    <t>GUIDE,QUICK-INSTALL,RJO, EMEAA</t>
  </si>
  <si>
    <t>INSTR,KIT,SVC,041A2817</t>
  </si>
  <si>
    <t>INSTR,KIT,SVC,MTR,REPLACEMENT</t>
  </si>
  <si>
    <t>INSTR,INSTALL,CGI/LM QUICK REL ASY</t>
  </si>
  <si>
    <t>MANUAL,AC,3/4,CHAIN,ENG</t>
  </si>
  <si>
    <t>INSTR,SHEET,SVC KIT,AC,UL</t>
  </si>
  <si>
    <t>INSTR,KIT,SVC,041A7185-1,MFCP</t>
  </si>
  <si>
    <t>MANUAL, 841LM AUTO GARAGE DOOR LOCK</t>
  </si>
  <si>
    <t>USER GUIDE,INSTALL,INST,8500C</t>
  </si>
  <si>
    <t>MANUAL,DB100</t>
  </si>
  <si>
    <t>GUIDE,QUICK-START,GSD-SDO</t>
  </si>
  <si>
    <t>GUIDE,QUICK-START,WiFi</t>
  </si>
  <si>
    <t>INSTR,INSTALL,GEAR/SPRKT,BELT-DRIVE</t>
  </si>
  <si>
    <t>INSTR,INSTALL,LM,WALL-CONTROL</t>
  </si>
  <si>
    <t>INSTR,SHEET,INSTALL,GATEWAY</t>
  </si>
  <si>
    <t>INSTR,KIT,SVC,PCB-REPLACEMENT</t>
  </si>
  <si>
    <t>INSTR,KIT,SVC,41C4398,RPM-SENSOR</t>
  </si>
  <si>
    <t>SHEET,WARNING,L5,SVC-KITS</t>
  </si>
  <si>
    <t>INSTR,KIT,SVC,PCB REPLACEMENT,L4</t>
  </si>
  <si>
    <t>INSTR,INSTALL,433.92MHZ,TC,RC,LM</t>
  </si>
  <si>
    <t>CARD,WARRANTY,4410E-SERIES,12-LANGUAGES</t>
  </si>
  <si>
    <t>INSTR,KIT,SVC,J15,HARNESS,ADAPTER</t>
  </si>
  <si>
    <t>MANUAL,OWNERS,INST/POWER,HINGE</t>
  </si>
  <si>
    <t>INSTR,INSTALL,G387LM,KEYLESS-ENTRY</t>
  </si>
  <si>
    <t>INSTR,INSTALL,ARC,STAR1000</t>
  </si>
  <si>
    <t>INSTR,KIT,SVC,TLS1CARD</t>
  </si>
  <si>
    <t>WIRING-DIAGRAM,CSL24U</t>
  </si>
  <si>
    <t>INSTR,INSTALL,ADJUSTABLE,HINGES</t>
  </si>
  <si>
    <t>INSTR,INSTALL,SHEET,G115MC</t>
  </si>
  <si>
    <t>MANUAL,OWNERS,G890RGX/G893RGX</t>
  </si>
  <si>
    <t>INSTR,CPS,EXT-ANT,E/F/S</t>
  </si>
  <si>
    <t>INSTR,XFMR,900VA</t>
  </si>
  <si>
    <t>INSTR,INSTALL,KIT,SVC,LA500,TROLLEY NUT</t>
  </si>
  <si>
    <t>INSTR,KIT,SVC,CPS-INSTALL</t>
  </si>
  <si>
    <t>INSTR,KIT,SVC,14'-RAIL,EXT.</t>
  </si>
  <si>
    <t>WIRING-DIAGRAM,CSW24U</t>
  </si>
  <si>
    <t>ILLUSTRATION LM3800TXSA</t>
  </si>
  <si>
    <t>INSTR,INSTALL,IR,EXTENTION,BRK</t>
  </si>
  <si>
    <t>USER-GUIDE,QUICK-START,INSTALL,OMNI-PCB</t>
  </si>
  <si>
    <t>INSTR,KIT,SVC,TROLLEY</t>
  </si>
  <si>
    <t>INSTR,KIT,SVC,MODULE,TRAVEL,RJO</t>
  </si>
  <si>
    <t>INSTR,KIT,SVC,041D3013</t>
  </si>
  <si>
    <t>MANUAL,OWNERS,LM3800TXSA</t>
  </si>
  <si>
    <t>INSTR,KIT,SVC,041DSVC</t>
  </si>
  <si>
    <t>MANUAL,OWNERS,LM-21XPBB/VB,REL-DEVICE</t>
  </si>
  <si>
    <t>PARTS-LIST,L5,LM,POWER-PCB,1PH</t>
  </si>
  <si>
    <t>INSTR,INSTALL,ARC,G860LM</t>
  </si>
  <si>
    <t>ART,MANUAL,OWNERS,FDO AU &amp; BU</t>
  </si>
  <si>
    <t>MANUAL,OWNER,GATEWAY,ANZ</t>
  </si>
  <si>
    <t>INSTR,KIT,SVC,PWR-PCB,REPLACEMENT,3PH,EN</t>
  </si>
  <si>
    <t>INSTR,KIT,SVC,041DJ001</t>
  </si>
  <si>
    <t>INSTR,KIT,SVC,BATTERY-HARNESS</t>
  </si>
  <si>
    <t>INSTR,KIT,SVC,CGI,SMART,041A7305-1</t>
  </si>
  <si>
    <t>INSTR,INSTALL,SVC IR W/3PC BRKT</t>
  </si>
  <si>
    <t>MANUAL,OWNERS,CPS</t>
  </si>
  <si>
    <t>INSTR,INSTALL,LOGIC PCB W/PLATE</t>
  </si>
  <si>
    <t>INSTR,HTR-INSTALL</t>
  </si>
  <si>
    <t>INSTR,INSTALL,REMOTE-CONTROLS,PASSPORT</t>
  </si>
  <si>
    <t>INSTR,DUAL-TROLLEY,#41 &amp; #48</t>
  </si>
  <si>
    <t>MANUAL,OWNERS,PPWR,PASSPORT,E/F/S</t>
  </si>
  <si>
    <t>GUIDE,QUICK-START,WIFI,TRLY</t>
  </si>
  <si>
    <t>LM3800W Declaration Conformity</t>
  </si>
  <si>
    <t>INSTR,INSTALL,PEDESTAL-PLATE</t>
  </si>
  <si>
    <t>INSTR,KIT,SVC,MOTOR-,MVIS</t>
  </si>
  <si>
    <t>INSTR,KIT,SVC,SAFETY-REVERSE</t>
  </si>
  <si>
    <t>INSTR,AUX-LIMIT,SWITCH,WIRE-LEADS</t>
  </si>
  <si>
    <t>INSTR,KIT,SVC,GL-CONTROLLER</t>
  </si>
  <si>
    <t>MANUAL,OWNERS,SRG,PRT,MOD,OM</t>
  </si>
  <si>
    <t>INSTR,KIT,SVC,SHAFT</t>
  </si>
  <si>
    <t>INSTR,KIT,SVC,EXTERNAL-RESET</t>
  </si>
  <si>
    <t>INSTR,INSTALL,MFG,CHAIN-EXT</t>
  </si>
  <si>
    <t>INSTR,INSTALL,GORILLA,G-KING,HINGES</t>
  </si>
  <si>
    <t>INSTR,KIT,SVC,PNEUMATIC-EDGE</t>
  </si>
  <si>
    <t>OWNER MANUAL GATEWAY ANZ</t>
  </si>
  <si>
    <t>INSTRUCT,LOGIC-BOARD,050DCRJWFMC</t>
  </si>
  <si>
    <t>INSTR,KIT,SVC,RJO,ALT,MTG</t>
  </si>
  <si>
    <t>INSTR,SVC,V-BELT,BRAKE,T,J,H,ENG/FRN</t>
  </si>
  <si>
    <t>INSTR,KIT,SVC,BOARD,LOGIC,SECT-DR,CJO</t>
  </si>
  <si>
    <t>INSTR,INSTALL,MOTOR REPLACEMENT,41D794</t>
  </si>
  <si>
    <t>INSTR,KIT,SVC,INTERCONNECT,041A7928-3MC</t>
  </si>
  <si>
    <t>COLLAR SVC KIT INSTALL INSTR</t>
  </si>
  <si>
    <t>MANUAL,OWNERS,GH,MECH</t>
  </si>
  <si>
    <t>MANUAL, MOUNTING RISER</t>
  </si>
  <si>
    <t>INSTR,INSTALL,SHEET,M18E,TEST-SET</t>
  </si>
  <si>
    <t>MANUAL,OWNERS,891RGD/893RGD</t>
  </si>
  <si>
    <t>INSTR,INSTALL,ARC,860EV</t>
  </si>
  <si>
    <t>INSTR,KIT,DRUMBRAKE,L5</t>
  </si>
  <si>
    <t>INSTR,INSTALL,G365LM/G365LM</t>
  </si>
  <si>
    <t>YELLOW PLACARD, WINGSTACK, KLIK5U-36HDMC</t>
  </si>
  <si>
    <t>MANUAL,OWNERS,CDO,PROTECTOR-SYSTEM</t>
  </si>
  <si>
    <t>INSTR,KIT,SVC,UPGRADE,OMNI,CONTROL-PCB</t>
  </si>
  <si>
    <t>ADDENDUM,RED/GREEN,L4,RDGRNTL</t>
  </si>
  <si>
    <t>INSTR,KIT,SVC,WALL-CONTROL,R/C</t>
  </si>
  <si>
    <t>INSTR,KIT,SVC,CD,RX/LX,R/C</t>
  </si>
  <si>
    <t>INSTR,KIT,SVC,DOORBELL,BTN,041A7367-3</t>
  </si>
  <si>
    <t>INSTR,KIT,SVC,K001A5566-3</t>
  </si>
  <si>
    <t>INSTR,KIT,SVC,PCB-ASSY,2010</t>
  </si>
  <si>
    <t>MANUAL,OWNERS,INST/MAGLOCK,MG1300</t>
  </si>
  <si>
    <t>INSTR,KIT,SVC,V-BELT,BRAKE</t>
  </si>
  <si>
    <t>INSTR,HEATER-KIT,HTRNB</t>
  </si>
  <si>
    <t>INSTRUCTION LIFTMASTER LIGHT POD ASSY</t>
  </si>
  <si>
    <t>INSTR,INSTALL,E840M</t>
  </si>
  <si>
    <t>INSTR,INSTALL,G378LM,WWC</t>
  </si>
  <si>
    <t>USER-GUIDE,LM,L5,ARABIC</t>
  </si>
  <si>
    <t>MANUAL,OWNERS,LIFTMASTER-XP</t>
  </si>
  <si>
    <t>INSTR,INSTALL,RCVR,UNIV,3-CHNL,E8003</t>
  </si>
  <si>
    <t>ADDENDUM,N4/N4X,L5</t>
  </si>
  <si>
    <t>ADDENDUM,MOTOR,CSW200UL/SL3000UL</t>
  </si>
  <si>
    <t>INSTR,INSTALL,ANTENNA,KIT,W/F-CONNECTOR</t>
  </si>
  <si>
    <t>MANUAL,OWNERS,FIRE SENTINEL,O/H,XPBB/VB</t>
  </si>
  <si>
    <t>ADDENDUM,TRANSFORMER,ROBO</t>
  </si>
  <si>
    <t>INSTR,INSTALL,SHEET,G945CB</t>
  </si>
  <si>
    <t>CARD,WARRANTY,XP/AFCB-MODELS</t>
  </si>
  <si>
    <t>INSTR,KIT,SVC,BOARD,LOGIC,ATSWMC</t>
  </si>
  <si>
    <t>MANUAL,OWNERS,FDCL,U,UL325</t>
  </si>
  <si>
    <t>USER-GUIDE,QUICK-START,INSTALL,CPS-EI</t>
  </si>
  <si>
    <t>828EVK,MANUAL,OWNERS,IR,35</t>
  </si>
  <si>
    <t>MANUAL,OWNERS,BG770 &amp; BG790</t>
  </si>
  <si>
    <t>WIRING-DIAGRAM,1HP,FUSED,PRI</t>
  </si>
  <si>
    <t>INSTR,INSTALL,4330E,TX</t>
  </si>
  <si>
    <t>INSTR, KIT,SVC,COUNTER,NON-RESETTABLE</t>
  </si>
  <si>
    <t>ADDENDUM,LA400,OWNERS MANUAL</t>
  </si>
  <si>
    <t>MANUAL,OWNERS,889RGD</t>
  </si>
  <si>
    <t>INSTR,INSTALL,E840MR</t>
  </si>
  <si>
    <t>INSTR,INSTALL,2-WIRE,MULTI-FUNCTION</t>
  </si>
  <si>
    <t>MANUAL,OWNERS,FDC,U,UL325</t>
  </si>
  <si>
    <t>INSTR,INSTALL,SHEET,GJ,HOOD-MOUNT</t>
  </si>
  <si>
    <t>INSTR,INSTALL,LM,3-CHNL,MINI,TX,EURO</t>
  </si>
  <si>
    <t>INSTR,INSTALL,E860</t>
  </si>
  <si>
    <t>MANUAL, DISPLAY REPLACEMENT KIT</t>
  </si>
  <si>
    <t>INSTR,KIT,SVC,ROLLING-DOOR,INTERLOCK</t>
  </si>
  <si>
    <t>INSTR,KIT,SVC,HOIST,MANUAL,#48</t>
  </si>
  <si>
    <t>INSTR,KIT,SVC,OUTPUT-SHAFT</t>
  </si>
  <si>
    <t>PARTS-LIST,L5,LM,N4/4X,POWER-PCB</t>
  </si>
  <si>
    <t>MANUAL, INSTRUCTIONS, DISPLAY REPLACE KT</t>
  </si>
  <si>
    <t>INSTR,INSTALL,G380LM/380LMC</t>
  </si>
  <si>
    <t>INSTR,KIT,SVC,MODEL-UN201,HEATER</t>
  </si>
  <si>
    <t>INSTR,KIT,SVC,REPLACEMENT,BATTERY-BB</t>
  </si>
  <si>
    <t>INSTR,KIT,SVC,PCB,LA412</t>
  </si>
  <si>
    <t>INSTR,KIT,SVC,MOTOR</t>
  </si>
  <si>
    <t>INSTR,KIT,SVC,SECTIONAL,DOOR-LOCKBAR</t>
  </si>
  <si>
    <t>INSTR,INSTALL,SHEET,G423LM ENG/FRN</t>
  </si>
  <si>
    <t>WIRING-DIAGRAM,RSW12U</t>
  </si>
  <si>
    <t>INSTR,INSTALL,ANTENNA,GENERIC,EXT-KIT</t>
  </si>
  <si>
    <t>INSTR,CURRENT-SENSE</t>
  </si>
  <si>
    <t>MANUAL,OWNERS,T MECHANICAL</t>
  </si>
  <si>
    <t>MANUAL,OWNERS,ITO73</t>
  </si>
  <si>
    <t>INSTR,KIT,SVC,RX/LX,LPSD,PNL</t>
  </si>
  <si>
    <t>SHEET DOL/DOC,LA400EV</t>
  </si>
  <si>
    <t>MANUAL,OWNERS,LIFTMASTER,LMAFCB</t>
  </si>
  <si>
    <t>INSTR,KIT,SVC,75-34790</t>
  </si>
  <si>
    <t>MANUAL,OWNERS,G475LMK,BB</t>
  </si>
  <si>
    <t>INSTR,KIT,SVC,BOARD,LOGIC,RLG-DR,CJO</t>
  </si>
  <si>
    <t>INSERT,PROD.BUNDLE,LENS,QUICKSILVER</t>
  </si>
  <si>
    <t>MANUAL,OWNERS,LA400EV</t>
  </si>
  <si>
    <t>WIRING DIAGRAM,E-BOX,MIDLAND</t>
  </si>
  <si>
    <t>INSTR,KIT,SVC,MTR'S,L5</t>
  </si>
  <si>
    <t>MANUAL,INSTALL,L5,LM,SPN</t>
  </si>
  <si>
    <t>ADDENDUM,NEMA-4,EYES</t>
  </si>
  <si>
    <t>ADDENDUM,LOCK-SENSOR,DJ&amp;DHJ</t>
  </si>
  <si>
    <t>INSTR,KIT,SVC,PCB,VER.400</t>
  </si>
  <si>
    <t>MANUAL,OWNERS,MG,MH,H,MJ</t>
  </si>
  <si>
    <t>ADDENDUM,MODIFICATIONS,NEMA-7</t>
  </si>
  <si>
    <t>WIRING-DIAGRAM,RSL12U</t>
  </si>
  <si>
    <t>INSTR,INSTALL,041C0168</t>
  </si>
  <si>
    <t>INSTR,KIT,SVC,ANZ,RJO,RX/LX</t>
  </si>
  <si>
    <t>INSTR,KIT,SVC,041A7773-1,WCP</t>
  </si>
  <si>
    <t>INSTR,KIT,SVC,IDLERS,K75-34828</t>
  </si>
  <si>
    <t>INSTR,INSTALL,STAR1000EVO</t>
  </si>
  <si>
    <t>INSTR,KIT,SVC,LIMIT-SWITCH,L3</t>
  </si>
  <si>
    <t>INSTR,KIT,SVC,TOROIDAL-XFMR</t>
  </si>
  <si>
    <t>INSTR,90-MLSBC,SINGLE-BUTTON</t>
  </si>
  <si>
    <t>INSTR,PIVOT-BRKT ASSY,MA033/MA034</t>
  </si>
  <si>
    <t>INSTR,KIT,SVC,M,LIMIT-SWITCH</t>
  </si>
  <si>
    <t>ADDENDUM,L3,CARWASH</t>
  </si>
  <si>
    <t>INSTR,KIT,SVC,GH,BRAKE-ASSY</t>
  </si>
  <si>
    <t>INSTRUCT,LOGIC-BOARD,050DCDDOWFMC</t>
  </si>
  <si>
    <t>INSTR,INSTALL,G423LM,SPN</t>
  </si>
  <si>
    <t>INSTR,KIT,SVC,MTG,MOTOR-BRKT</t>
  </si>
  <si>
    <t>INSTR,KIT,SVC,75-34824</t>
  </si>
  <si>
    <t>MANUAL,OWNERS,RELEASE-BRKT</t>
  </si>
  <si>
    <t>INSTR,KIT,SVC,LIMIT-SHAFT ASSY,L3</t>
  </si>
  <si>
    <t>INSTR,SVC,DC-ALARM,SL575/585/595</t>
  </si>
  <si>
    <t>INSTR,LIMIT-SWITCH,AUXILIARY,TROLLEY</t>
  </si>
  <si>
    <t>MANUAL,OWNERS,SRS,INTRIM,GDO,STD</t>
  </si>
  <si>
    <t>INSTR,INSTALL,WiFi,RAYNOR,882RGDW</t>
  </si>
  <si>
    <t>INSTR,DOOR-ARM,HEAVY-DUTY</t>
  </si>
  <si>
    <t>INSTR,ELEC-NOTICE,FDO,FDC,FDCL</t>
  </si>
  <si>
    <t>INSTR,KIT,SVC,SLOW-DOOR,SPEED-BELT</t>
  </si>
  <si>
    <t>INSTR,SVC-KITS,EL1SS,REPAIR-PARTS</t>
  </si>
  <si>
    <t>ADDENDUM,XP,RELEASE-DEVICE</t>
  </si>
  <si>
    <t>K29-2 MANUAL INSTRUCTION</t>
  </si>
  <si>
    <t>INSTR,KIT,SVC,PCB-1A6189,AUX-CONTACTS</t>
  </si>
  <si>
    <t>INSTR,KIT,SVC,RX/LX REPLACEMENT,USDC</t>
  </si>
  <si>
    <t>INSTRUCTIONS RETAIL LIGHT POD ASSY</t>
  </si>
  <si>
    <t>INSTR,KIT,SVC,041A6569</t>
  </si>
  <si>
    <t>INSTR,INSTALL,041A9501</t>
  </si>
  <si>
    <t>WIRING-DIAGRAM,TERM-BLOCK,SAFE-MOD</t>
  </si>
  <si>
    <t>INSTR,KIT,SVC,K75-34791</t>
  </si>
  <si>
    <t>INSTR, HD BLDC MTR, MTR DRIVE, POWER BD</t>
  </si>
  <si>
    <t>INSTR,KIT,SVC,K72-34818</t>
  </si>
  <si>
    <t>INSTR,KIT,SVC,HEATER KITS SL540,570,</t>
  </si>
  <si>
    <t>INSTR,KIT,SVC,PANIC-RELEASE</t>
  </si>
  <si>
    <t>INSTR,KIT,SVC,LIMIT-SHAFT,L3DE</t>
  </si>
  <si>
    <t>MANUAL,OWNERS,GT</t>
  </si>
  <si>
    <t>WIRING-DIAGRAM,LA400U</t>
  </si>
  <si>
    <t>INSTR,LIMIT-SWITCH,AUXILIARY,WIRE-LEADS</t>
  </si>
  <si>
    <t>INSTRUCTION,WIRE :CAMERA &amp; SINGLE LENS</t>
  </si>
  <si>
    <t>MANUAL,OWNERS,880RGD</t>
  </si>
  <si>
    <t>INSTR,KIT,SVC,J-CLUTCH,SHAFT</t>
  </si>
  <si>
    <t>INSTR,KIT,SVC,RPM-SENSOR ASSY</t>
  </si>
  <si>
    <t>MANUAL, 841ANZ AUTO GARAGE DOOR LOCK</t>
  </si>
  <si>
    <t>INSTR,INSTALL,DC-PASSPOINT</t>
  </si>
  <si>
    <t>WIRING-DIAGRAM,E-BOX,MIDLAND</t>
  </si>
  <si>
    <t>INSTR,J-CENTER,MTG-MOD</t>
  </si>
  <si>
    <t>FDC RETROFIR ADDENDUM</t>
  </si>
  <si>
    <t>ADDENDUM,EL-SERIES,ACS</t>
  </si>
  <si>
    <t>ASSY,PURCHASED,MANUAL,DC,PHX, CONTRACTOR</t>
  </si>
  <si>
    <t>INSTR,KIT,SVC,LIMIT-SHAFT</t>
  </si>
  <si>
    <t>INSTR,KIT,SVC,LOGIC,PCB-REPLACEMENT</t>
  </si>
  <si>
    <t>INSTR,SVC,LED LIGHT POD</t>
  </si>
  <si>
    <t>INSTR,KIT,SVC,H/J OUTPUT SHAFT</t>
  </si>
  <si>
    <t>INSTR,SVC,PANEL-ASSY W/LED DRIVER BOARD</t>
  </si>
  <si>
    <t>INSTR,KIT,SVC,H-CLUTCH,SHAFT</t>
  </si>
  <si>
    <t>INSTR,KIT,SVC,T,CLUTCH-SHAFT</t>
  </si>
  <si>
    <t>INSTR,KIT,SVC,VENTED-CAP</t>
  </si>
  <si>
    <t>WIRING-DIAGRAM,BG770/790,SINGLE-PHASE</t>
  </si>
  <si>
    <t>TEMPLATE,INSTALL,MGLCK,EMLO1300F</t>
  </si>
  <si>
    <t>INSTR,KIT,SVC,ARK</t>
  </si>
  <si>
    <t>MANUAL,OWNERS,CPS3-NR</t>
  </si>
  <si>
    <t>MANUAL,INSTALL,L5,LM,CDO</t>
  </si>
  <si>
    <t>INSTR,KIT,SVC,SL590,DISCONNECT</t>
  </si>
  <si>
    <t>INSTR,KIT,SVC,FUSE-LINK ASSY</t>
  </si>
  <si>
    <t>INSTR,KIT,SVC,BMT,BRAKE</t>
  </si>
  <si>
    <t>INSTR,DUAL AUXILIARY TROLLEY</t>
  </si>
  <si>
    <t>INSTR,INSTALL,MOTOR-REPLACEMENT,G2500B</t>
  </si>
  <si>
    <t>INSTR,KIT,SVC,TRANSFORMER KIT,LA412</t>
  </si>
  <si>
    <t>INSTR,KIT,SVC,GT,TORQUE-LIMITER</t>
  </si>
  <si>
    <t>INSTR,INSTALL,REPLACEMENT,RECEIVER/LOG</t>
  </si>
  <si>
    <t>INSTR,KIT,SVC,LA500,SOLAR-HARNESS</t>
  </si>
  <si>
    <t>INSTR,KIT,SVC,V-BELT,EXT-BRAKE</t>
  </si>
  <si>
    <t>MANUAL,OWNERS,INST/MAGLOCK,1300F/S</t>
  </si>
  <si>
    <t>INSTRUCTION LIFTMASTER COVER</t>
  </si>
  <si>
    <t>INSTR,WATER-TIGHT/OIL-TIGHT ENCLOSURE</t>
  </si>
  <si>
    <t>TEMPLATE,INSTALL,MGLCK,EMLO1300S</t>
  </si>
  <si>
    <t>INSTR,INSTALL,MOTOR-REPLACEMENT</t>
  </si>
  <si>
    <t>INSTR,EXTERNAL-BOX,STAR</t>
  </si>
  <si>
    <t>FDO RETROFIT FIELD ASSESSMENT FORM</t>
  </si>
  <si>
    <t>INSTR,KIT,SVC,TIMER-TO-CLOSE</t>
  </si>
  <si>
    <t>INSTR,HTR460</t>
  </si>
  <si>
    <t>WIRING-DIAGRAM,230V/208,1PH HYD STD</t>
  </si>
  <si>
    <t>MANUAL,OWNERS,PEC-0008</t>
  </si>
  <si>
    <t>INSTR,KIT,SVC,RX/LX,PCB-REPLACEMENT</t>
  </si>
  <si>
    <t>INSTRUCT,RJO,LOGIC-BOARD,050DCANZRJWF</t>
  </si>
  <si>
    <t>INSTR,KIT,SVC,NON-RESETTABLE COUNTER</t>
  </si>
  <si>
    <t>INSTR,KIT,SVC,FDO-A &amp; FDO-B,SOLENOID</t>
  </si>
  <si>
    <t>MANUAL, 33AH MOUNTING</t>
  </si>
  <si>
    <t>INSTR,INSTL,KIT,SRV,DOORBELL,CM,SBD</t>
  </si>
  <si>
    <t>INSTR,KIT,SVC,REPLACEMENT</t>
  </si>
  <si>
    <t>INSTR,SVC KIT,NEMA7,K160-0192</t>
  </si>
  <si>
    <t>INSTR,KIT,SVC,MERLIN,SMART</t>
  </si>
  <si>
    <t>INSTR,KIT,SVC,APT,BRAKE</t>
  </si>
  <si>
    <t>INSTR,KIT,SVC,SL590,DRIVE-SHAFT,INT</t>
  </si>
  <si>
    <t>INSTR,KIT,SVC,MAN-HST,CENTER-MTG.</t>
  </si>
  <si>
    <t>INSTR,CONTROL-MODULE,RED/GREEN,LIGHT</t>
  </si>
  <si>
    <t>INSTR,KIT,SVC,TRANSFORMER-REPLACEMENT</t>
  </si>
  <si>
    <t>INSTR,KIT,SVC,CHAIN-GUARD</t>
  </si>
  <si>
    <t>MANUAL,OWNERS,139.53755</t>
  </si>
  <si>
    <t>INSTR,INSTALL,MVIS,MTR REPLACEMENT</t>
  </si>
  <si>
    <t>INSTR,KIT,SVC,PVC-ARM</t>
  </si>
  <si>
    <t>CAMERA REPLACEMENT INSTRUCTIONS (</t>
  </si>
  <si>
    <t>INSTR,KIT,SVC,TRANSFORMER,RJO</t>
  </si>
  <si>
    <t>INSTR,KIT,SVC,STD,LIMIT-SHAFT</t>
  </si>
  <si>
    <t>INSTR,KIT,SVC,FDRCARD</t>
  </si>
  <si>
    <t>INSTR,INSTALL,LM,GWC,79LM</t>
  </si>
  <si>
    <t>ADDENDUM,CRWSH T,GT,GH,H,J MEC</t>
  </si>
  <si>
    <t>INSTR,KIT,SVC,RESET-SWITCH,HCT</t>
  </si>
  <si>
    <t>INSTR,KIT,SVC,END-PANELS,GENERIC</t>
  </si>
  <si>
    <t>INSERT,LOGIC,K41DJC001-390/315</t>
  </si>
  <si>
    <t>WIRING-DIAGRAM,RSL12V/RSW12V</t>
  </si>
  <si>
    <t>INSTR,KIT,SVC,GH,HAND-CHAIN,SHAFT</t>
  </si>
  <si>
    <t>INSTR,KIT,SVC,TRANSFORMER,RJO INTL</t>
  </si>
  <si>
    <t>INSTR,KIT,SVC,OUTBOARD,BRAKE-KITS,J,H</t>
  </si>
  <si>
    <t>INSTR,KIT,SVC,041D3058</t>
  </si>
  <si>
    <t>INSTR,KIT,SVC,MODULE,TRAVEL,RJO INTL</t>
  </si>
  <si>
    <t>INSTR,INSTALL,CTM, INTL</t>
  </si>
  <si>
    <t>INSTRUCTION RETAILCONTROL DOOR PANEL</t>
  </si>
  <si>
    <t>INSTR,KIT,SVC,FDO-B,PCB-REPLACEMENT</t>
  </si>
  <si>
    <t>INSTR,KIT,SVC,FDC,PCB REPLACEMENT</t>
  </si>
  <si>
    <t>INSTR,KIT,SVC,MOTOR,TEFC</t>
  </si>
  <si>
    <t>INSTR,KIT,SVC,MOD,FRICTION-CLUTCH</t>
  </si>
  <si>
    <t>INSTR,KIT,SVC,RPM-SENSOR</t>
  </si>
  <si>
    <t>INSTR,KIT,SVC,PASS-DOOR,SAFETY-SWITCH</t>
  </si>
  <si>
    <t>INSTR,KIT,SVC,CLUTCH-SHAFT,MJ</t>
  </si>
  <si>
    <t>INSTR,KIT,SVC,SL590,LIMIT- BOX</t>
  </si>
  <si>
    <t>FDOB RETROFIT ADDENDUM</t>
  </si>
  <si>
    <t>INSTR,KIT,SVC,MINIMUM-DEPTH, MOD</t>
  </si>
  <si>
    <t>INSTR,KIT,SVC,RF-MODULE,REPLACEMENT</t>
  </si>
  <si>
    <t>INSTR,KIT,SVC,MD,LOGIC,AUX-LIMITS,MOD</t>
  </si>
  <si>
    <t>INSTR,INSTALL,REMOTE LIGHT,RJO10</t>
  </si>
  <si>
    <t>INSTR,KIT,SVC,CLUTCH-SHAFT,MH</t>
  </si>
  <si>
    <t>INSTR,KIT,SVC,HAND-CRANK,MOD</t>
  </si>
  <si>
    <t>INSTR,KIT,SVC,SVC KIT,SL575 OUTPUT</t>
  </si>
  <si>
    <t>INSTR,KIT,SVC,STD,LLIMIT-SWITCH,EM</t>
  </si>
  <si>
    <t>INSTR,KIT,SVC,50-BATBOX,FDO</t>
  </si>
  <si>
    <t>INSTR,KIT,SVC,MOTOR, EU</t>
  </si>
  <si>
    <t>WIRING-DIAGRAM,K-RE1521M</t>
  </si>
  <si>
    <t>PRIORIDAD</t>
  </si>
  <si>
    <t>ÁREA</t>
  </si>
  <si>
    <t>RAS</t>
  </si>
  <si>
    <t>CAS</t>
  </si>
  <si>
    <t>E</t>
  </si>
  <si>
    <t>Z</t>
  </si>
  <si>
    <t>Manual impreso a una tinta (negra), 12 paginas a tamaño carta, compaginado</t>
  </si>
  <si>
    <t xml:space="preserve">GOS </t>
  </si>
  <si>
    <t>GOS</t>
  </si>
  <si>
    <t>CORTE</t>
  </si>
  <si>
    <t>Cover</t>
  </si>
  <si>
    <t>#65 gloss</t>
  </si>
  <si>
    <t>ARIBA PRECIO POR MILLAR (Dólares)</t>
  </si>
  <si>
    <t>MARGEN BRUTO PRECIO ARIBA</t>
  </si>
  <si>
    <t>INGRESO PRECIO ARIBA</t>
  </si>
  <si>
    <t>Manual impreso a una tinta (negra), 98 paginas a tamaño carta, compaginado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</si>
</sst>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[Red]\-&quot;$&quot;#,##0"/>
    <numFmt numFmtId="165" formatCode="&quot;$&quot;#,##0.00;[Red]\-&quot;$&quot;#,##0.00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_-* #,##0_-;\-* #,##0_-;_-* &quot;-&quot;??_-;_-@_-"/>
    <numFmt numFmtId="169" formatCode="_-* #,##0.0000_-;\-* #,##0.0000_-;_-* &quot;-&quot;??_-;_-@_-"/>
    <numFmt numFmtId="170" formatCode="0.0000"/>
    <numFmt numFmtId="171" formatCode="#,##0&quot; Pcs.&quot;"/>
    <numFmt numFmtId="172" formatCode="#,##0.00&quot; USD&quot;"/>
    <numFmt numFmtId="173" formatCode="#,##0&quot; M2&quot;"/>
    <numFmt numFmtId="174" formatCode="#,##0&quot; USD&quot;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b/>
      <sz val="11"/>
      <color theme="1"/>
      <name val="Bahnschrift"/>
      <family val="2"/>
    </font>
    <font>
      <b/>
      <sz val="16"/>
      <color theme="1"/>
      <name val="Bahnschrift"/>
      <family val="2"/>
    </font>
    <font>
      <b/>
      <sz val="11"/>
      <name val="Bahnschrift"/>
      <family val="2"/>
    </font>
    <font>
      <sz val="11"/>
      <name val="Bahnschrift"/>
      <family val="2"/>
    </font>
    <font>
      <sz val="8"/>
      <color theme="1"/>
      <name val="Bahnschrift"/>
      <family val="2"/>
    </font>
    <font>
      <sz val="11"/>
      <color rgb="FFFF0000"/>
      <name val="Bahnschrift"/>
      <family val="2"/>
    </font>
    <font>
      <b/>
      <sz val="12"/>
      <color rgb="FFFF0000"/>
      <name val="Bahnschrift"/>
      <family val="2"/>
    </font>
    <font>
      <i/>
      <sz val="11"/>
      <color theme="1"/>
      <name val="Bahnschrift"/>
      <family val="2"/>
    </font>
    <font>
      <u/>
      <sz val="11"/>
      <color theme="1"/>
      <name val="Bahnschrift"/>
      <family val="2"/>
    </font>
    <font>
      <sz val="11"/>
      <color theme="1"/>
      <name val="Bahnschrift"/>
      <family val="2"/>
    </font>
    <font>
      <b/>
      <sz val="11"/>
      <color rgb="FFFF0000"/>
      <name val="Bahnschrift"/>
      <family val="2"/>
    </font>
    <font>
      <sz val="11"/>
      <color theme="1"/>
      <name val="Bahnschrift"/>
      <family val="2"/>
    </font>
    <font>
      <sz val="10"/>
      <name val="Arial"/>
      <family val="2"/>
    </font>
    <font>
      <sz val="11"/>
      <color theme="1"/>
      <name val="Bahnschrift Condensed"/>
      <family val="2"/>
    </font>
    <font>
      <u/>
      <sz val="11"/>
      <color theme="10"/>
      <name val="Calibri"/>
      <family val="2"/>
      <scheme val="minor"/>
    </font>
    <font>
      <u/>
      <sz val="11"/>
      <name val="Bahnschrift Condensed"/>
      <family val="2"/>
    </font>
    <font>
      <b/>
      <sz val="11"/>
      <color theme="1"/>
      <name val="Bahnschrift Condensed"/>
      <family val="2"/>
    </font>
    <font>
      <sz val="11"/>
      <color rgb="FFFF0000"/>
      <name val="Bahnschrift Condensed"/>
      <family val="2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DE6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7" fillId="0" borderId="0" applyNumberFormat="0" applyFill="0" applyBorder="0" applyAlignment="0" applyProtection="0"/>
  </cellStyleXfs>
  <cellXfs count="192">
    <xf numFmtId="0" fontId="0" fillId="0" borderId="0" xfId="0"/>
    <xf numFmtId="0" fontId="2" fillId="0" borderId="0" xfId="0" applyFont="1" applyFill="1"/>
    <xf numFmtId="167" fontId="2" fillId="0" borderId="0" xfId="1" applyFont="1" applyFill="1" applyAlignment="1"/>
    <xf numFmtId="167" fontId="2" fillId="0" borderId="0" xfId="1" applyFont="1" applyFill="1" applyAlignment="1">
      <alignment horizontal="center"/>
    </xf>
    <xf numFmtId="167" fontId="2" fillId="2" borderId="0" xfId="1" applyFont="1" applyFill="1" applyAlignment="1"/>
    <xf numFmtId="9" fontId="2" fillId="0" borderId="0" xfId="2" applyFont="1" applyFill="1" applyAlignment="1"/>
    <xf numFmtId="167" fontId="2" fillId="0" borderId="0" xfId="0" applyNumberFormat="1" applyFont="1" applyFill="1"/>
    <xf numFmtId="168" fontId="2" fillId="0" borderId="0" xfId="1" applyNumberFormat="1" applyFont="1" applyFill="1"/>
    <xf numFmtId="10" fontId="2" fillId="0" borderId="0" xfId="2" applyNumberFormat="1" applyFont="1" applyFill="1"/>
    <xf numFmtId="10" fontId="2" fillId="0" borderId="0" xfId="2" applyNumberFormat="1" applyFont="1" applyFill="1" applyAlignment="1"/>
    <xf numFmtId="0" fontId="2" fillId="0" borderId="0" xfId="0" applyFont="1" applyAlignment="1">
      <alignment horizontal="center" vertical="center"/>
    </xf>
    <xf numFmtId="4" fontId="2" fillId="0" borderId="0" xfId="0" applyNumberFormat="1" applyFont="1" applyFill="1" applyAlignment="1">
      <alignment horizontal="center" vertical="center"/>
    </xf>
    <xf numFmtId="4" fontId="2" fillId="2" borderId="0" xfId="0" applyNumberFormat="1" applyFont="1" applyFill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2" fillId="4" borderId="0" xfId="0" applyNumberFormat="1" applyFont="1" applyFill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5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168" fontId="2" fillId="0" borderId="0" xfId="1" applyNumberFormat="1" applyFont="1" applyAlignment="1">
      <alignment vertical="center"/>
    </xf>
    <xf numFmtId="167" fontId="2" fillId="0" borderId="0" xfId="0" applyNumberFormat="1" applyFont="1" applyAlignment="1">
      <alignment vertical="center"/>
    </xf>
    <xf numFmtId="167" fontId="2" fillId="0" borderId="0" xfId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Fill="1" applyAlignment="1">
      <alignment vertical="center"/>
    </xf>
    <xf numFmtId="167" fontId="6" fillId="0" borderId="0" xfId="1" applyFont="1" applyFill="1" applyBorder="1" applyAlignment="1">
      <alignment vertical="center"/>
    </xf>
    <xf numFmtId="9" fontId="2" fillId="0" borderId="0" xfId="2" applyNumberFormat="1" applyFont="1" applyAlignment="1">
      <alignment horizontal="center" vertical="center"/>
    </xf>
    <xf numFmtId="167" fontId="2" fillId="0" borderId="0" xfId="1" applyFont="1" applyAlignment="1">
      <alignment vertical="center"/>
    </xf>
    <xf numFmtId="3" fontId="2" fillId="0" borderId="0" xfId="0" applyNumberFormat="1" applyFont="1" applyAlignment="1">
      <alignment vertical="center"/>
    </xf>
    <xf numFmtId="0" fontId="2" fillId="0" borderId="0" xfId="0" applyFont="1"/>
    <xf numFmtId="2" fontId="2" fillId="0" borderId="0" xfId="0" applyNumberFormat="1" applyFont="1" applyAlignment="1">
      <alignment vertical="center"/>
    </xf>
    <xf numFmtId="168" fontId="2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169" fontId="6" fillId="0" borderId="0" xfId="1" applyNumberFormat="1" applyFont="1" applyFill="1" applyBorder="1" applyAlignment="1">
      <alignment vertical="center"/>
    </xf>
    <xf numFmtId="167" fontId="3" fillId="0" borderId="0" xfId="1" applyFont="1" applyFill="1" applyBorder="1" applyAlignment="1">
      <alignment vertical="center"/>
    </xf>
    <xf numFmtId="167" fontId="2" fillId="0" borderId="0" xfId="1" applyFont="1" applyFill="1" applyBorder="1" applyAlignment="1">
      <alignment vertical="center"/>
    </xf>
    <xf numFmtId="167" fontId="2" fillId="0" borderId="0" xfId="0" applyNumberFormat="1" applyFont="1" applyFill="1" applyAlignment="1">
      <alignment vertical="center"/>
    </xf>
    <xf numFmtId="168" fontId="2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/>
    </xf>
    <xf numFmtId="168" fontId="5" fillId="0" borderId="0" xfId="1" applyNumberFormat="1" applyFont="1" applyFill="1" applyBorder="1" applyAlignment="1">
      <alignment vertical="center"/>
    </xf>
    <xf numFmtId="167" fontId="2" fillId="0" borderId="0" xfId="1" applyFont="1" applyFill="1" applyBorder="1" applyAlignment="1">
      <alignment horizontal="right" vertical="center"/>
    </xf>
    <xf numFmtId="0" fontId="2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170" fontId="2" fillId="0" borderId="0" xfId="0" applyNumberFormat="1" applyFont="1" applyFill="1" applyBorder="1" applyAlignment="1">
      <alignment vertical="center"/>
    </xf>
    <xf numFmtId="9" fontId="9" fillId="0" borderId="0" xfId="2" applyFont="1" applyFill="1" applyBorder="1" applyAlignment="1">
      <alignment vertical="center"/>
    </xf>
    <xf numFmtId="167" fontId="9" fillId="0" borderId="0" xfId="0" applyNumberFormat="1" applyFont="1" applyFill="1" applyBorder="1" applyAlignment="1">
      <alignment vertical="center"/>
    </xf>
    <xf numFmtId="166" fontId="2" fillId="0" borderId="0" xfId="0" applyNumberFormat="1" applyFont="1" applyFill="1" applyBorder="1" applyAlignment="1">
      <alignment vertical="center"/>
    </xf>
    <xf numFmtId="166" fontId="2" fillId="0" borderId="0" xfId="2" applyNumberFormat="1" applyFont="1" applyFill="1" applyBorder="1" applyAlignment="1">
      <alignment vertical="center"/>
    </xf>
    <xf numFmtId="9" fontId="2" fillId="0" borderId="0" xfId="2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168" fontId="2" fillId="0" borderId="0" xfId="1" applyNumberFormat="1" applyFont="1" applyFill="1" applyBorder="1" applyAlignment="1">
      <alignment vertical="center"/>
    </xf>
    <xf numFmtId="9" fontId="2" fillId="0" borderId="0" xfId="2" applyFont="1" applyFill="1" applyBorder="1" applyAlignment="1">
      <alignment vertical="center"/>
    </xf>
    <xf numFmtId="168" fontId="2" fillId="0" borderId="0" xfId="0" applyNumberFormat="1" applyFont="1" applyFill="1" applyBorder="1" applyAlignment="1">
      <alignment vertical="center"/>
    </xf>
    <xf numFmtId="167" fontId="2" fillId="0" borderId="0" xfId="0" applyNumberFormat="1" applyFont="1" applyFill="1" applyBorder="1" applyAlignment="1">
      <alignment vertical="center"/>
    </xf>
    <xf numFmtId="0" fontId="10" fillId="3" borderId="0" xfId="0" applyFont="1" applyFill="1" applyBorder="1" applyAlignment="1">
      <alignment horizontal="center" vertical="center"/>
    </xf>
    <xf numFmtId="167" fontId="3" fillId="3" borderId="0" xfId="1" applyFont="1" applyFill="1" applyBorder="1" applyAlignment="1">
      <alignment vertical="center"/>
    </xf>
    <xf numFmtId="165" fontId="2" fillId="0" borderId="0" xfId="0" applyNumberFormat="1" applyFont="1" applyAlignment="1">
      <alignment vertical="center"/>
    </xf>
    <xf numFmtId="4" fontId="2" fillId="0" borderId="0" xfId="1" applyNumberFormat="1" applyFont="1" applyAlignment="1">
      <alignment vertical="center"/>
    </xf>
    <xf numFmtId="4" fontId="2" fillId="0" borderId="0" xfId="0" applyNumberFormat="1" applyFont="1" applyAlignment="1">
      <alignment vertical="center"/>
    </xf>
    <xf numFmtId="9" fontId="2" fillId="0" borderId="0" xfId="2" applyFont="1" applyFill="1"/>
    <xf numFmtId="9" fontId="2" fillId="2" borderId="0" xfId="2" applyFont="1" applyFill="1"/>
    <xf numFmtId="0" fontId="1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168" fontId="2" fillId="7" borderId="0" xfId="0" applyNumberFormat="1" applyFont="1" applyFill="1" applyAlignment="1">
      <alignment vertical="center"/>
    </xf>
    <xf numFmtId="167" fontId="2" fillId="7" borderId="0" xfId="1" applyFont="1" applyFill="1" applyAlignment="1">
      <alignment vertical="center"/>
    </xf>
    <xf numFmtId="167" fontId="2" fillId="7" borderId="0" xfId="0" applyNumberFormat="1" applyFont="1" applyFill="1" applyAlignment="1">
      <alignment vertical="center"/>
    </xf>
    <xf numFmtId="165" fontId="2" fillId="7" borderId="0" xfId="0" applyNumberFormat="1" applyFont="1" applyFill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9" fontId="2" fillId="2" borderId="0" xfId="2" applyFont="1" applyFill="1" applyAlignment="1">
      <alignment vertical="center"/>
    </xf>
    <xf numFmtId="165" fontId="12" fillId="0" borderId="0" xfId="0" applyNumberFormat="1" applyFont="1" applyFill="1" applyAlignment="1">
      <alignment vertical="center"/>
    </xf>
    <xf numFmtId="167" fontId="2" fillId="0" borderId="1" xfId="1" applyFont="1" applyFill="1" applyBorder="1" applyAlignment="1">
      <alignment horizontal="center" vertical="center" wrapText="1"/>
    </xf>
    <xf numFmtId="167" fontId="6" fillId="0" borderId="1" xfId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9" fontId="6" fillId="0" borderId="3" xfId="0" applyNumberFormat="1" applyFont="1" applyFill="1" applyBorder="1" applyAlignment="1">
      <alignment vertical="center"/>
    </xf>
    <xf numFmtId="9" fontId="6" fillId="0" borderId="5" xfId="0" applyNumberFormat="1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169" fontId="6" fillId="0" borderId="1" xfId="1" applyNumberFormat="1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167" fontId="6" fillId="0" borderId="2" xfId="1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167" fontId="3" fillId="2" borderId="2" xfId="1" applyFont="1" applyFill="1" applyBorder="1" applyAlignment="1">
      <alignment vertical="center"/>
    </xf>
    <xf numFmtId="167" fontId="3" fillId="2" borderId="4" xfId="1" applyFont="1" applyFill="1" applyBorder="1" applyAlignment="1">
      <alignment vertical="center"/>
    </xf>
    <xf numFmtId="167" fontId="2" fillId="0" borderId="0" xfId="1" applyFont="1"/>
    <xf numFmtId="167" fontId="2" fillId="0" borderId="0" xfId="0" applyNumberFormat="1" applyFont="1"/>
    <xf numFmtId="167" fontId="3" fillId="0" borderId="0" xfId="0" applyNumberFormat="1" applyFont="1"/>
    <xf numFmtId="0" fontId="8" fillId="0" borderId="0" xfId="0" applyFont="1"/>
    <xf numFmtId="167" fontId="13" fillId="0" borderId="0" xfId="0" applyNumberFormat="1" applyFont="1"/>
    <xf numFmtId="0" fontId="2" fillId="6" borderId="0" xfId="0" applyFont="1" applyFill="1"/>
    <xf numFmtId="168" fontId="2" fillId="6" borderId="0" xfId="1" applyNumberFormat="1" applyFont="1" applyFill="1"/>
    <xf numFmtId="0" fontId="2" fillId="0" borderId="0" xfId="0" applyFont="1" applyAlignment="1">
      <alignment vertical="center" wrapText="1"/>
    </xf>
    <xf numFmtId="10" fontId="12" fillId="0" borderId="0" xfId="0" applyNumberFormat="1" applyFont="1" applyAlignment="1">
      <alignment vertical="center"/>
    </xf>
    <xf numFmtId="164" fontId="12" fillId="0" borderId="0" xfId="0" applyNumberFormat="1" applyFont="1" applyAlignment="1">
      <alignment vertical="center"/>
    </xf>
    <xf numFmtId="167" fontId="2" fillId="8" borderId="0" xfId="1" applyFont="1" applyFill="1"/>
    <xf numFmtId="0" fontId="2" fillId="0" borderId="0" xfId="2" applyNumberFormat="1" applyFont="1" applyFill="1" applyBorder="1" applyAlignment="1">
      <alignment horizontal="right" vertical="center"/>
    </xf>
    <xf numFmtId="165" fontId="3" fillId="3" borderId="0" xfId="1" applyNumberFormat="1" applyFont="1" applyFill="1" applyBorder="1" applyAlignment="1">
      <alignment vertical="center"/>
    </xf>
    <xf numFmtId="0" fontId="14" fillId="0" borderId="0" xfId="0" applyFont="1" applyAlignment="1">
      <alignment horizontal="center" vertical="center" wrapText="1"/>
    </xf>
    <xf numFmtId="9" fontId="14" fillId="0" borderId="0" xfId="0" applyNumberFormat="1" applyFont="1" applyAlignment="1">
      <alignment horizontal="center" vertical="center"/>
    </xf>
    <xf numFmtId="4" fontId="2" fillId="9" borderId="0" xfId="0" applyNumberFormat="1" applyFont="1" applyFill="1" applyAlignment="1">
      <alignment horizontal="center" vertical="center"/>
    </xf>
    <xf numFmtId="0" fontId="2" fillId="2" borderId="0" xfId="0" applyFont="1" applyFill="1"/>
    <xf numFmtId="167" fontId="2" fillId="2" borderId="0" xfId="1" applyFont="1" applyFill="1" applyAlignment="1">
      <alignment horizontal="center"/>
    </xf>
    <xf numFmtId="10" fontId="2" fillId="2" borderId="0" xfId="2" applyNumberFormat="1" applyFont="1" applyFill="1" applyAlignment="1"/>
    <xf numFmtId="168" fontId="2" fillId="2" borderId="0" xfId="1" applyNumberFormat="1" applyFont="1" applyFill="1"/>
    <xf numFmtId="167" fontId="2" fillId="2" borderId="0" xfId="0" applyNumberFormat="1" applyFont="1" applyFill="1"/>
    <xf numFmtId="10" fontId="2" fillId="2" borderId="0" xfId="2" applyNumberFormat="1" applyFont="1" applyFill="1"/>
    <xf numFmtId="167" fontId="2" fillId="9" borderId="0" xfId="1" applyFont="1" applyFill="1" applyAlignment="1"/>
    <xf numFmtId="168" fontId="5" fillId="0" borderId="7" xfId="1" applyNumberFormat="1" applyFont="1" applyFill="1" applyBorder="1" applyAlignment="1">
      <alignment vertical="center"/>
    </xf>
    <xf numFmtId="167" fontId="6" fillId="0" borderId="7" xfId="1" applyFont="1" applyFill="1" applyBorder="1" applyAlignment="1">
      <alignment vertical="center"/>
    </xf>
    <xf numFmtId="167" fontId="6" fillId="0" borderId="8" xfId="1" applyFont="1" applyFill="1" applyBorder="1" applyAlignment="1">
      <alignment vertical="center"/>
    </xf>
    <xf numFmtId="9" fontId="6" fillId="0" borderId="9" xfId="0" applyNumberFormat="1" applyFont="1" applyFill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169" fontId="6" fillId="0" borderId="7" xfId="1" applyNumberFormat="1" applyFont="1" applyFill="1" applyBorder="1" applyAlignment="1">
      <alignment vertical="center"/>
    </xf>
    <xf numFmtId="167" fontId="3" fillId="2" borderId="8" xfId="1" applyFont="1" applyFill="1" applyBorder="1" applyAlignment="1">
      <alignment vertical="center"/>
    </xf>
    <xf numFmtId="167" fontId="3" fillId="3" borderId="7" xfId="1" applyFont="1" applyFill="1" applyBorder="1" applyAlignment="1">
      <alignment vertical="center"/>
    </xf>
    <xf numFmtId="167" fontId="3" fillId="0" borderId="7" xfId="1" applyFont="1" applyFill="1" applyBorder="1" applyAlignment="1">
      <alignment vertical="center"/>
    </xf>
    <xf numFmtId="166" fontId="2" fillId="0" borderId="7" xfId="0" applyNumberFormat="1" applyFont="1" applyFill="1" applyBorder="1" applyAlignment="1">
      <alignment vertical="center"/>
    </xf>
    <xf numFmtId="166" fontId="2" fillId="0" borderId="7" xfId="2" applyNumberFormat="1" applyFont="1" applyFill="1" applyBorder="1" applyAlignment="1">
      <alignment vertical="center"/>
    </xf>
    <xf numFmtId="9" fontId="2" fillId="0" borderId="7" xfId="2" applyFont="1" applyFill="1" applyBorder="1" applyAlignment="1">
      <alignment horizontal="right" vertical="center"/>
    </xf>
    <xf numFmtId="167" fontId="2" fillId="0" borderId="0" xfId="1" applyFont="1" applyAlignment="1">
      <alignment vertical="center"/>
    </xf>
    <xf numFmtId="43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7" fontId="2" fillId="6" borderId="0" xfId="1" applyFont="1" applyFill="1" applyAlignment="1">
      <alignment horizontal="center"/>
    </xf>
    <xf numFmtId="167" fontId="2" fillId="6" borderId="0" xfId="1" applyFont="1" applyFill="1" applyAlignment="1"/>
    <xf numFmtId="9" fontId="2" fillId="6" borderId="0" xfId="2" applyFont="1" applyFill="1" applyAlignment="1"/>
    <xf numFmtId="167" fontId="2" fillId="6" borderId="0" xfId="0" applyNumberFormat="1" applyFont="1" applyFill="1"/>
    <xf numFmtId="9" fontId="2" fillId="6" borderId="0" xfId="2" applyFont="1" applyFill="1"/>
    <xf numFmtId="9" fontId="2" fillId="0" borderId="0" xfId="0" applyNumberFormat="1" applyFont="1" applyAlignment="1">
      <alignment horizontal="center" vertical="center"/>
    </xf>
    <xf numFmtId="10" fontId="6" fillId="0" borderId="7" xfId="2" applyNumberFormat="1" applyFont="1" applyFill="1" applyBorder="1" applyAlignment="1">
      <alignment vertical="center"/>
    </xf>
    <xf numFmtId="9" fontId="6" fillId="0" borderId="0" xfId="0" applyNumberFormat="1" applyFont="1" applyFill="1" applyBorder="1" applyAlignment="1">
      <alignment vertical="center"/>
    </xf>
    <xf numFmtId="167" fontId="3" fillId="3" borderId="1" xfId="1" applyFont="1" applyFill="1" applyBorder="1" applyAlignment="1">
      <alignment vertical="center"/>
    </xf>
    <xf numFmtId="167" fontId="3" fillId="0" borderId="1" xfId="1" applyFont="1" applyFill="1" applyBorder="1" applyAlignment="1">
      <alignment vertical="center"/>
    </xf>
    <xf numFmtId="166" fontId="2" fillId="0" borderId="1" xfId="0" applyNumberFormat="1" applyFont="1" applyFill="1" applyBorder="1" applyAlignment="1">
      <alignment vertical="center"/>
    </xf>
    <xf numFmtId="166" fontId="2" fillId="0" borderId="1" xfId="2" applyNumberFormat="1" applyFont="1" applyFill="1" applyBorder="1" applyAlignment="1">
      <alignment vertical="center"/>
    </xf>
    <xf numFmtId="9" fontId="2" fillId="0" borderId="1" xfId="2" applyFont="1" applyFill="1" applyBorder="1" applyAlignment="1">
      <alignment horizontal="right" vertical="center"/>
    </xf>
    <xf numFmtId="167" fontId="6" fillId="0" borderId="4" xfId="1" applyFont="1" applyFill="1" applyBorder="1" applyAlignment="1">
      <alignment vertical="center"/>
    </xf>
    <xf numFmtId="10" fontId="2" fillId="6" borderId="0" xfId="2" applyNumberFormat="1" applyFont="1" applyFill="1" applyAlignment="1"/>
    <xf numFmtId="10" fontId="2" fillId="6" borderId="0" xfId="2" applyNumberFormat="1" applyFont="1" applyFill="1"/>
    <xf numFmtId="166" fontId="2" fillId="0" borderId="0" xfId="2" applyNumberFormat="1" applyFont="1" applyFill="1" applyAlignment="1">
      <alignment vertical="center"/>
    </xf>
    <xf numFmtId="49" fontId="15" fillId="0" borderId="0" xfId="4" applyNumberFormat="1" applyAlignment="1" applyProtection="1">
      <alignment horizontal="left" vertical="top" wrapText="1"/>
    </xf>
    <xf numFmtId="0" fontId="15" fillId="0" borderId="0" xfId="4" applyAlignment="1" applyProtection="1">
      <alignment horizontal="left" vertical="top" wrapText="1"/>
    </xf>
    <xf numFmtId="0" fontId="16" fillId="0" borderId="0" xfId="0" applyFont="1" applyAlignment="1">
      <alignment vertical="center"/>
    </xf>
    <xf numFmtId="168" fontId="16" fillId="0" borderId="0" xfId="1" applyNumberFormat="1" applyFont="1" applyAlignment="1">
      <alignment vertical="center"/>
    </xf>
    <xf numFmtId="44" fontId="16" fillId="0" borderId="0" xfId="3" applyFont="1" applyAlignment="1">
      <alignment vertical="center"/>
    </xf>
    <xf numFmtId="0" fontId="16" fillId="0" borderId="0" xfId="0" applyFont="1" applyFill="1" applyAlignment="1">
      <alignment vertical="center"/>
    </xf>
    <xf numFmtId="171" fontId="16" fillId="0" borderId="0" xfId="1" applyNumberFormat="1" applyFont="1" applyFill="1" applyAlignment="1">
      <alignment vertical="center"/>
    </xf>
    <xf numFmtId="44" fontId="16" fillId="0" borderId="0" xfId="3" applyFont="1" applyFill="1" applyAlignment="1">
      <alignment vertical="center"/>
    </xf>
    <xf numFmtId="172" fontId="16" fillId="0" borderId="0" xfId="0" applyNumberFormat="1" applyFont="1" applyAlignment="1">
      <alignment vertical="center"/>
    </xf>
    <xf numFmtId="171" fontId="16" fillId="0" borderId="0" xfId="1" applyNumberFormat="1" applyFont="1" applyAlignment="1">
      <alignment vertical="center"/>
    </xf>
    <xf numFmtId="0" fontId="16" fillId="0" borderId="0" xfId="0" quotePrefix="1" applyFont="1" applyAlignment="1">
      <alignment vertical="center"/>
    </xf>
    <xf numFmtId="0" fontId="16" fillId="0" borderId="0" xfId="0" applyFont="1" applyAlignment="1">
      <alignment horizontal="center" vertical="center" wrapText="1"/>
    </xf>
    <xf numFmtId="168" fontId="16" fillId="0" borderId="0" xfId="1" applyNumberFormat="1" applyFont="1" applyAlignment="1">
      <alignment horizontal="center" vertical="center" wrapText="1"/>
    </xf>
    <xf numFmtId="9" fontId="16" fillId="0" borderId="0" xfId="0" applyNumberFormat="1" applyFont="1" applyAlignment="1">
      <alignment vertical="center"/>
    </xf>
    <xf numFmtId="0" fontId="18" fillId="0" borderId="0" xfId="5" applyFont="1" applyFill="1" applyAlignment="1">
      <alignment vertical="center"/>
    </xf>
    <xf numFmtId="172" fontId="16" fillId="0" borderId="0" xfId="0" applyNumberFormat="1" applyFont="1" applyFill="1" applyAlignment="1">
      <alignment vertical="center"/>
    </xf>
    <xf numFmtId="165" fontId="2" fillId="2" borderId="0" xfId="0" applyNumberFormat="1" applyFont="1" applyFill="1" applyAlignment="1">
      <alignment vertical="center"/>
    </xf>
    <xf numFmtId="167" fontId="2" fillId="2" borderId="0" xfId="1" applyFont="1" applyFill="1" applyAlignment="1">
      <alignment vertical="center"/>
    </xf>
    <xf numFmtId="3" fontId="2" fillId="2" borderId="0" xfId="0" applyNumberFormat="1" applyFont="1" applyFill="1" applyAlignment="1">
      <alignment vertical="center"/>
    </xf>
    <xf numFmtId="167" fontId="6" fillId="2" borderId="7" xfId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6" borderId="0" xfId="0" applyFont="1" applyFill="1" applyAlignment="1">
      <alignment horizontal="center"/>
    </xf>
    <xf numFmtId="167" fontId="2" fillId="0" borderId="0" xfId="1" applyFont="1" applyFill="1" applyAlignment="1">
      <alignment horizontal="center" vertical="center" wrapText="1"/>
    </xf>
    <xf numFmtId="167" fontId="6" fillId="0" borderId="10" xfId="1" applyFont="1" applyFill="1" applyBorder="1" applyAlignment="1">
      <alignment vertical="center"/>
    </xf>
    <xf numFmtId="168" fontId="5" fillId="0" borderId="1" xfId="1" applyNumberFormat="1" applyFont="1" applyFill="1" applyBorder="1" applyAlignment="1">
      <alignment vertical="center"/>
    </xf>
    <xf numFmtId="44" fontId="2" fillId="0" borderId="0" xfId="3" applyFont="1" applyAlignment="1">
      <alignment vertical="center"/>
    </xf>
    <xf numFmtId="9" fontId="6" fillId="0" borderId="1" xfId="0" applyNumberFormat="1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9" fontId="16" fillId="0" borderId="0" xfId="0" applyNumberFormat="1" applyFont="1" applyFill="1" applyAlignment="1">
      <alignment vertical="center"/>
    </xf>
    <xf numFmtId="173" fontId="19" fillId="0" borderId="0" xfId="0" applyNumberFormat="1" applyFont="1" applyFill="1" applyAlignment="1">
      <alignment vertical="center"/>
    </xf>
    <xf numFmtId="0" fontId="16" fillId="0" borderId="0" xfId="0" applyFont="1" applyFill="1" applyAlignment="1">
      <alignment horizontal="center" vertical="center" wrapText="1"/>
    </xf>
    <xf numFmtId="0" fontId="18" fillId="2" borderId="0" xfId="5" applyFont="1" applyFill="1" applyAlignment="1">
      <alignment vertical="center"/>
    </xf>
    <xf numFmtId="0" fontId="18" fillId="5" borderId="0" xfId="5" applyFont="1" applyFill="1" applyAlignment="1">
      <alignment vertical="center"/>
    </xf>
    <xf numFmtId="0" fontId="18" fillId="10" borderId="0" xfId="5" applyFont="1" applyFill="1" applyAlignment="1">
      <alignment vertical="center"/>
    </xf>
    <xf numFmtId="0" fontId="18" fillId="11" borderId="0" xfId="5" applyFont="1" applyFill="1" applyAlignment="1">
      <alignment vertical="center"/>
    </xf>
    <xf numFmtId="0" fontId="20" fillId="0" borderId="0" xfId="0" applyFont="1" applyFill="1" applyAlignment="1">
      <alignment vertical="center"/>
    </xf>
    <xf numFmtId="171" fontId="16" fillId="0" borderId="0" xfId="0" applyNumberFormat="1" applyFont="1" applyFill="1" applyAlignment="1">
      <alignment vertical="center"/>
    </xf>
    <xf numFmtId="174" fontId="16" fillId="0" borderId="0" xfId="0" applyNumberFormat="1" applyFont="1" applyFill="1" applyAlignment="1">
      <alignment vertical="center"/>
    </xf>
    <xf numFmtId="10" fontId="16" fillId="0" borderId="0" xfId="0" applyNumberFormat="1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0" fontId="17" fillId="0" borderId="0" xfId="5" applyFill="1" applyAlignment="1">
      <alignment vertical="center"/>
    </xf>
    <xf numFmtId="0" fontId="2" fillId="0" borderId="0" xfId="0" applyFont="1" applyAlignment="1">
      <alignment horizontal="center" vertical="center"/>
    </xf>
    <xf numFmtId="168" fontId="2" fillId="0" borderId="0" xfId="1" applyNumberFormat="1" applyFont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67" fontId="4" fillId="0" borderId="0" xfId="1" applyFont="1" applyAlignment="1">
      <alignment horizontal="center" vertical="center" wrapText="1"/>
    </xf>
    <xf numFmtId="167" fontId="2" fillId="0" borderId="0" xfId="1" applyFont="1" applyAlignment="1">
      <alignment horizontal="center" vertical="center"/>
    </xf>
  </cellXfs>
  <cellStyles count="6">
    <cellStyle name="Hipervínculo" xfId="5" builtinId="8"/>
    <cellStyle name="Millares" xfId="1" builtinId="3"/>
    <cellStyle name="Moneda" xfId="3" builtinId="4"/>
    <cellStyle name="Normal" xfId="0" builtinId="0"/>
    <cellStyle name="Normal 2" xfId="4"/>
    <cellStyle name="Porcentaje" xfId="2" builtinId="5"/>
  </cellStyles>
  <dxfs count="16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3" formatCode="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3" formatCode="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1" formatCode="#,##0&quot; Pcs.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sz val="11"/>
        <name val="Bahnschrift Condensed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sz val="11"/>
        <name val="Bahnschrift Condensed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center" vertical="center" textRotation="0" wrapText="1" indent="0" justifyLastLine="0" shrinkToFit="0" readingOrder="0"/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  <name val="Bahnschrift Condensed"/>
        <scheme val="none"/>
      </font>
      <border>
        <bottom style="thin">
          <color theme="7"/>
        </bottom>
        <vertical/>
        <horizontal/>
      </border>
    </dxf>
    <dxf>
      <font>
        <color theme="1"/>
        <name val="Bahnschrift Condensed"/>
        <scheme val="none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</dxfs>
  <tableStyles count="1" defaultTableStyle="TableStyleMedium2" defaultPivotStyle="PivotStyleLight16">
    <tableStyle name="SlicerStyleDark4 2" pivot="0" table="0" count="10">
      <tableStyleElement type="wholeTable" dxfId="1611"/>
      <tableStyleElement type="headerRow" dxfId="1610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  <name val="Bahnschrift Condensed"/>
            <scheme val="none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  <name val="Bahnschrift Condensed"/>
            <scheme val="none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  <name val="Bahnschrift Condensed"/>
            <scheme val="none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  <name val="Bahnschrift Condensed"/>
            <scheme val="none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7" tint="-0.249977111117893"/>
            <name val="Bahnschrift Condensed"/>
            <scheme val="none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theme="7" tint="0.59999389629810485"/>
            </left>
            <right style="thin">
              <color theme="7" tint="0.59999389629810485"/>
            </right>
            <top style="thin">
              <color theme="7" tint="0.59999389629810485"/>
            </top>
            <bottom style="thin">
              <color theme="7" tint="0.59999389629810485"/>
            </bottom>
            <vertical/>
            <horizontal/>
          </border>
        </dxf>
        <dxf>
          <font>
            <color theme="0"/>
            <name val="Bahnschrift Condensed"/>
            <scheme val="none"/>
          </font>
          <fill>
            <patternFill patternType="solid">
              <fgColor theme="7"/>
              <bgColor theme="7"/>
            </patternFill>
          </fill>
          <border>
            <left style="thin">
              <color theme="7"/>
            </left>
            <right style="thin">
              <color theme="7"/>
            </right>
            <top style="thin">
              <color theme="7"/>
            </top>
            <bottom style="thin">
              <color theme="7"/>
            </bottom>
            <vertical/>
            <horizontal/>
          </border>
        </dxf>
        <dxf>
          <font>
            <color rgb="FF959595"/>
            <name val="Bahnschrift Condensed"/>
            <scheme val="none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  <name val="Bahnschrift Condensed"/>
            <scheme val="none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4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theme" Target="theme/theme1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microsoft.com/office/2007/relationships/slicerCache" Target="slicerCaches/slicerCache5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microsoft.com/office/2007/relationships/slicerCache" Target="slicerCaches/slicerCache6.xml"/><Relationship Id="rId11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microsoft.com/office/2007/relationships/slicerCache" Target="slicerCaches/slicerCache1.xml"/><Relationship Id="rId116" Type="http://schemas.microsoft.com/office/2007/relationships/slicerCache" Target="slicerCaches/slicerCache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microsoft.com/office/2007/relationships/slicerCache" Target="slicerCaches/slicerCache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microsoft.com/office/2007/relationships/slicerCache" Target="slicerCaches/slicerCache7.xml"/><Relationship Id="rId11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7/relationships/slicerCache" Target="slicerCaches/slicerCache2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microsoft.com/office/2007/relationships/slicerCache" Target="slicerCaches/slicerCache3.xml"/><Relationship Id="rId115" Type="http://schemas.microsoft.com/office/2007/relationships/slicerCache" Target="slicerCaches/slicerCache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'002A2027'!$L$5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'002A2027'!$K$6:$K$14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'002A2027'!$L$6:$L$14</c:f>
              <c:numCache>
                <c:formatCode>0.00%</c:formatCode>
                <c:ptCount val="9"/>
                <c:pt idx="0">
                  <c:v>7.0468536092671966E-2</c:v>
                </c:pt>
                <c:pt idx="1">
                  <c:v>5.9898255678771167E-3</c:v>
                </c:pt>
                <c:pt idx="2">
                  <c:v>9.9009900990099011E-3</c:v>
                </c:pt>
                <c:pt idx="3">
                  <c:v>1.6912448662241272E-2</c:v>
                </c:pt>
                <c:pt idx="4">
                  <c:v>1.6516063146719991E-2</c:v>
                </c:pt>
                <c:pt idx="5">
                  <c:v>3.0829984540543982E-2</c:v>
                </c:pt>
                <c:pt idx="6">
                  <c:v>0.22549931549655028</c:v>
                </c:pt>
                <c:pt idx="7">
                  <c:v>2.6523522335568529E-2</c:v>
                </c:pt>
                <c:pt idx="8">
                  <c:v>0.59735931405881704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79-4810-BC88-4F4DB9735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'114-5566-000'!$J$5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'114-5566-000'!$I$6:$I$14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'114-5566-000'!$J$6:$J$14</c:f>
              <c:numCache>
                <c:formatCode>0.00%</c:formatCode>
                <c:ptCount val="9"/>
                <c:pt idx="0">
                  <c:v>7.6317599890025475E-3</c:v>
                </c:pt>
                <c:pt idx="1">
                  <c:v>6.4869959906521651E-3</c:v>
                </c:pt>
                <c:pt idx="2">
                  <c:v>9.9009900990099011E-3</c:v>
                </c:pt>
                <c:pt idx="3">
                  <c:v>1.4023358979792181E-2</c:v>
                </c:pt>
                <c:pt idx="4">
                  <c:v>2.5936059337625845E-2</c:v>
                </c:pt>
                <c:pt idx="5">
                  <c:v>4.8413977430234914E-2</c:v>
                </c:pt>
                <c:pt idx="6">
                  <c:v>0.18697811973056241</c:v>
                </c:pt>
                <c:pt idx="7">
                  <c:v>0.2091084035318064</c:v>
                </c:pt>
                <c:pt idx="8">
                  <c:v>0.49152033491131364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F8-49BE-A2E6-6170CD5EB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'114-5681-000'!$J$5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'114-5681-000'!$I$6:$I$14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'114-5681-000'!$J$6:$J$14</c:f>
              <c:numCache>
                <c:formatCode>0.00%</c:formatCode>
                <c:ptCount val="9"/>
                <c:pt idx="0">
                  <c:v>7.4509025309968894E-3</c:v>
                </c:pt>
                <c:pt idx="1">
                  <c:v>6.3332671513473557E-3</c:v>
                </c:pt>
                <c:pt idx="2">
                  <c:v>9.9009900990099011E-3</c:v>
                </c:pt>
                <c:pt idx="3">
                  <c:v>1.3970442245619167E-2</c:v>
                </c:pt>
                <c:pt idx="4">
                  <c:v>2.5845318154395461E-2</c:v>
                </c:pt>
                <c:pt idx="5">
                  <c:v>4.8244593888204859E-2</c:v>
                </c:pt>
                <c:pt idx="6">
                  <c:v>0.18627256327492223</c:v>
                </c:pt>
                <c:pt idx="7">
                  <c:v>0.20971084183732833</c:v>
                </c:pt>
                <c:pt idx="8">
                  <c:v>0.49227108081817572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B-4C5C-B77B-9FF712F93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'114A3935E'!$J$5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'114A3935E'!$I$6:$I$14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'114A3935E'!$J$6:$J$14</c:f>
              <c:numCache>
                <c:formatCode>0.00%</c:formatCode>
                <c:ptCount val="9"/>
                <c:pt idx="0">
                  <c:v>6.4542314033069681E-3</c:v>
                </c:pt>
                <c:pt idx="1">
                  <c:v>2.7430483464054617E-3</c:v>
                </c:pt>
                <c:pt idx="2">
                  <c:v>9.9009900990099011E-3</c:v>
                </c:pt>
                <c:pt idx="3">
                  <c:v>1.1859650203576554E-2</c:v>
                </c:pt>
                <c:pt idx="4">
                  <c:v>1.1042786541595516E-2</c:v>
                </c:pt>
                <c:pt idx="5">
                  <c:v>2.0613201544311632E-2</c:v>
                </c:pt>
                <c:pt idx="6">
                  <c:v>0.15812866938102071</c:v>
                </c:pt>
                <c:pt idx="7">
                  <c:v>0.35693070429490514</c:v>
                </c:pt>
                <c:pt idx="8">
                  <c:v>0.4223267181858682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43-4B38-AFC3-48A9703A4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'114-5692-000'!$J$5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'114-5692-000'!$I$6:$I$14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'114-5692-000'!$J$6:$J$14</c:f>
              <c:numCache>
                <c:formatCode>0.00%</c:formatCode>
                <c:ptCount val="9"/>
                <c:pt idx="0">
                  <c:v>7.7718975811844728E-3</c:v>
                </c:pt>
                <c:pt idx="1">
                  <c:v>4.9545847080051013E-3</c:v>
                </c:pt>
                <c:pt idx="2">
                  <c:v>9.9009900990099011E-3</c:v>
                </c:pt>
                <c:pt idx="3">
                  <c:v>1.5446646442604139E-2</c:v>
                </c:pt>
                <c:pt idx="4">
                  <c:v>1.5118769513397922E-2</c:v>
                </c:pt>
                <c:pt idx="5">
                  <c:v>2.8221703091676115E-2</c:v>
                </c:pt>
                <c:pt idx="6">
                  <c:v>0.20595528590138854</c:v>
                </c:pt>
                <c:pt idx="7">
                  <c:v>0.16348426742475131</c:v>
                </c:pt>
                <c:pt idx="8">
                  <c:v>0.54914585523798254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6C-4EF3-BBFB-FC611DED5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'114A4464'!$J$5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'114A4464'!$I$6:$I$14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'114A4464'!$J$6:$J$14</c:f>
              <c:numCache>
                <c:formatCode>0.00%</c:formatCode>
                <c:ptCount val="9"/>
                <c:pt idx="0">
                  <c:v>3.5233247569604045E-3</c:v>
                </c:pt>
                <c:pt idx="1">
                  <c:v>2.9948260434163438E-3</c:v>
                </c:pt>
                <c:pt idx="2">
                  <c:v>9.9009900990099011E-3</c:v>
                </c:pt>
                <c:pt idx="3">
                  <c:v>5.417111813826622E-3</c:v>
                </c:pt>
                <c:pt idx="4">
                  <c:v>1.0569974270881214E-2</c:v>
                </c:pt>
                <c:pt idx="5">
                  <c:v>1.9730618638978265E-2</c:v>
                </c:pt>
                <c:pt idx="6">
                  <c:v>7.2228157517688296E-2</c:v>
                </c:pt>
                <c:pt idx="7">
                  <c:v>0.68340916730716861</c:v>
                </c:pt>
                <c:pt idx="8">
                  <c:v>0.19222582955207035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75-4CFC-8BDB-0D66ABFA8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'114A4714B'!$J$5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'114A4714B'!$I$6:$I$14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'114A4714B'!$J$6:$J$14</c:f>
              <c:numCache>
                <c:formatCode>0.00%</c:formatCode>
                <c:ptCount val="9"/>
                <c:pt idx="0">
                  <c:v>3.7318669564202615E-3</c:v>
                </c:pt>
                <c:pt idx="1">
                  <c:v>4.7581303694358337E-3</c:v>
                </c:pt>
                <c:pt idx="2">
                  <c:v>9.9009900990099011E-3</c:v>
                </c:pt>
                <c:pt idx="3">
                  <c:v>1.8612686445146055E-2</c:v>
                </c:pt>
                <c:pt idx="4">
                  <c:v>1.8192851412548776E-2</c:v>
                </c:pt>
                <c:pt idx="5">
                  <c:v>3.3959989303424379E-2</c:v>
                </c:pt>
                <c:pt idx="6">
                  <c:v>0.24816915260194738</c:v>
                </c:pt>
                <c:pt idx="7">
                  <c:v>0</c:v>
                </c:pt>
                <c:pt idx="8">
                  <c:v>0.66267433281206733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D-43D3-95EB-B386F1200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'01-39502'!$J$5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'01-39502'!$I$6:$I$14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'01-39502'!$J$6:$J$14</c:f>
              <c:numCache>
                <c:formatCode>0.00%</c:formatCode>
                <c:ptCount val="9"/>
                <c:pt idx="0">
                  <c:v>7.2815858048169438E-2</c:v>
                </c:pt>
                <c:pt idx="1">
                  <c:v>3.8683424588090015E-3</c:v>
                </c:pt>
                <c:pt idx="2">
                  <c:v>9.9009900990099011E-3</c:v>
                </c:pt>
                <c:pt idx="3">
                  <c:v>7.5091353612174736E-3</c:v>
                </c:pt>
                <c:pt idx="4">
                  <c:v>3.8398987642589352E-3</c:v>
                </c:pt>
                <c:pt idx="5">
                  <c:v>7.167811026616679E-3</c:v>
                </c:pt>
                <c:pt idx="6">
                  <c:v>0.40048721926493192</c:v>
                </c:pt>
                <c:pt idx="7">
                  <c:v>0</c:v>
                </c:pt>
                <c:pt idx="8">
                  <c:v>0.26224631276048227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B-45CE-BB58-EEBCACF38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'114A5043'!$J$5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'114A5043'!$I$6:$I$14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'114A5043'!$J$6:$J$14</c:f>
              <c:numCache>
                <c:formatCode>0.00%</c:formatCode>
                <c:ptCount val="9"/>
                <c:pt idx="0">
                  <c:v>2.9992950911250549E-3</c:v>
                </c:pt>
                <c:pt idx="1">
                  <c:v>3.1867510343203706E-3</c:v>
                </c:pt>
                <c:pt idx="2">
                  <c:v>9.9009900990099011E-3</c:v>
                </c:pt>
                <c:pt idx="3">
                  <c:v>1.1697250855387713E-2</c:v>
                </c:pt>
                <c:pt idx="4">
                  <c:v>1.1387948549115443E-2</c:v>
                </c:pt>
                <c:pt idx="5">
                  <c:v>2.1257503958348824E-2</c:v>
                </c:pt>
                <c:pt idx="6">
                  <c:v>0.15596334473850285</c:v>
                </c:pt>
                <c:pt idx="7">
                  <c:v>0.36966497356649686</c:v>
                </c:pt>
                <c:pt idx="8">
                  <c:v>0.41394194210769286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8E-40A6-A1D3-2C2F52AC6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'114A5044'!$J$5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'114A5044'!$I$6:$I$14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'114A5044'!$J$6:$J$14</c:f>
              <c:numCache>
                <c:formatCode>0.00%</c:formatCode>
                <c:ptCount val="9"/>
                <c:pt idx="0">
                  <c:v>4.7582583389618131E-3</c:v>
                </c:pt>
                <c:pt idx="1">
                  <c:v>3.0333896910881559E-3</c:v>
                </c:pt>
                <c:pt idx="2">
                  <c:v>9.9009900990099028E-3</c:v>
                </c:pt>
                <c:pt idx="3">
                  <c:v>1.1955124076641555E-2</c:v>
                </c:pt>
                <c:pt idx="4">
                  <c:v>1.1040646302122332E-2</c:v>
                </c:pt>
                <c:pt idx="5">
                  <c:v>2.0609206430628354E-2</c:v>
                </c:pt>
                <c:pt idx="6">
                  <c:v>0.15940165435522075</c:v>
                </c:pt>
                <c:pt idx="7">
                  <c:v>0.35754793490444148</c:v>
                </c:pt>
                <c:pt idx="8">
                  <c:v>0.42175279580188568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C1-491B-952F-1428456A4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'01-38939'!$J$5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'01-38939'!$I$6:$I$14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'01-38939'!$J$6:$J$14</c:f>
              <c:numCache>
                <c:formatCode>0.00%</c:formatCode>
                <c:ptCount val="9"/>
                <c:pt idx="0">
                  <c:v>2.5867752761399008E-3</c:v>
                </c:pt>
                <c:pt idx="1">
                  <c:v>6.5962769541567465E-3</c:v>
                </c:pt>
                <c:pt idx="2">
                  <c:v>9.9009900990099028E-3</c:v>
                </c:pt>
                <c:pt idx="3">
                  <c:v>1.377457834544497E-2</c:v>
                </c:pt>
                <c:pt idx="4">
                  <c:v>2.6858002671796312E-2</c:v>
                </c:pt>
                <c:pt idx="5">
                  <c:v>5.0134938320686447E-2</c:v>
                </c:pt>
                <c:pt idx="6">
                  <c:v>0.18366104460593294</c:v>
                </c:pt>
                <c:pt idx="7">
                  <c:v>0.21754347661460349</c:v>
                </c:pt>
                <c:pt idx="8">
                  <c:v>0.48894391711222934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C7-49B2-9C6F-92171D970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'114-5433-000'!$J$5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'114-5433-000'!$I$6:$I$14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'114-5433-000'!$J$6:$J$14</c:f>
              <c:numCache>
                <c:formatCode>0.00%</c:formatCode>
                <c:ptCount val="9"/>
                <c:pt idx="0">
                  <c:v>3.766748560156566E-3</c:v>
                </c:pt>
                <c:pt idx="1">
                  <c:v>6.403472552266162E-3</c:v>
                </c:pt>
                <c:pt idx="2">
                  <c:v>9.9009900990099011E-3</c:v>
                </c:pt>
                <c:pt idx="3">
                  <c:v>1.3701547887569509E-2</c:v>
                </c:pt>
                <c:pt idx="4">
                  <c:v>2.6838083491115532E-2</c:v>
                </c:pt>
                <c:pt idx="5">
                  <c:v>5.0097755850082332E-2</c:v>
                </c:pt>
                <c:pt idx="6">
                  <c:v>0.18268730516759346</c:v>
                </c:pt>
                <c:pt idx="7">
                  <c:v>0.21761264021233981</c:v>
                </c:pt>
                <c:pt idx="8">
                  <c:v>0.48899145617986672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7-4CB5-8AF5-55324339F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'114A4109D'!$J$5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'114A4109D'!$I$6:$I$14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'114A4109D'!$J$6:$J$14</c:f>
              <c:numCache>
                <c:formatCode>0.00%</c:formatCode>
                <c:ptCount val="9"/>
                <c:pt idx="0">
                  <c:v>5.8660628588353093E-3</c:v>
                </c:pt>
                <c:pt idx="1">
                  <c:v>6.2326917875125155E-3</c:v>
                </c:pt>
                <c:pt idx="2">
                  <c:v>9.9009900990099011E-3</c:v>
                </c:pt>
                <c:pt idx="3">
                  <c:v>1.3858573503998418E-2</c:v>
                </c:pt>
                <c:pt idx="4">
                  <c:v>2.5984825319997028E-2</c:v>
                </c:pt>
                <c:pt idx="5">
                  <c:v>4.8505007263994461E-2</c:v>
                </c:pt>
                <c:pt idx="6">
                  <c:v>0.18478098005331223</c:v>
                </c:pt>
                <c:pt idx="7">
                  <c:v>0.21051245460321</c:v>
                </c:pt>
                <c:pt idx="8">
                  <c:v>0.49435841451013018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56-42DF-8338-231D41AF1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'114-5801-000'!$J$5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'114-5801-000'!$I$6:$I$14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'114-5801-000'!$J$6:$J$14</c:f>
              <c:numCache>
                <c:formatCode>0.00%</c:formatCode>
                <c:ptCount val="9"/>
                <c:pt idx="0">
                  <c:v>5.1017799990636173E-3</c:v>
                </c:pt>
                <c:pt idx="1">
                  <c:v>6.5047694988061115E-3</c:v>
                </c:pt>
                <c:pt idx="2">
                  <c:v>9.9009900990098994E-3</c:v>
                </c:pt>
                <c:pt idx="3">
                  <c:v>1.3966122747436652E-2</c:v>
                </c:pt>
                <c:pt idx="4">
                  <c:v>2.6066907182715669E-2</c:v>
                </c:pt>
                <c:pt idx="5">
                  <c:v>4.8658226741069247E-2</c:v>
                </c:pt>
                <c:pt idx="6">
                  <c:v>0.18621496996582201</c:v>
                </c:pt>
                <c:pt idx="7">
                  <c:v>0.21142951919385722</c:v>
                </c:pt>
                <c:pt idx="8">
                  <c:v>0.49215671457221938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9B-46D0-B476-692C1170E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'114A2074I-1'!$J$5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'114A2074I-1'!$I$6:$I$14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'114A2074I-1'!$J$6:$J$14</c:f>
              <c:numCache>
                <c:formatCode>0.00%</c:formatCode>
                <c:ptCount val="9"/>
                <c:pt idx="0">
                  <c:v>4.8970914307215938E-2</c:v>
                </c:pt>
                <c:pt idx="1">
                  <c:v>4.4598511244071659E-3</c:v>
                </c:pt>
                <c:pt idx="2">
                  <c:v>9.9009900990099011E-3</c:v>
                </c:pt>
                <c:pt idx="3">
                  <c:v>1.7314716130051349E-2</c:v>
                </c:pt>
                <c:pt idx="4">
                  <c:v>1.7216337061130602E-2</c:v>
                </c:pt>
                <c:pt idx="5">
                  <c:v>3.2137162514110459E-2</c:v>
                </c:pt>
                <c:pt idx="6">
                  <c:v>0.23086288173401798</c:v>
                </c:pt>
                <c:pt idx="7">
                  <c:v>2.2462828415579335E-2</c:v>
                </c:pt>
                <c:pt idx="8">
                  <c:v>0.61667431861447741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9-4204-8B25-D490B99D2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'01-34213'!$J$5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'01-34213'!$I$6:$I$14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'01-34213'!$J$6:$J$14</c:f>
              <c:numCache>
                <c:formatCode>0.00%</c:formatCode>
                <c:ptCount val="9"/>
                <c:pt idx="0">
                  <c:v>1.296159483227457E-2</c:v>
                </c:pt>
                <c:pt idx="1">
                  <c:v>4.1315083527875196E-3</c:v>
                </c:pt>
                <c:pt idx="2">
                  <c:v>9.9009900990098994E-3</c:v>
                </c:pt>
                <c:pt idx="3">
                  <c:v>1.7012093217360375E-2</c:v>
                </c:pt>
                <c:pt idx="4">
                  <c:v>1.6556412149038222E-2</c:v>
                </c:pt>
                <c:pt idx="5">
                  <c:v>3.0905302678204679E-2</c:v>
                </c:pt>
                <c:pt idx="6">
                  <c:v>0.226827909564805</c:v>
                </c:pt>
                <c:pt idx="7">
                  <c:v>7.6706350315244032E-2</c:v>
                </c:pt>
                <c:pt idx="8">
                  <c:v>0.60499783879127567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87-4CF7-BC97-8A6AC2D61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'01-34005'!$J$5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'01-34005'!$I$6:$I$14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'01-34005'!$J$6:$J$14</c:f>
              <c:numCache>
                <c:formatCode>0.00%</c:formatCode>
                <c:ptCount val="9"/>
                <c:pt idx="0">
                  <c:v>3.0701383441499402E-2</c:v>
                </c:pt>
                <c:pt idx="1">
                  <c:v>6.5240439813186229E-3</c:v>
                </c:pt>
                <c:pt idx="2">
                  <c:v>9.9009900990098994E-3</c:v>
                </c:pt>
                <c:pt idx="3">
                  <c:v>1.6693877246315297E-2</c:v>
                </c:pt>
                <c:pt idx="4">
                  <c:v>1.6190182674228198E-2</c:v>
                </c:pt>
                <c:pt idx="5">
                  <c:v>3.0221674325225972E-2</c:v>
                </c:pt>
                <c:pt idx="6">
                  <c:v>0.22258502995087065</c:v>
                </c:pt>
                <c:pt idx="7">
                  <c:v>7.4931084264024533E-2</c:v>
                </c:pt>
                <c:pt idx="8">
                  <c:v>0.5922517340175073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E-4482-AC7B-69340955E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'01-39384B'!$J$5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'01-39384B'!$I$6:$I$14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'01-39384B'!$J$6:$J$14</c:f>
              <c:numCache>
                <c:formatCode>0.00%</c:formatCode>
                <c:ptCount val="9"/>
                <c:pt idx="0">
                  <c:v>2.7447502112693544E-2</c:v>
                </c:pt>
                <c:pt idx="1">
                  <c:v>4.3744456492105337E-3</c:v>
                </c:pt>
                <c:pt idx="2">
                  <c:v>9.9009900990099011E-3</c:v>
                </c:pt>
                <c:pt idx="3">
                  <c:v>1.7497782596842135E-2</c:v>
                </c:pt>
                <c:pt idx="4">
                  <c:v>1.7047472015305758E-2</c:v>
                </c:pt>
                <c:pt idx="5">
                  <c:v>3.1821947761904078E-2</c:v>
                </c:pt>
                <c:pt idx="6">
                  <c:v>0.23330376795789515</c:v>
                </c:pt>
                <c:pt idx="7">
                  <c:v>4.2074346674795808E-2</c:v>
                </c:pt>
                <c:pt idx="8">
                  <c:v>0.6165317451323431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E-4F81-A83D-C1662CFE8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'01-39413B'!$J$5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'01-39413B'!$I$6:$I$14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'01-39413B'!$J$6:$J$14</c:f>
              <c:numCache>
                <c:formatCode>0.00%</c:formatCode>
                <c:ptCount val="9"/>
                <c:pt idx="0">
                  <c:v>2.7447502112693544E-2</c:v>
                </c:pt>
                <c:pt idx="1">
                  <c:v>4.3744456492105337E-3</c:v>
                </c:pt>
                <c:pt idx="2">
                  <c:v>9.9009900990099011E-3</c:v>
                </c:pt>
                <c:pt idx="3">
                  <c:v>1.7497782596842135E-2</c:v>
                </c:pt>
                <c:pt idx="4">
                  <c:v>1.7047472015305758E-2</c:v>
                </c:pt>
                <c:pt idx="5">
                  <c:v>3.1821947761904078E-2</c:v>
                </c:pt>
                <c:pt idx="6">
                  <c:v>0.23330376795789515</c:v>
                </c:pt>
                <c:pt idx="7">
                  <c:v>4.2074346674795808E-2</c:v>
                </c:pt>
                <c:pt idx="8">
                  <c:v>0.6165317451323431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10-493D-86EF-A3BB6DF42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'01-39405B'!$J$5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'01-39405B'!$I$6:$I$14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'01-39405B'!$J$6:$J$14</c:f>
              <c:numCache>
                <c:formatCode>0.00%</c:formatCode>
                <c:ptCount val="9"/>
                <c:pt idx="0">
                  <c:v>3.2013169397140474E-2</c:v>
                </c:pt>
                <c:pt idx="1">
                  <c:v>5.1020988726692635E-3</c:v>
                </c:pt>
                <c:pt idx="2">
                  <c:v>9.9009900990099011E-3</c:v>
                </c:pt>
                <c:pt idx="3">
                  <c:v>1.7407160859695132E-2</c:v>
                </c:pt>
                <c:pt idx="4">
                  <c:v>1.7069521963709668E-2</c:v>
                </c:pt>
                <c:pt idx="5">
                  <c:v>3.1863107665591382E-2</c:v>
                </c:pt>
                <c:pt idx="6">
                  <c:v>0.23209547812926845</c:v>
                </c:pt>
                <c:pt idx="7">
                  <c:v>3.8941468073937009E-2</c:v>
                </c:pt>
                <c:pt idx="8">
                  <c:v>0.61560700493897891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79-48F3-BD94-659CA96B0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'01-39380B'!$J$5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'01-39380B'!$I$6:$I$14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'01-39380B'!$J$6:$J$14</c:f>
              <c:numCache>
                <c:formatCode>0.00%</c:formatCode>
                <c:ptCount val="9"/>
                <c:pt idx="0">
                  <c:v>3.2013169397140474E-2</c:v>
                </c:pt>
                <c:pt idx="1">
                  <c:v>5.1020988726692635E-3</c:v>
                </c:pt>
                <c:pt idx="2">
                  <c:v>9.9009900990099011E-3</c:v>
                </c:pt>
                <c:pt idx="3">
                  <c:v>1.7407160859695132E-2</c:v>
                </c:pt>
                <c:pt idx="4">
                  <c:v>1.7069521963709668E-2</c:v>
                </c:pt>
                <c:pt idx="5">
                  <c:v>3.1863107665591382E-2</c:v>
                </c:pt>
                <c:pt idx="6">
                  <c:v>0.23209547812926845</c:v>
                </c:pt>
                <c:pt idx="7">
                  <c:v>3.8941468073937009E-2</c:v>
                </c:pt>
                <c:pt idx="8">
                  <c:v>0.61560700493897891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A-44CE-B35C-F74438A4F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'01-39381B'!$J$5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'01-39381B'!$I$6:$I$14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'01-39381B'!$J$6:$J$14</c:f>
              <c:numCache>
                <c:formatCode>0.00%</c:formatCode>
                <c:ptCount val="9"/>
                <c:pt idx="0">
                  <c:v>2.219176335713597E-2</c:v>
                </c:pt>
                <c:pt idx="1">
                  <c:v>4.7157497133913937E-3</c:v>
                </c:pt>
                <c:pt idx="2">
                  <c:v>9.9009900990098994E-3</c:v>
                </c:pt>
                <c:pt idx="3">
                  <c:v>1.7476013643744577E-2</c:v>
                </c:pt>
                <c:pt idx="4">
                  <c:v>1.7293971834955568E-2</c:v>
                </c:pt>
                <c:pt idx="5">
                  <c:v>3.2282080758583728E-2</c:v>
                </c:pt>
                <c:pt idx="6">
                  <c:v>0.23301351524992767</c:v>
                </c:pt>
                <c:pt idx="7">
                  <c:v>3.9596166245700795E-2</c:v>
                </c:pt>
                <c:pt idx="8">
                  <c:v>0.62352974909755032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8D-4554-91B5-0CF11F3E3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'01-39407B'!$J$5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'01-39407B'!$I$6:$I$14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'01-39407B'!$J$6:$J$14</c:f>
              <c:numCache>
                <c:formatCode>0.00%</c:formatCode>
                <c:ptCount val="9"/>
                <c:pt idx="0">
                  <c:v>2.219176335713597E-2</c:v>
                </c:pt>
                <c:pt idx="1">
                  <c:v>4.7157497133913937E-3</c:v>
                </c:pt>
                <c:pt idx="2">
                  <c:v>9.9009900990098994E-3</c:v>
                </c:pt>
                <c:pt idx="3">
                  <c:v>1.7476013643744577E-2</c:v>
                </c:pt>
                <c:pt idx="4">
                  <c:v>1.7293971834955568E-2</c:v>
                </c:pt>
                <c:pt idx="5">
                  <c:v>3.2282080758583728E-2</c:v>
                </c:pt>
                <c:pt idx="6">
                  <c:v>0.23301351524992767</c:v>
                </c:pt>
                <c:pt idx="7">
                  <c:v>3.9596166245700795E-2</c:v>
                </c:pt>
                <c:pt idx="8">
                  <c:v>0.62352974909755032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0F-46BF-809E-DF73A4842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'01-39382C'!$J$5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'01-39382C'!$I$6:$I$14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'01-39382C'!$J$6:$J$14</c:f>
              <c:numCache>
                <c:formatCode>0.00%</c:formatCode>
                <c:ptCount val="9"/>
                <c:pt idx="0">
                  <c:v>3.1454910369852693E-2</c:v>
                </c:pt>
                <c:pt idx="1">
                  <c:v>5.0131263401952727E-3</c:v>
                </c:pt>
                <c:pt idx="2">
                  <c:v>9.9009900990099011E-3</c:v>
                </c:pt>
                <c:pt idx="3">
                  <c:v>1.739849729832477E-2</c:v>
                </c:pt>
                <c:pt idx="4">
                  <c:v>1.7140468736697074E-2</c:v>
                </c:pt>
                <c:pt idx="5">
                  <c:v>3.1995541641834532E-2</c:v>
                </c:pt>
                <c:pt idx="6">
                  <c:v>0.2319799639776636</c:v>
                </c:pt>
                <c:pt idx="7">
                  <c:v>3.4369140337546816E-2</c:v>
                </c:pt>
                <c:pt idx="8">
                  <c:v>0.62074736119887541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D-4955-A81D-CF8947D78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'01-39409C'!$J$5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'01-39409C'!$I$6:$I$14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'01-39409C'!$J$6:$J$14</c:f>
              <c:numCache>
                <c:formatCode>0.00%</c:formatCode>
                <c:ptCount val="9"/>
                <c:pt idx="0">
                  <c:v>3.1454910369852693E-2</c:v>
                </c:pt>
                <c:pt idx="1">
                  <c:v>5.0131263401952727E-3</c:v>
                </c:pt>
                <c:pt idx="2">
                  <c:v>9.9009900990099011E-3</c:v>
                </c:pt>
                <c:pt idx="3">
                  <c:v>1.739849729832477E-2</c:v>
                </c:pt>
                <c:pt idx="4">
                  <c:v>1.7140468736697074E-2</c:v>
                </c:pt>
                <c:pt idx="5">
                  <c:v>3.1995541641834532E-2</c:v>
                </c:pt>
                <c:pt idx="6">
                  <c:v>0.2319799639776636</c:v>
                </c:pt>
                <c:pt idx="7">
                  <c:v>3.4369140337546816E-2</c:v>
                </c:pt>
                <c:pt idx="8">
                  <c:v>0.62074736119887541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FD-4ECD-99FA-17384F427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'8114A2935E'!$L$5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'8114A2935E'!$K$6:$K$14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'8114A2935E'!$L$6:$L$14</c:f>
              <c:numCache>
                <c:formatCode>0.00%</c:formatCode>
                <c:ptCount val="9"/>
                <c:pt idx="0">
                  <c:v>3.8800262143429042E-2</c:v>
                </c:pt>
                <c:pt idx="1">
                  <c:v>4.947033423287203E-3</c:v>
                </c:pt>
                <c:pt idx="2">
                  <c:v>9.9009900990099011E-3</c:v>
                </c:pt>
                <c:pt idx="3">
                  <c:v>1.7460117964543068E-2</c:v>
                </c:pt>
                <c:pt idx="4">
                  <c:v>1.7096365506948423E-2</c:v>
                </c:pt>
                <c:pt idx="5">
                  <c:v>3.1913215612970385E-2</c:v>
                </c:pt>
                <c:pt idx="6">
                  <c:v>0.23280157286057426</c:v>
                </c:pt>
                <c:pt idx="7">
                  <c:v>2.7494188323055242E-2</c:v>
                </c:pt>
                <c:pt idx="8">
                  <c:v>0.6195862540661824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E-4762-A3D4-AD75BAB79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'8114A3656D'!$L$5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'8114A3656D'!$K$6:$K$14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'8114A3656D'!$L$6:$L$14</c:f>
              <c:numCache>
                <c:formatCode>0.00%</c:formatCode>
                <c:ptCount val="9"/>
                <c:pt idx="0">
                  <c:v>2.0255276653874898E-2</c:v>
                </c:pt>
                <c:pt idx="1">
                  <c:v>4.3042462889484158E-3</c:v>
                </c:pt>
                <c:pt idx="2">
                  <c:v>0</c:v>
                </c:pt>
                <c:pt idx="3">
                  <c:v>1.7925919838679284E-2</c:v>
                </c:pt>
                <c:pt idx="4">
                  <c:v>1.7660069332597176E-2</c:v>
                </c:pt>
                <c:pt idx="5">
                  <c:v>3.2965462754181392E-2</c:v>
                </c:pt>
                <c:pt idx="6">
                  <c:v>0.23901226451572377</c:v>
                </c:pt>
                <c:pt idx="7">
                  <c:v>2.840952390431142E-2</c:v>
                </c:pt>
                <c:pt idx="8">
                  <c:v>0.63946723671168371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E-48B9-AAA1-B0CF87CFA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'8114A3657E'!$L$5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'8114A3657E'!$K$6:$K$14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'8114A3657E'!$L$6:$L$14</c:f>
              <c:numCache>
                <c:formatCode>0.00%</c:formatCode>
                <c:ptCount val="9"/>
                <c:pt idx="0">
                  <c:v>5.6040150289839046E-2</c:v>
                </c:pt>
                <c:pt idx="1">
                  <c:v>4.7634127746363185E-3</c:v>
                </c:pt>
                <c:pt idx="2">
                  <c:v>9.9009900990099028E-3</c:v>
                </c:pt>
                <c:pt idx="3">
                  <c:v>1.7232346214125508E-2</c:v>
                </c:pt>
                <c:pt idx="4">
                  <c:v>1.6812045086951714E-2</c:v>
                </c:pt>
                <c:pt idx="5">
                  <c:v>3.1382484162309862E-2</c:v>
                </c:pt>
                <c:pt idx="6">
                  <c:v>0.2297646161883401</c:v>
                </c:pt>
                <c:pt idx="7">
                  <c:v>2.7011760470163498E-2</c:v>
                </c:pt>
                <c:pt idx="8">
                  <c:v>0.60709219471462417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6-41EC-A198-881355377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'114A4962'!$J$5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'114A4962'!$I$6:$I$14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'114A4962'!$J$6:$J$14</c:f>
              <c:numCache>
                <c:formatCode>0.00%</c:formatCode>
                <c:ptCount val="9"/>
                <c:pt idx="0">
                  <c:v>0.31180667117395572</c:v>
                </c:pt>
                <c:pt idx="1">
                  <c:v>2.7607882343527327E-3</c:v>
                </c:pt>
                <c:pt idx="2">
                  <c:v>9.9009900990099011E-3</c:v>
                </c:pt>
                <c:pt idx="3">
                  <c:v>7.3079688556395867E-3</c:v>
                </c:pt>
                <c:pt idx="4">
                  <c:v>7.0034701533212692E-3</c:v>
                </c:pt>
                <c:pt idx="5">
                  <c:v>1.3073144286199705E-2</c:v>
                </c:pt>
                <c:pt idx="6">
                  <c:v>0.38975833896744461</c:v>
                </c:pt>
                <c:pt idx="7">
                  <c:v>9.6521642699089923E-3</c:v>
                </c:pt>
                <c:pt idx="8">
                  <c:v>0.24873646396016752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6-49A8-9778-5268926E6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'114-5741-000'!$J$5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'114-5741-000'!$I$6:$I$14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'114-5741-000'!$J$6:$J$14</c:f>
              <c:numCache>
                <c:formatCode>0.00%</c:formatCode>
                <c:ptCount val="9"/>
                <c:pt idx="0">
                  <c:v>0.4431289422152177</c:v>
                </c:pt>
                <c:pt idx="1">
                  <c:v>2.354122505518344E-2</c:v>
                </c:pt>
                <c:pt idx="2">
                  <c:v>9.9009900990098994E-3</c:v>
                </c:pt>
                <c:pt idx="3">
                  <c:v>4.1543338332676654E-3</c:v>
                </c:pt>
                <c:pt idx="4">
                  <c:v>4.9332714270053528E-2</c:v>
                </c:pt>
                <c:pt idx="5">
                  <c:v>9.2087733304099931E-2</c:v>
                </c:pt>
                <c:pt idx="6">
                  <c:v>0.22156447110760885</c:v>
                </c:pt>
                <c:pt idx="7">
                  <c:v>1.9612007001052759E-2</c:v>
                </c:pt>
                <c:pt idx="8">
                  <c:v>0.1366775831145062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7A-4511-BC83-68B38AF55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'01-34006'!$J$5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'01-34006'!$I$6:$I$14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'01-34006'!$J$6:$J$14</c:f>
              <c:numCache>
                <c:formatCode>0.00%</c:formatCode>
                <c:ptCount val="9"/>
                <c:pt idx="0">
                  <c:v>9.7681086921057366E-3</c:v>
                </c:pt>
                <c:pt idx="1">
                  <c:v>4.1514461941449376E-3</c:v>
                </c:pt>
                <c:pt idx="2">
                  <c:v>9.9009900990098994E-3</c:v>
                </c:pt>
                <c:pt idx="3">
                  <c:v>1.5384771190066536E-2</c:v>
                </c:pt>
                <c:pt idx="4">
                  <c:v>1.5110043133101062E-2</c:v>
                </c:pt>
                <c:pt idx="5">
                  <c:v>2.8205413848455315E-2</c:v>
                </c:pt>
                <c:pt idx="6">
                  <c:v>0.20513028253422047</c:v>
                </c:pt>
                <c:pt idx="7">
                  <c:v>0.16329569160068241</c:v>
                </c:pt>
                <c:pt idx="8">
                  <c:v>0.54905325270821348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F-48AD-9485-33E12A5A7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'01-39055'!$J$5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'01-39055'!$I$6:$I$14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'01-39055'!$J$6:$J$14</c:f>
              <c:numCache>
                <c:formatCode>0.00%</c:formatCode>
                <c:ptCount val="9"/>
                <c:pt idx="0">
                  <c:v>0.10665255346684102</c:v>
                </c:pt>
                <c:pt idx="1">
                  <c:v>2.2663667611703717E-2</c:v>
                </c:pt>
                <c:pt idx="2">
                  <c:v>9.9009900990099011E-3</c:v>
                </c:pt>
                <c:pt idx="3">
                  <c:v>1.5997883020026152E-2</c:v>
                </c:pt>
                <c:pt idx="4">
                  <c:v>1.2498346109395432E-2</c:v>
                </c:pt>
                <c:pt idx="5">
                  <c:v>2.3330246070871474E-2</c:v>
                </c:pt>
                <c:pt idx="6">
                  <c:v>0.21330510693368204</c:v>
                </c:pt>
                <c:pt idx="7">
                  <c:v>0.13047036349120694</c:v>
                </c:pt>
                <c:pt idx="8">
                  <c:v>0.46518084319726344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8A-4C4C-AF16-DF21BB69F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'01-35670B'!$J$5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'01-35670B'!$I$6:$I$14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'01-35670B'!$J$6:$J$14</c:f>
              <c:numCache>
                <c:formatCode>0.00%</c:formatCode>
                <c:ptCount val="9"/>
                <c:pt idx="0">
                  <c:v>9.7681086921057366E-3</c:v>
                </c:pt>
                <c:pt idx="1">
                  <c:v>4.1514461941449376E-3</c:v>
                </c:pt>
                <c:pt idx="2">
                  <c:v>9.9009900990098994E-3</c:v>
                </c:pt>
                <c:pt idx="3">
                  <c:v>1.5384771190066536E-2</c:v>
                </c:pt>
                <c:pt idx="4">
                  <c:v>1.5110043133101062E-2</c:v>
                </c:pt>
                <c:pt idx="5">
                  <c:v>2.8205413848455315E-2</c:v>
                </c:pt>
                <c:pt idx="6">
                  <c:v>0.20513028253422047</c:v>
                </c:pt>
                <c:pt idx="7">
                  <c:v>0.16329569160068241</c:v>
                </c:pt>
                <c:pt idx="8">
                  <c:v>0.54905325270821348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F-44F9-A8DF-C21D4BEF1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'114-5709-000'!$J$5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'114-5709-000'!$I$6:$I$14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'114-5709-000'!$J$6:$J$14</c:f>
              <c:numCache>
                <c:formatCode>0.00%</c:formatCode>
                <c:ptCount val="9"/>
                <c:pt idx="0">
                  <c:v>1.5271406362184964E-2</c:v>
                </c:pt>
                <c:pt idx="1">
                  <c:v>6.4903477039286095E-3</c:v>
                </c:pt>
                <c:pt idx="2">
                  <c:v>9.9009900990098994E-3</c:v>
                </c:pt>
                <c:pt idx="3">
                  <c:v>0</c:v>
                </c:pt>
                <c:pt idx="4">
                  <c:v>2.8633886929096807E-2</c:v>
                </c:pt>
                <c:pt idx="5">
                  <c:v>5.3449922267647373E-2</c:v>
                </c:pt>
                <c:pt idx="6">
                  <c:v>0.14603282333839371</c:v>
                </c:pt>
                <c:pt idx="7">
                  <c:v>0.10277990461704854</c:v>
                </c:pt>
                <c:pt idx="8">
                  <c:v>0.61175039532990449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6B-40DF-BCD9-6DF86C2F3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'114-5711-010'!$J$5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'114-5711-010'!$I$6:$I$14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'114-5711-010'!$J$6:$J$14</c:f>
              <c:numCache>
                <c:formatCode>0.00%</c:formatCode>
                <c:ptCount val="9"/>
                <c:pt idx="0">
                  <c:v>4.8700653124933765E-3</c:v>
                </c:pt>
                <c:pt idx="1">
                  <c:v>5.7436332779218762E-3</c:v>
                </c:pt>
                <c:pt idx="2">
                  <c:v>9.9009900990099028E-3</c:v>
                </c:pt>
                <c:pt idx="3">
                  <c:v>1.2911760659748065E-2</c:v>
                </c:pt>
                <c:pt idx="4">
                  <c:v>2.5265366177822084E-2</c:v>
                </c:pt>
                <c:pt idx="5">
                  <c:v>4.7162016865267893E-2</c:v>
                </c:pt>
                <c:pt idx="6">
                  <c:v>0.12911760659748064</c:v>
                </c:pt>
                <c:pt idx="7">
                  <c:v>8.2145068434580859E-2</c:v>
                </c:pt>
                <c:pt idx="8">
                  <c:v>0.68288349257567538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BA-4EE8-9C3E-9D384F4BB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'114-5819-000'!$J$5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'114-5819-000'!$I$6:$I$14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'114-5819-000'!$J$6:$J$14</c:f>
              <c:numCache>
                <c:formatCode>0.00%</c:formatCode>
                <c:ptCount val="9"/>
                <c:pt idx="0">
                  <c:v>4.6758304916895534E-3</c:v>
                </c:pt>
                <c:pt idx="1">
                  <c:v>5.8374821294686768E-3</c:v>
                </c:pt>
                <c:pt idx="2">
                  <c:v>9.9009900990098994E-3</c:v>
                </c:pt>
                <c:pt idx="3">
                  <c:v>1.2909675748149127E-2</c:v>
                </c:pt>
                <c:pt idx="4">
                  <c:v>2.5246744910694865E-2</c:v>
                </c:pt>
                <c:pt idx="5">
                  <c:v>4.7127257166630417E-2</c:v>
                </c:pt>
                <c:pt idx="6">
                  <c:v>0.12909675748149127</c:v>
                </c:pt>
                <c:pt idx="7">
                  <c:v>8.2089015781888292E-2</c:v>
                </c:pt>
                <c:pt idx="8">
                  <c:v>0.68311624619097788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06-439E-A6E3-A40C4CF22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'002-2389-000'!$L$5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'002-2389-000'!$K$6:$K$14</c:f>
              <c:strCache>
                <c:ptCount val="9"/>
                <c:pt idx="0">
                  <c:v>ARREGLO</c:v>
                </c:pt>
                <c:pt idx="1">
                  <c:v>TARIMA</c:v>
                </c:pt>
                <c:pt idx="2">
                  <c:v>PLACAS</c:v>
                </c:pt>
                <c:pt idx="3">
                  <c:v>OTROS: FLETE </c:v>
                </c:pt>
                <c:pt idx="4">
                  <c:v>CORTE ($50 pesos)</c:v>
                </c:pt>
                <c:pt idx="5">
                  <c:v>EMPAQUE</c:v>
                </c:pt>
                <c:pt idx="6">
                  <c:v>COMPAGINADO/ENGRAPADO/ DOBLEZ (MAS DE 4 PAG) YA NO LLEVA DOBLEZ</c:v>
                </c:pt>
                <c:pt idx="7">
                  <c:v>TIRAJE</c:v>
                </c:pt>
                <c:pt idx="8">
                  <c:v>PAPEL</c:v>
                </c:pt>
              </c:strCache>
            </c:strRef>
          </c:cat>
          <c:val>
            <c:numRef>
              <c:f>'002-2389-000'!$L$6:$L$14</c:f>
              <c:numCache>
                <c:formatCode>0.00%</c:formatCode>
                <c:ptCount val="9"/>
                <c:pt idx="0">
                  <c:v>0</c:v>
                </c:pt>
                <c:pt idx="1">
                  <c:v>7.7069385425827357E-3</c:v>
                </c:pt>
                <c:pt idx="2">
                  <c:v>7.2535892165484575E-3</c:v>
                </c:pt>
                <c:pt idx="3">
                  <c:v>3.3618685958729466E-2</c:v>
                </c:pt>
                <c:pt idx="4">
                  <c:v>1.523253735475176E-2</c:v>
                </c:pt>
                <c:pt idx="5">
                  <c:v>6.2754880456295015E-2</c:v>
                </c:pt>
                <c:pt idx="6">
                  <c:v>8.3461672819464469E-2</c:v>
                </c:pt>
                <c:pt idx="7">
                  <c:v>0.20310049806335681</c:v>
                </c:pt>
                <c:pt idx="8">
                  <c:v>0.69095170254587857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3-4807-A661-99EEC3D2C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'002-2372-000'!$L$5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'002-2372-000'!$K$6:$K$14</c:f>
              <c:strCache>
                <c:ptCount val="9"/>
                <c:pt idx="0">
                  <c:v>ARREGLO</c:v>
                </c:pt>
                <c:pt idx="1">
                  <c:v>TARIMA</c:v>
                </c:pt>
                <c:pt idx="2">
                  <c:v>PLACAS</c:v>
                </c:pt>
                <c:pt idx="3">
                  <c:v>OTROS: FLETE </c:v>
                </c:pt>
                <c:pt idx="4">
                  <c:v>CORTE ($50 pesos)</c:v>
                </c:pt>
                <c:pt idx="5">
                  <c:v>EMPAQUE</c:v>
                </c:pt>
                <c:pt idx="6">
                  <c:v>COMPAGINADO/ENGRAPADO/ DOBLEZ (MAS DE 4 PAG) YA NO LLEVA DOBLEZ</c:v>
                </c:pt>
                <c:pt idx="7">
                  <c:v>TIRAJE</c:v>
                </c:pt>
                <c:pt idx="8">
                  <c:v>PAPEL</c:v>
                </c:pt>
              </c:strCache>
            </c:strRef>
          </c:cat>
          <c:val>
            <c:numRef>
              <c:f>'002-2372-000'!$L$6:$L$14</c:f>
              <c:numCache>
                <c:formatCode>0.00%</c:formatCode>
                <c:ptCount val="9"/>
                <c:pt idx="0">
                  <c:v>0</c:v>
                </c:pt>
                <c:pt idx="1">
                  <c:v>6.3457659511050616E-3</c:v>
                </c:pt>
                <c:pt idx="2">
                  <c:v>2.9862428005200288E-2</c:v>
                </c:pt>
                <c:pt idx="3">
                  <c:v>2.6946175270317448E-2</c:v>
                </c:pt>
                <c:pt idx="4">
                  <c:v>1.2318251552145118E-2</c:v>
                </c:pt>
                <c:pt idx="5">
                  <c:v>5.0299527171259233E-2</c:v>
                </c:pt>
                <c:pt idx="6">
                  <c:v>6.6736693698942626E-2</c:v>
                </c:pt>
                <c:pt idx="7">
                  <c:v>0.16424335402860157</c:v>
                </c:pt>
                <c:pt idx="8">
                  <c:v>0.7268392727151104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3E-4B66-9DD6-54ADC235F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'114-5589-000'!$J$5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'114-5589-000'!$I$6:$I$14</c:f>
              <c:strCache>
                <c:ptCount val="9"/>
                <c:pt idx="0">
                  <c:v>ARREGLO</c:v>
                </c:pt>
                <c:pt idx="1">
                  <c:v>TARIMA</c:v>
                </c:pt>
                <c:pt idx="2">
                  <c:v>PLACAS</c:v>
                </c:pt>
                <c:pt idx="3">
                  <c:v>OTROS: FLETE </c:v>
                </c:pt>
                <c:pt idx="4">
                  <c:v>CORTE ($50 pesos)</c:v>
                </c:pt>
                <c:pt idx="5">
                  <c:v>EMPAQUE</c:v>
                </c:pt>
                <c:pt idx="6">
                  <c:v>COMPAGINADO/ENGRAPADO/ DOBLEZ (MAS DE 4 PAG) YA NO LLEVA DOBLEZ</c:v>
                </c:pt>
                <c:pt idx="7">
                  <c:v>TIRAJE</c:v>
                </c:pt>
                <c:pt idx="8">
                  <c:v>PAPEL</c:v>
                </c:pt>
              </c:strCache>
            </c:strRef>
          </c:cat>
          <c:val>
            <c:numRef>
              <c:f>'114-5589-000'!$J$6:$J$14</c:f>
              <c:numCache>
                <c:formatCode>0.00%</c:formatCode>
                <c:ptCount val="9"/>
                <c:pt idx="0">
                  <c:v>0</c:v>
                </c:pt>
                <c:pt idx="1">
                  <c:v>1.0260276501334367E-2</c:v>
                </c:pt>
                <c:pt idx="2">
                  <c:v>0.26556009768159539</c:v>
                </c:pt>
                <c:pt idx="3">
                  <c:v>2.4896259157649567E-2</c:v>
                </c:pt>
                <c:pt idx="4">
                  <c:v>1.1769140692707068E-2</c:v>
                </c:pt>
                <c:pt idx="5">
                  <c:v>4.6473017094279187E-2</c:v>
                </c:pt>
                <c:pt idx="6">
                  <c:v>8.2290247601713006E-3</c:v>
                </c:pt>
                <c:pt idx="7">
                  <c:v>0.11769140692707067</c:v>
                </c:pt>
                <c:pt idx="8">
                  <c:v>0.50521978708618265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4-4698-833F-F6935441F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'002-2373-000'!$L$5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'002-2373-000'!$K$6:$K$14</c:f>
              <c:strCache>
                <c:ptCount val="9"/>
                <c:pt idx="0">
                  <c:v>ARREGLO</c:v>
                </c:pt>
                <c:pt idx="1">
                  <c:v>TARIMA</c:v>
                </c:pt>
                <c:pt idx="2">
                  <c:v>PLACAS</c:v>
                </c:pt>
                <c:pt idx="3">
                  <c:v>OTROS: FLETE </c:v>
                </c:pt>
                <c:pt idx="4">
                  <c:v>CORTE ($50 pesos)</c:v>
                </c:pt>
                <c:pt idx="5">
                  <c:v>EMPAQUE</c:v>
                </c:pt>
                <c:pt idx="6">
                  <c:v>COMPAGINADO/ENGRAPADO/ DOBLEZ (MAS DE 4 PAG) YA NO LLEVA DOBLEZ</c:v>
                </c:pt>
                <c:pt idx="7">
                  <c:v>TIRAJE</c:v>
                </c:pt>
                <c:pt idx="8">
                  <c:v>PAPEL</c:v>
                </c:pt>
              </c:strCache>
            </c:strRef>
          </c:cat>
          <c:val>
            <c:numRef>
              <c:f>'002-2373-000'!$L$6:$L$14</c:f>
              <c:numCache>
                <c:formatCode>0.00%</c:formatCode>
                <c:ptCount val="9"/>
                <c:pt idx="0">
                  <c:v>0</c:v>
                </c:pt>
                <c:pt idx="1">
                  <c:v>6.8445867625320208E-3</c:v>
                </c:pt>
                <c:pt idx="2">
                  <c:v>9.2028057311354904E-3</c:v>
                </c:pt>
                <c:pt idx="3">
                  <c:v>2.868687099002391E-2</c:v>
                </c:pt>
                <c:pt idx="4">
                  <c:v>1.4666971633997187E-2</c:v>
                </c:pt>
                <c:pt idx="5">
                  <c:v>5.3548825848044636E-2</c:v>
                </c:pt>
                <c:pt idx="6">
                  <c:v>5.7850109417123867E-2</c:v>
                </c:pt>
                <c:pt idx="7">
                  <c:v>0.14666971633997189</c:v>
                </c:pt>
                <c:pt idx="8">
                  <c:v>0.77161039687777166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9F-4F0C-A0E6-FA6B3BA53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'01-39240-2'!$J$5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'01-39240-2'!$I$6:$I$14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'01-39240-2'!$J$6:$J$14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1E-4FE8-B454-A056E28A8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'01-39240-1'!$J$5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'01-39240-1'!$I$6:$I$14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'01-39240-1'!$J$6:$J$14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62-4A07-BFBE-039472F80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'01-39240-10'!$J$5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'01-39240-10'!$I$6:$I$14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'01-39240-10'!$J$6:$J$14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B-4EAD-B988-586C63CC8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'01-39240-9'!$J$5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'01-39240-9'!$I$6:$I$14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'01-39240-9'!$J$6:$J$14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10-41E2-B1B7-C1F8FFFA4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'01-39240-4'!$J$5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'01-39240-4'!$I$6:$I$14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'01-39240-4'!$J$6:$J$14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90-4978-B1DE-CD99A5D8B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'01-39240-11'!$J$5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'01-39240-11'!$I$6:$I$14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'01-39240-11'!$J$6:$J$14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2-4A43-9D2F-D68232DC7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'01-39240-5'!$J$5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'01-39240-5'!$I$6:$I$14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'01-39240-5'!$J$6:$J$14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B-478A-A36E-9306F71D6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'114-5463-000'!$J$5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'114-5463-000'!$I$6:$I$14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'114-5463-000'!$J$6:$J$14</c:f>
              <c:numCache>
                <c:formatCode>0.00%</c:formatCode>
                <c:ptCount val="9"/>
                <c:pt idx="0">
                  <c:v>8.4633867432978762E-3</c:v>
                </c:pt>
                <c:pt idx="1">
                  <c:v>5.3954090488523964E-3</c:v>
                </c:pt>
                <c:pt idx="2">
                  <c:v>9.9009900990099011E-3</c:v>
                </c:pt>
                <c:pt idx="3">
                  <c:v>1.8725243169546553E-2</c:v>
                </c:pt>
                <c:pt idx="4">
                  <c:v>1.6265571397275604E-2</c:v>
                </c:pt>
                <c:pt idx="5">
                  <c:v>3.0362399941581134E-2</c:v>
                </c:pt>
                <c:pt idx="6">
                  <c:v>0.24966990892728738</c:v>
                </c:pt>
                <c:pt idx="7">
                  <c:v>0</c:v>
                </c:pt>
                <c:pt idx="8">
                  <c:v>0.66121709067314915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FE-4DAF-8AE9-EE18CDFA6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'01-34219'!$J$5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'01-34219'!$I$6:$I$14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'01-34219'!$J$6:$J$14</c:f>
              <c:numCache>
                <c:formatCode>0.00%</c:formatCode>
                <c:ptCount val="9"/>
                <c:pt idx="0">
                  <c:v>4.1575464778279128E-2</c:v>
                </c:pt>
                <c:pt idx="1">
                  <c:v>8.8347862653843142E-3</c:v>
                </c:pt>
                <c:pt idx="2">
                  <c:v>9.9009900990099011E-3</c:v>
                </c:pt>
                <c:pt idx="3">
                  <c:v>1.8708959150225607E-2</c:v>
                </c:pt>
                <c:pt idx="4">
                  <c:v>1.5590799291854673E-2</c:v>
                </c:pt>
                <c:pt idx="5">
                  <c:v>2.9102825344795389E-2</c:v>
                </c:pt>
                <c:pt idx="6">
                  <c:v>0.24945278866967477</c:v>
                </c:pt>
                <c:pt idx="7">
                  <c:v>0</c:v>
                </c:pt>
                <c:pt idx="8">
                  <c:v>0.62683338640077624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0-4B91-ACD0-FD8352EDA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'114-5461-000'!$J$5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'114-5461-000'!$I$6:$I$14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'114-5461-000'!$J$6:$J$14</c:f>
              <c:numCache>
                <c:formatCode>0.00%</c:formatCode>
                <c:ptCount val="9"/>
                <c:pt idx="0">
                  <c:v>2.2296563779923314E-3</c:v>
                </c:pt>
                <c:pt idx="1">
                  <c:v>3.7904158425869638E-3</c:v>
                </c:pt>
                <c:pt idx="2">
                  <c:v>9.9009900990099011E-3</c:v>
                </c:pt>
                <c:pt idx="3">
                  <c:v>6.7725812481517073E-3</c:v>
                </c:pt>
                <c:pt idx="4">
                  <c:v>1.5572756265040191E-2</c:v>
                </c:pt>
                <c:pt idx="5">
                  <c:v>2.9069145028075023E-2</c:v>
                </c:pt>
                <c:pt idx="6">
                  <c:v>9.0301083308689425E-2</c:v>
                </c:pt>
                <c:pt idx="7">
                  <c:v>0.44120068381343053</c:v>
                </c:pt>
                <c:pt idx="8">
                  <c:v>0.40116268801702398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C-493F-ABFF-82449BA2B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'114-5685-000'!$J$5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'114-5685-000'!$I$6:$I$14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'114-5685-000'!$J$6:$J$14</c:f>
              <c:numCache>
                <c:formatCode>0.00%</c:formatCode>
                <c:ptCount val="9"/>
                <c:pt idx="0">
                  <c:v>2.7831352178437638E-3</c:v>
                </c:pt>
                <c:pt idx="1">
                  <c:v>5.914162337917998E-3</c:v>
                </c:pt>
                <c:pt idx="2">
                  <c:v>9.9009900990099011E-3</c:v>
                </c:pt>
                <c:pt idx="3">
                  <c:v>1.2785027406969789E-2</c:v>
                </c:pt>
                <c:pt idx="4">
                  <c:v>2.4982987228925658E-2</c:v>
                </c:pt>
                <c:pt idx="5">
                  <c:v>4.6634909493994563E-2</c:v>
                </c:pt>
                <c:pt idx="6">
                  <c:v>0.17046703209293051</c:v>
                </c:pt>
                <c:pt idx="7">
                  <c:v>0.27057015501656106</c:v>
                </c:pt>
                <c:pt idx="8">
                  <c:v>0.45596160110584688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A5-4E9C-B2B5-A150E6BA1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TEMPLATE!$L$5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TEMPLATE!$K$6:$K$14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TEMPLATE!$L$6:$L$14</c:f>
              <c:numCache>
                <c:formatCode>0%</c:formatCode>
                <c:ptCount val="9"/>
                <c:pt idx="0">
                  <c:v>0.18489804121158696</c:v>
                </c:pt>
                <c:pt idx="1">
                  <c:v>2.2248132449377959E-2</c:v>
                </c:pt>
                <c:pt idx="2">
                  <c:v>2.311225515144837E-3</c:v>
                </c:pt>
                <c:pt idx="3">
                  <c:v>1.3000643522689708E-3</c:v>
                </c:pt>
                <c:pt idx="4">
                  <c:v>2.0801029636303534E-3</c:v>
                </c:pt>
                <c:pt idx="5">
                  <c:v>0.11093882472695217</c:v>
                </c:pt>
                <c:pt idx="6">
                  <c:v>8.8767133579322876E-3</c:v>
                </c:pt>
                <c:pt idx="7">
                  <c:v>0.57952032584760271</c:v>
                </c:pt>
                <c:pt idx="8">
                  <c:v>8.7826569575503804E-2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4B-4D04-85BD-147DF5629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338149</xdr:colOff>
      <xdr:row>0</xdr:row>
      <xdr:rowOff>0</xdr:rowOff>
    </xdr:from>
    <xdr:to>
      <xdr:col>18</xdr:col>
      <xdr:colOff>730747</xdr:colOff>
      <xdr:row>0</xdr:row>
      <xdr:rowOff>1030860</xdr:rowOff>
    </xdr:to>
    <xdr:grpSp>
      <xdr:nvGrpSpPr>
        <xdr:cNvPr id="25" name="Grupo 24"/>
        <xdr:cNvGrpSpPr/>
      </xdr:nvGrpSpPr>
      <xdr:grpSpPr>
        <a:xfrm>
          <a:off x="1990938" y="0"/>
          <a:ext cx="16072626" cy="1030860"/>
          <a:chOff x="2000206" y="13896"/>
          <a:chExt cx="16014074" cy="1030860"/>
        </a:xfrm>
      </xdr:grpSpPr>
      <xdr:grpSp>
        <xdr:nvGrpSpPr>
          <xdr:cNvPr id="22" name="Grupo 21"/>
          <xdr:cNvGrpSpPr/>
        </xdr:nvGrpSpPr>
        <xdr:grpSpPr>
          <a:xfrm>
            <a:off x="2000206" y="13896"/>
            <a:ext cx="11940482" cy="1030860"/>
            <a:chOff x="2000206" y="13896"/>
            <a:chExt cx="11940482" cy="1030860"/>
          </a:xfrm>
        </xdr:grpSpPr>
        <xdr:grpSp>
          <xdr:nvGrpSpPr>
            <xdr:cNvPr id="18" name="Grupo 17"/>
            <xdr:cNvGrpSpPr/>
          </xdr:nvGrpSpPr>
          <xdr:grpSpPr>
            <a:xfrm>
              <a:off x="2000206" y="13896"/>
              <a:ext cx="11940482" cy="1030860"/>
              <a:chOff x="2007748" y="13896"/>
              <a:chExt cx="11936709" cy="1030860"/>
            </a:xfrm>
          </xdr:grpSpPr>
          <xdr:grpSp>
            <xdr:nvGrpSpPr>
              <xdr:cNvPr id="2" name="Grupo 1"/>
              <xdr:cNvGrpSpPr/>
            </xdr:nvGrpSpPr>
            <xdr:grpSpPr>
              <a:xfrm>
                <a:off x="2007748" y="13896"/>
                <a:ext cx="8684465" cy="1030860"/>
                <a:chOff x="2010203" y="13896"/>
                <a:chExt cx="8695769" cy="1030860"/>
              </a:xfrm>
            </xdr:grpSpPr>
            <mc:AlternateContent xmlns:mc="http://schemas.openxmlformats.org/markup-compatibility/2006" xmlns:sle15="http://schemas.microsoft.com/office/drawing/2012/slicer">
              <mc:Choice Requires="sle15">
                <xdr:graphicFrame macro="">
                  <xdr:nvGraphicFramePr>
                    <xdr:cNvPr id="3" name="PAGINAS"/>
                    <xdr:cNvGraphicFramePr/>
                  </xdr:nvGraphicFramePr>
                  <xdr:xfrm>
                    <a:off x="2010203" y="36756"/>
                    <a:ext cx="1905000" cy="1008000"/>
                  </xdr:xfrm>
                  <a:graphic>
                    <a:graphicData uri="http://schemas.microsoft.com/office/drawing/2010/slicer">
                      <sle:slicer xmlns:sle="http://schemas.microsoft.com/office/drawing/2010/slicer" name="PAGINAS"/>
                    </a:graphicData>
                  </a:graphic>
                </xdr:graphicFrame>
              </mc:Choice>
              <mc:Fallback xmlns="">
                <xdr:sp macro="" textlink="">
                  <xdr:nvSpPr>
                    <xdr:cNvPr id="0" name=""/>
                    <xdr:cNvSpPr>
                      <a:spLocks noTextEdit="1"/>
                    </xdr:cNvSpPr>
                  </xdr:nvSpPr>
                  <xdr:spPr>
                    <a:xfrm>
                      <a:off x="1984069" y="22860"/>
                      <a:ext cx="1906401" cy="1008000"/>
                    </a:xfrm>
                    <a:prstGeom prst="rect">
                      <a:avLst/>
                    </a:prstGeom>
                    <a:solidFill>
                      <a:prstClr val="white"/>
                    </a:solidFill>
                    <a:ln w="1">
                      <a:solidFill>
                        <a:prstClr val="green"/>
                      </a:solidFill>
                    </a:ln>
                  </xdr:spPr>
                  <xdr:txBody>
                    <a:bodyPr vertOverflow="clip" horzOverflow="clip"/>
                    <a:lstStyle/>
                    <a:p>
                      <a:r>
                        <a:rPr lang="es-MX" sz="1100"/>
  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  </a:r>
                    </a:p>
                  </xdr:txBody>
                </xdr:sp>
              </mc:Fallback>
            </mc:AlternateContent>
            <mc:AlternateContent xmlns:mc="http://schemas.openxmlformats.org/markup-compatibility/2006" xmlns:sle15="http://schemas.microsoft.com/office/drawing/2012/slicer">
              <mc:Choice Requires="sle15">
                <xdr:graphicFrame macro="">
                  <xdr:nvGraphicFramePr>
                    <xdr:cNvPr id="4" name="TINTAS"/>
                    <xdr:cNvGraphicFramePr/>
                  </xdr:nvGraphicFramePr>
                  <xdr:xfrm>
                    <a:off x="6240609" y="13896"/>
                    <a:ext cx="1104899" cy="1008000"/>
                  </xdr:xfrm>
                  <a:graphic>
                    <a:graphicData uri="http://schemas.microsoft.com/office/drawing/2010/slicer">
                      <sle:slicer xmlns:sle="http://schemas.microsoft.com/office/drawing/2010/slicer" name="TINTAS"/>
                    </a:graphicData>
                  </a:graphic>
                </xdr:graphicFrame>
              </mc:Choice>
              <mc:Fallback xmlns="">
                <xdr:sp macro="" textlink="">
                  <xdr:nvSpPr>
                    <xdr:cNvPr id="0" name=""/>
                    <xdr:cNvSpPr>
                      <a:spLocks noTextEdit="1"/>
                    </xdr:cNvSpPr>
                  </xdr:nvSpPr>
                  <xdr:spPr>
                    <a:xfrm>
                      <a:off x="6217586" y="0"/>
                      <a:ext cx="1105711" cy="1008000"/>
                    </a:xfrm>
                    <a:prstGeom prst="rect">
                      <a:avLst/>
                    </a:prstGeom>
                    <a:solidFill>
                      <a:prstClr val="white"/>
                    </a:solidFill>
                    <a:ln w="1">
                      <a:solidFill>
                        <a:prstClr val="green"/>
                      </a:solidFill>
                    </a:ln>
                  </xdr:spPr>
                  <xdr:txBody>
                    <a:bodyPr vertOverflow="clip" horzOverflow="clip"/>
                    <a:lstStyle/>
                    <a:p>
                      <a:r>
                        <a:rPr lang="es-MX" sz="1100"/>
  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  </a:r>
                    </a:p>
                  </xdr:txBody>
                </xdr:sp>
              </mc:Fallback>
            </mc:AlternateContent>
            <mc:AlternateContent xmlns:mc="http://schemas.openxmlformats.org/markup-compatibility/2006" xmlns:sle15="http://schemas.microsoft.com/office/drawing/2012/slicer">
              <mc:Choice Requires="sle15">
                <xdr:graphicFrame macro="">
                  <xdr:nvGraphicFramePr>
                    <xdr:cNvPr id="7" name="FAMILIA"/>
                    <xdr:cNvGraphicFramePr/>
                  </xdr:nvGraphicFramePr>
                  <xdr:xfrm>
                    <a:off x="7392204" y="21516"/>
                    <a:ext cx="1221496" cy="1008000"/>
                  </xdr:xfrm>
                  <a:graphic>
                    <a:graphicData uri="http://schemas.microsoft.com/office/drawing/2010/slicer">
                      <sle:slicer xmlns:sle="http://schemas.microsoft.com/office/drawing/2010/slicer" name="FAMILIA"/>
                    </a:graphicData>
                  </a:graphic>
                </xdr:graphicFrame>
              </mc:Choice>
              <mc:Fallback xmlns="">
                <xdr:sp macro="" textlink="">
                  <xdr:nvSpPr>
                    <xdr:cNvPr id="0" name=""/>
                    <xdr:cNvSpPr>
                      <a:spLocks noTextEdit="1"/>
                    </xdr:cNvSpPr>
                  </xdr:nvSpPr>
                  <xdr:spPr>
                    <a:xfrm>
                      <a:off x="7370027" y="7620"/>
                      <a:ext cx="1222394" cy="1008000"/>
                    </a:xfrm>
                    <a:prstGeom prst="rect">
                      <a:avLst/>
                    </a:prstGeom>
                    <a:solidFill>
                      <a:prstClr val="white"/>
                    </a:solidFill>
                    <a:ln w="1">
                      <a:solidFill>
                        <a:prstClr val="green"/>
                      </a:solidFill>
                    </a:ln>
                  </xdr:spPr>
                  <xdr:txBody>
                    <a:bodyPr vertOverflow="clip" horzOverflow="clip"/>
                    <a:lstStyle/>
                    <a:p>
                      <a:r>
                        <a:rPr lang="es-MX" sz="1100"/>
  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  </a:r>
                    </a:p>
                  </xdr:txBody>
                </xdr:sp>
              </mc:Fallback>
            </mc:AlternateContent>
            <mc:AlternateContent xmlns:mc="http://schemas.openxmlformats.org/markup-compatibility/2006" xmlns:sle15="http://schemas.microsoft.com/office/drawing/2012/slicer">
              <mc:Choice Requires="sle15">
                <xdr:graphicFrame macro="">
                  <xdr:nvGraphicFramePr>
                    <xdr:cNvPr id="8" name="SUBFAMILIA"/>
                    <xdr:cNvGraphicFramePr/>
                  </xdr:nvGraphicFramePr>
                  <xdr:xfrm>
                    <a:off x="8668011" y="13896"/>
                    <a:ext cx="2037961" cy="1008000"/>
                  </xdr:xfrm>
                  <a:graphic>
                    <a:graphicData uri="http://schemas.microsoft.com/office/drawing/2010/slicer">
                      <sle:slicer xmlns:sle="http://schemas.microsoft.com/office/drawing/2010/slicer" name="SUBFAMILIA"/>
                    </a:graphicData>
                  </a:graphic>
                </xdr:graphicFrame>
              </mc:Choice>
              <mc:Fallback xmlns="">
                <xdr:sp macro="" textlink="">
                  <xdr:nvSpPr>
                    <xdr:cNvPr id="0" name=""/>
                    <xdr:cNvSpPr>
                      <a:spLocks noTextEdit="1"/>
                    </xdr:cNvSpPr>
                  </xdr:nvSpPr>
                  <xdr:spPr>
                    <a:xfrm>
                      <a:off x="8646772" y="0"/>
                      <a:ext cx="2039460" cy="1008000"/>
                    </a:xfrm>
                    <a:prstGeom prst="rect">
                      <a:avLst/>
                    </a:prstGeom>
                    <a:solidFill>
                      <a:prstClr val="white"/>
                    </a:solidFill>
                    <a:ln w="1">
                      <a:solidFill>
                        <a:prstClr val="green"/>
                      </a:solidFill>
                    </a:ln>
                  </xdr:spPr>
                  <xdr:txBody>
                    <a:bodyPr vertOverflow="clip" horzOverflow="clip"/>
                    <a:lstStyle/>
                    <a:p>
                      <a:r>
                        <a:rPr lang="es-MX" sz="1100"/>
  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  </a:r>
                    </a:p>
                  </xdr:txBody>
                </xdr:sp>
              </mc:Fallback>
            </mc:AlternateContent>
          </xdr:grpSp>
          <mc:AlternateContent xmlns:mc="http://schemas.openxmlformats.org/markup-compatibility/2006" xmlns:sle15="http://schemas.microsoft.com/office/drawing/2012/slicer">
            <mc:Choice Requires="sle15">
              <xdr:graphicFrame macro="">
                <xdr:nvGraphicFramePr>
                  <xdr:cNvPr id="14" name="PAPEL"/>
                  <xdr:cNvGraphicFramePr/>
                </xdr:nvGraphicFramePr>
                <xdr:xfrm>
                  <a:off x="12648457" y="36756"/>
                  <a:ext cx="1296000" cy="1008000"/>
                </xdr:xfrm>
                <a:graphic>
                  <a:graphicData uri="http://schemas.microsoft.com/office/drawing/2010/slicer">
                    <sle:slicer xmlns:sle="http://schemas.microsoft.com/office/drawing/2010/slicer" name="PAPEL"/>
                  </a:graphicData>
                </a:graphic>
              </xdr:graphicFrame>
            </mc:Choice>
            <mc:Fallback xmlns="">
              <xdr:sp macro="" textlink="">
                <xdr:nvSpPr>
                  <xdr:cNvPr id="0" name=""/>
                  <xdr:cNvSpPr>
                    <a:spLocks noTextEdit="1"/>
                  </xdr:cNvSpPr>
                </xdr:nvSpPr>
                <xdr:spPr>
                  <a:xfrm>
                    <a:off x="12646463" y="22860"/>
                    <a:ext cx="1298641" cy="1008000"/>
                  </a:xfrm>
                  <a:prstGeom prst="rect">
                    <a:avLst/>
                  </a:prstGeom>
                  <a:solidFill>
                    <a:prstClr val="white"/>
                  </a:solidFill>
                  <a:ln w="1">
                    <a:solidFill>
                      <a:prstClr val="green"/>
                    </a:solidFill>
                  </a:ln>
                </xdr:spPr>
                <xdr:txBody>
                  <a:bodyPr vertOverflow="clip" horzOverflow="clip"/>
                  <a:lstStyle/>
                  <a:p>
                    <a:r>
                      <a:rPr lang="es-MX" sz="1100"/>
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</a:r>
                  </a:p>
                </xdr:txBody>
              </xdr:sp>
            </mc:Fallback>
          </mc:AlternateContent>
        </xdr:grpSp>
      </xdr:grpSp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4" name="CON ETIQUETA"/>
              <xdr:cNvGraphicFramePr/>
            </xdr:nvGraphicFramePr>
            <xdr:xfrm>
              <a:off x="16718280" y="36756"/>
              <a:ext cx="1296000" cy="1008000"/>
            </xdr:xfrm>
            <a:graphic>
              <a:graphicData uri="http://schemas.microsoft.com/office/drawing/2010/slicer">
                <sle:slicer xmlns:sle="http://schemas.microsoft.com/office/drawing/2010/slicer" name="CON ETIQUETA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6727477" y="22860"/>
                <a:ext cx="1298231" cy="1008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251460</xdr:colOff>
      <xdr:row>1</xdr:row>
      <xdr:rowOff>7620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ÁRE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ÁR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97380" cy="1173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1187859</xdr:colOff>
      <xdr:row>0</xdr:row>
      <xdr:rowOff>22861</xdr:rowOff>
    </xdr:from>
    <xdr:to>
      <xdr:col>12</xdr:col>
      <xdr:colOff>48814</xdr:colOff>
      <xdr:row>0</xdr:row>
      <xdr:rowOff>998221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COTIZAD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TIZ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13720" y="22861"/>
              <a:ext cx="1882140" cy="975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228600</xdr:colOff>
      <xdr:row>0</xdr:row>
      <xdr:rowOff>0</xdr:rowOff>
    </xdr:from>
    <xdr:to>
      <xdr:col>4</xdr:col>
      <xdr:colOff>984739</xdr:colOff>
      <xdr:row>0</xdr:row>
      <xdr:rowOff>906779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PRIORIDAD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IOR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08120" y="0"/>
              <a:ext cx="1828800" cy="9067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26</xdr:row>
      <xdr:rowOff>121920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26</xdr:row>
      <xdr:rowOff>121920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26</xdr:row>
      <xdr:rowOff>121920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26</xdr:row>
      <xdr:rowOff>121920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30</xdr:row>
      <xdr:rowOff>139849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30</xdr:row>
      <xdr:rowOff>139850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426718</xdr:colOff>
      <xdr:row>30</xdr:row>
      <xdr:rowOff>139849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114298</xdr:colOff>
      <xdr:row>30</xdr:row>
      <xdr:rowOff>139849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657625</xdr:colOff>
      <xdr:row>14</xdr:row>
      <xdr:rowOff>67875</xdr:rowOff>
    </xdr:from>
    <xdr:to>
      <xdr:col>19</xdr:col>
      <xdr:colOff>130628</xdr:colOff>
      <xdr:row>39</xdr:row>
      <xdr:rowOff>174171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AGINAS" sourceName="PAGINAS">
  <extLst>
    <x:ext xmlns:x15="http://schemas.microsoft.com/office/spreadsheetml/2010/11/main" uri="{2F2917AC-EB37-4324-AD4E-5DD8C200BD13}">
      <x15:tableSlicerCache tableId="2" column="9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NTAS" sourceName="TINTAS">
  <extLst>
    <x:ext xmlns:x15="http://schemas.microsoft.com/office/spreadsheetml/2010/11/main" uri="{2F2917AC-EB37-4324-AD4E-5DD8C200BD13}">
      <x15:tableSlicerCache tableId="2" column="8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FAMILIA" sourceName="FAMILIA">
  <extLst>
    <x:ext xmlns:x15="http://schemas.microsoft.com/office/spreadsheetml/2010/11/main" uri="{2F2917AC-EB37-4324-AD4E-5DD8C200BD13}">
      <x15:tableSlicerCache tableId="2" column="17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SUBFAMILIA" sourceName="SUBFAMILIA">
  <extLst>
    <x:ext xmlns:x15="http://schemas.microsoft.com/office/spreadsheetml/2010/11/main" uri="{2F2917AC-EB37-4324-AD4E-5DD8C200BD13}">
      <x15:tableSlicerCache tableId="2" column="1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APEL" sourceName="PAPEL">
  <extLst>
    <x:ext xmlns:x15="http://schemas.microsoft.com/office/spreadsheetml/2010/11/main" uri="{2F2917AC-EB37-4324-AD4E-5DD8C200BD13}">
      <x15:tableSlicerCache tableId="2" column="10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N_ETIQUETA" sourceName="CON ETIQUETA">
  <extLst>
    <x:ext xmlns:x15="http://schemas.microsoft.com/office/spreadsheetml/2010/11/main" uri="{2F2917AC-EB37-4324-AD4E-5DD8C200BD13}">
      <x15:tableSlicerCache tableId="2" column="4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ÁREA" sourceName="ÁREA">
  <extLst>
    <x:ext xmlns:x15="http://schemas.microsoft.com/office/spreadsheetml/2010/11/main" uri="{2F2917AC-EB37-4324-AD4E-5DD8C200BD13}">
      <x15:tableSlicerCache tableId="2" column="19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TIZADO" sourceName="COTIZADO">
  <extLst>
    <x:ext xmlns:x15="http://schemas.microsoft.com/office/spreadsheetml/2010/11/main" uri="{2F2917AC-EB37-4324-AD4E-5DD8C200BD13}">
      <x15:tableSlicerCache tableId="2" column="16"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IORIDAD" sourceName="PRIORIDAD">
  <extLst>
    <x:ext xmlns:x15="http://schemas.microsoft.com/office/spreadsheetml/2010/11/main" uri="{2F2917AC-EB37-4324-AD4E-5DD8C200BD13}">
      <x15:tableSlicerCache tableId="2" column="4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AGINAS" cache="SegmentaciónDeDatos_PAGINAS" caption="PAGINAS" columnCount="4" style="SlicerStyleDark4 2" rowHeight="180000"/>
  <slicer name="TINTAS" cache="SegmentaciónDeDatos_TINTAS" caption="TINTAS" columnCount="2" style="SlicerStyleDark4 2" rowHeight="180000"/>
  <slicer name="FAMILIA" cache="SegmentaciónDeDatos_FAMILIA" caption="FAMILIA" columnCount="3" style="SlicerStyleDark4 2" rowHeight="180000"/>
  <slicer name="SUBFAMILIA" cache="SegmentaciónDeDatos_SUBFAMILIA" caption="SUBFAMILIA" columnCount="5" style="SlicerStyleDark4 2" rowHeight="180000"/>
  <slicer name="PAPEL" cache="SegmentaciónDeDatos_PAPEL" caption="PAPEL" style="SlicerStyleDark4 2" rowHeight="180000"/>
  <slicer name="CON ETIQUETA" cache="SegmentaciónDeDatos_CON_ETIQUETA" caption="CON ETIQUETA" style="SlicerStyleDark4 2" rowHeight="234950"/>
  <slicer name="ÁREA" cache="SegmentaciónDeDatos_ÁREA" caption="ÁREA" style="SlicerStyleDark4 2" rowHeight="234950"/>
  <slicer name="COTIZADO" cache="SegmentaciónDeDatos_COTIZADO" caption="COTIZADO" style="SlicerStyleDark4 2" rowHeight="234950"/>
  <slicer name="PRIORIDAD" cache="SegmentaciónDeDatos_PRIORIDAD" caption="PRIORIDAD" startItem="1" style="SlicerStyleDark4 2" rowHeight="234950"/>
</slicers>
</file>

<file path=xl/tables/table1.xml><?xml version="1.0" encoding="utf-8"?>
<table xmlns="http://schemas.openxmlformats.org/spreadsheetml/2006/main" id="2" name="Datos" displayName="Datos" ref="B2:AD470" headerRowDxfId="1603" dataDxfId="1602" totalsRowDxfId="1601">
  <autoFilter ref="B2:AD470"/>
  <tableColumns count="29">
    <tableColumn id="1" name="NP" totalsRowLabel="Total" dataDxfId="1600" totalsRowDxfId="1599"/>
    <tableColumn id="2" name="DESCRIPCIÓN" dataDxfId="1598" totalsRowDxfId="1597"/>
    <tableColumn id="19" name="ÁREA" dataDxfId="1596" totalsRowDxfId="1595"/>
    <tableColumn id="43" name="PRIORIDAD" dataDxfId="1594"/>
    <tableColumn id="20" name="SIN INFORMACIÓN" dataDxfId="1593" totalsRowDxfId="1592"/>
    <tableColumn id="6" name="DEMANDA ANUAL" dataDxfId="1591" totalsRowDxfId="1590" dataCellStyle="Millares"/>
    <tableColumn id="3" name="YA LO HACEMOS" dataDxfId="1589" totalsRowDxfId="1588"/>
    <tableColumn id="4" name="CON ETIQUETA" dataDxfId="1587" totalsRowDxfId="1586"/>
    <tableColumn id="5" name="MEDIDA" dataDxfId="1585" totalsRowDxfId="1584"/>
    <tableColumn id="7" name="HORIENTACIÓN" dataDxfId="1583" totalsRowDxfId="1582"/>
    <tableColumn id="8" name="TINTAS" dataDxfId="1581" totalsRowDxfId="1580"/>
    <tableColumn id="13" name="IMPRESIÓN LADOS" dataDxfId="1579" totalsRowDxfId="1578"/>
    <tableColumn id="9" name="PAGINAS" dataDxfId="1577" totalsRowDxfId="1576"/>
    <tableColumn id="14" name="COMPAGINADO" dataDxfId="1575" totalsRowDxfId="1574"/>
    <tableColumn id="10" name="PAPEL" dataDxfId="1573" totalsRowDxfId="1572"/>
    <tableColumn id="12" name="Gramaje" dataDxfId="1571" totalsRowDxfId="1570"/>
    <tableColumn id="11" name="ETIQUETAS #" dataDxfId="1569" totalsRowDxfId="1568"/>
    <tableColumn id="16" name="COTIZADO" dataDxfId="1567" totalsRowDxfId="1566"/>
    <tableColumn id="17" name="FAMILIA" dataDxfId="1565" totalsRowDxfId="1564"/>
    <tableColumn id="18" name="SUBFAMILIA" dataDxfId="1563" totalsRowDxfId="1562"/>
    <tableColumn id="15" name="NOTA" dataDxfId="1561" totalsRowDxfId="1560"/>
    <tableColumn id="28" name="ARIBA PRECIO POR MILLAR (Dólares)" dataDxfId="1559" totalsRowDxfId="1558"/>
    <tableColumn id="29" name="INGRESO PRECIO ARIBA" dataDxfId="1557" totalsRowDxfId="1556">
      <calculatedColumnFormula>IFERROR(Datos[[#This Row],[ARIBA PRECIO POR MILLAR (Dólares)]]/1000*Datos[[#This Row],[DEMANDA ANUAL]],"")</calculatedColumnFormula>
    </tableColumn>
    <tableColumn id="30" name="MARGEN BRUTO PRECIO ARIBA" dataDxfId="1555" totalsRowDxfId="1554">
      <calculatedColumnFormula>IFERROR((Datos[[#This Row],[INGRESO PRECIO ARIBA]]-Datos[[#This Row],[Costos Totales (Norwork)]])/Datos[[#This Row],[INGRESO PRECIO ARIBA]],"")</calculatedColumnFormula>
    </tableColumn>
    <tableColumn id="22" name="Precio / Millar (Norwork)" dataDxfId="1553" totalsRowDxfId="1552">
      <calculatedColumnFormula>IFERROR(IF(Datos[[#This Row],[CON ETIQUETA]]="No",VALORHOJA(Datos[[#This Row],[NP]],$B$44),VALORHOJA(Datos[[#This Row],[NP]],$D$44)),"")</calculatedColumnFormula>
    </tableColumn>
    <tableColumn id="23" name="Ingresos Totales (Norwork)" totalsRowFunction="sum" dataDxfId="1551" totalsRowDxfId="1550">
      <calculatedColumnFormula>IFERROR(IF(Datos[[#This Row],[Precio / Millar (Norwork)]]&lt;&gt;"",PRODUCT(Datos[[#This Row],[Precio / Millar (Norwork)]]/1000,Datos[[#This Row],[DEMANDA ANUAL]]),""),"")</calculatedColumnFormula>
    </tableColumn>
    <tableColumn id="24" name="Costos Totales (Norwork)" totalsRowFunction="sum" dataDxfId="1549" totalsRowDxfId="1548">
      <calculatedColumnFormula>IFERROR(IF(Datos[[#This Row],[CON ETIQUETA]]="No",VALORHOJA(Datos[[#This Row],[NP]],$B$63)/VALORHOJA(Datos[[#This Row],[NP]],$B$42),VALORHOJA(Datos[[#This Row],[NP]],$D$63)/VALORHOJA(Datos[[#This Row],[NP]],$D$42)),"")</calculatedColumnFormula>
    </tableColumn>
    <tableColumn id="25" name="Beneficio (Norwork)" totalsRowFunction="sum" dataDxfId="1547" totalsRowDxfId="1546">
      <calculatedColumnFormula>IFERROR(IF(Datos[[#This Row],[Precio / Millar (Norwork)]]&lt;&gt;"",SUM(Datos[[#This Row],[Ingresos Totales (Norwork)]],-Datos[[#This Row],[Costos Totales (Norwork)]]),""),"")</calculatedColumnFormula>
    </tableColumn>
    <tableColumn id="26" name="Margen Bruto (Norwork)" dataDxfId="1545" totalsRowDxfId="1544">
      <calculatedColumnFormula>IFERROR(Datos[[#This Row],[Beneficio (Norwork)]]/Datos[[#This Row],[Ingresos Totales (Norwork)]],"")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259" name="Tabla1341530507075100110115130145190260" displayName="Tabla1341530507075100110115130145190260" ref="K5:L15" totalsRowCount="1" headerRowDxfId="1543" totalsRowDxfId="1542">
  <autoFilter ref="K5:L14"/>
  <sortState ref="K6:L14">
    <sortCondition ref="L5:L14"/>
  </sortState>
  <tableColumns count="2">
    <tableColumn id="1" name="Concepto" totalsRowLabel="Total" dataDxfId="1541" totalsRowDxfId="1540"/>
    <tableColumn id="2" name="Contribución" totalsRowFunction="sum" dataDxfId="1539" totalsRowDxfId="153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id="260" name="Tabla551631517176101111116131146191261" displayName="Tabla551631517176101111116131146191261" ref="A62:D65" headerRowCount="0" totalsRowShown="0" headerRowDxfId="1537" dataDxfId="1536">
  <tableColumns count="4">
    <tableColumn id="1" name="Columna1" headerRowDxfId="1535" dataDxfId="1534"/>
    <tableColumn id="2" name="Columna2" headerRowDxfId="1533" dataDxfId="1532"/>
    <tableColumn id="3" name="Columna3" headerRowDxfId="1531" dataDxfId="1530"/>
    <tableColumn id="4" name="Columna4" headerRowDxfId="1529" dataDxfId="152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261" name="Tabla6121732527277102112117132147192262" displayName="Tabla6121732527277102112117132147192262" ref="A4:F51" totalsRowShown="0" headerRowDxfId="1527" dataDxfId="1526" headerRowCellStyle="Millares" dataCellStyle="Millares">
  <autoFilter ref="A4:F51"/>
  <tableColumns count="6">
    <tableColumn id="1" name="Trabajo" dataDxfId="1525"/>
    <tableColumn id="2" name="MANUAL" dataDxfId="1524" dataCellStyle="Millares"/>
    <tableColumn id="3" name="ETIQUETAS" dataDxfId="1523" dataCellStyle="Porcentaje"/>
    <tableColumn id="4" name="002A2027" dataDxfId="1522" dataCellStyle="Porcentaje"/>
    <tableColumn id="7" name="Parametro" dataDxfId="1521"/>
    <tableColumn id="8" name="Referencia" dataDxfId="1520"/>
  </tableColumns>
  <tableStyleInfo name="TableStyleMedium19" showFirstColumn="0" showLastColumn="0" showRowStripes="1" showColumnStripes="0"/>
</table>
</file>

<file path=xl/tables/table5.xml><?xml version="1.0" encoding="utf-8"?>
<table xmlns="http://schemas.openxmlformats.org/spreadsheetml/2006/main" id="262" name="Tabla7131833537378103113118133148193263" displayName="Tabla7131833537378103113118133148193263" ref="H5:I33" totalsRowShown="0" headerRowDxfId="1519" dataDxfId="1518">
  <autoFilter ref="H5:I33"/>
  <tableColumns count="2">
    <tableColumn id="1" name="Concepto" dataDxfId="1517"/>
    <tableColumn id="2" name="Valor" dataDxfId="151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263" name="Tabla10141934547479104114119134149194264" displayName="Tabla10141934547479104114119134149194264" ref="A54:B60" headerRowCount="0" totalsRowShown="0" headerRowDxfId="1515" dataDxfId="1514" headerRowCellStyle="Millares" dataCellStyle="Millares">
  <tableColumns count="2">
    <tableColumn id="1" name="Columna1" headerRowDxfId="1513" dataDxfId="1512"/>
    <tableColumn id="2" name="Columna2" headerRowDxfId="1511" dataDxfId="1510" headerRowCellStyle="Millares" dataCellStyle="Millares"/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244" name="Tabla134153050708085210245" displayName="Tabla134153050708085210245" ref="I5:J15" totalsRowCount="1" headerRowDxfId="1509" totalsRowDxfId="1508">
  <autoFilter ref="I5:J14"/>
  <sortState ref="I6:J14">
    <sortCondition ref="J5:J14"/>
  </sortState>
  <tableColumns count="2">
    <tableColumn id="1" name="Concepto" totalsRowLabel="Total" dataDxfId="1507" totalsRowDxfId="1506"/>
    <tableColumn id="2" name="Contribución" totalsRowFunction="sum" dataDxfId="1505" totalsRowDxfId="150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8.xml><?xml version="1.0" encoding="utf-8"?>
<table xmlns="http://schemas.openxmlformats.org/spreadsheetml/2006/main" id="245" name="Tabla55163151718186211246" displayName="Tabla55163151718186211246" ref="A62:B65" headerRowCount="0" totalsRowShown="0" headerRowDxfId="1503" dataDxfId="1502">
  <tableColumns count="2">
    <tableColumn id="1" name="Columna1" headerRowDxfId="1501" dataDxfId="1500"/>
    <tableColumn id="2" name="Columna2" headerRowDxfId="1499" dataDxfId="1498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246" name="Tabla612173252728287212247" displayName="Tabla612173252728287212247" ref="A4:D51" totalsRowShown="0" headerRowDxfId="1497" dataDxfId="1496" headerRowCellStyle="Millares" dataCellStyle="Millares">
  <autoFilter ref="A4:D51"/>
  <tableColumns count="4">
    <tableColumn id="1" name="Trabajo" dataDxfId="1495"/>
    <tableColumn id="2" name="114-5566-000" dataDxfId="1494" dataCellStyle="Millares"/>
    <tableColumn id="7" name="Parametro" dataDxfId="1493"/>
    <tableColumn id="8" name="Referencia" dataDxfId="1492"/>
  </tableColumns>
  <tableStyleInfo name="TableStyleMedium19" showFirstColumn="0" showLastColumn="0" showRowStripes="1" showColumnStripes="0"/>
</table>
</file>

<file path=xl/tables/table10.xml><?xml version="1.0" encoding="utf-8"?>
<table xmlns="http://schemas.openxmlformats.org/spreadsheetml/2006/main" id="247" name="Tabla713183353738388213248" displayName="Tabla713183353738388213248" ref="F5:G33" totalsRowShown="0" headerRowDxfId="1491" dataDxfId="1490">
  <autoFilter ref="F5:G33"/>
  <tableColumns count="2">
    <tableColumn id="1" name="Concepto" dataDxfId="1489"/>
    <tableColumn id="2" name="Valor" dataDxfId="1488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248" name="Tabla1014193454748489214249" displayName="Tabla1014193454748489214249" ref="A54:B60" headerRowCount="0" totalsRowShown="0" headerRowDxfId="1487" dataDxfId="1486" headerRowCellStyle="Millares" dataCellStyle="Millares">
  <tableColumns count="2">
    <tableColumn id="1" name="Columna1" headerRowDxfId="1485" dataDxfId="1484"/>
    <tableColumn id="2" name="Columna2" headerRowDxfId="1483" dataDxfId="1482" headerRowCellStyle="Millares" dataCellStyle="Millares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209" name="Tabla134153050708085210" displayName="Tabla134153050708085210" ref="I5:J15" totalsRowCount="1" headerRowDxfId="1481" totalsRowDxfId="1480">
  <autoFilter ref="I5:J14"/>
  <sortState ref="I6:J14">
    <sortCondition ref="J5:J14"/>
  </sortState>
  <tableColumns count="2">
    <tableColumn id="1" name="Concepto" totalsRowLabel="Total" dataDxfId="1479" totalsRowDxfId="1478"/>
    <tableColumn id="2" name="Contribución" totalsRowFunction="sum" dataDxfId="1477" totalsRowDxfId="147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3.xml><?xml version="1.0" encoding="utf-8"?>
<table xmlns="http://schemas.openxmlformats.org/spreadsheetml/2006/main" id="210" name="Tabla55163151718186211" displayName="Tabla55163151718186211" ref="A62:B65" headerRowCount="0" totalsRowShown="0" headerRowDxfId="1475" dataDxfId="1474">
  <tableColumns count="2">
    <tableColumn id="1" name="Columna1" headerRowDxfId="1473" dataDxfId="1472"/>
    <tableColumn id="2" name="Columna2" headerRowDxfId="1471" dataDxfId="1470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id="211" name="Tabla612173252728287212" displayName="Tabla612173252728287212" ref="A4:D51" totalsRowShown="0" headerRowDxfId="1469" dataDxfId="1468" headerRowCellStyle="Millares" dataCellStyle="Millares">
  <autoFilter ref="A4:D51"/>
  <tableColumns count="4">
    <tableColumn id="1" name="Trabajo" dataDxfId="1467"/>
    <tableColumn id="2" name="114-5681-000" dataDxfId="1466" dataCellStyle="Millares"/>
    <tableColumn id="7" name="Parametro" dataDxfId="1465"/>
    <tableColumn id="8" name="Referencia" dataDxfId="1464"/>
  </tableColumns>
  <tableStyleInfo name="TableStyleMedium19" showFirstColumn="0" showLastColumn="0" showRowStripes="1" showColumnStripes="0"/>
</table>
</file>

<file path=xl/tables/table15.xml><?xml version="1.0" encoding="utf-8"?>
<table xmlns="http://schemas.openxmlformats.org/spreadsheetml/2006/main" id="212" name="Tabla713183353738388213" displayName="Tabla713183353738388213" ref="F5:G33" totalsRowShown="0" headerRowDxfId="1463" dataDxfId="1462">
  <autoFilter ref="F5:G33"/>
  <tableColumns count="2">
    <tableColumn id="1" name="Concepto" dataDxfId="1461"/>
    <tableColumn id="2" name="Valor" dataDxfId="1460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213" name="Tabla1014193454748489214" displayName="Tabla1014193454748489214" ref="A54:B60" headerRowCount="0" totalsRowShown="0" headerRowDxfId="1459" dataDxfId="1458" headerRowCellStyle="Millares" dataCellStyle="Millares">
  <tableColumns count="2">
    <tableColumn id="1" name="Columna1" headerRowDxfId="1457" dataDxfId="1456"/>
    <tableColumn id="2" name="Columna2" headerRowDxfId="1455" dataDxfId="1454" headerRowCellStyle="Millares" dataCellStyle="Millares"/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id="204" name="Tabla13415305045205" displayName="Tabla13415305045205" ref="I5:J15" totalsRowCount="1" headerRowDxfId="1453" totalsRowDxfId="1452">
  <autoFilter ref="I5:J14"/>
  <sortState ref="I6:J14">
    <sortCondition ref="J5:J14"/>
  </sortState>
  <tableColumns count="2">
    <tableColumn id="1" name="Concepto" totalsRowLabel="Total" dataDxfId="1451" totalsRowDxfId="1450"/>
    <tableColumn id="2" name="Contribución" totalsRowFunction="sum" dataDxfId="1449" totalsRowDxfId="144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8.xml><?xml version="1.0" encoding="utf-8"?>
<table xmlns="http://schemas.openxmlformats.org/spreadsheetml/2006/main" id="205" name="Tabla5516315146206" displayName="Tabla5516315146206" ref="A62:B65" headerRowCount="0" totalsRowShown="0" headerRowDxfId="1447" dataDxfId="1446">
  <tableColumns count="2">
    <tableColumn id="1" name="Columna1" headerRowDxfId="1445" dataDxfId="1444"/>
    <tableColumn id="2" name="Columna2" headerRowDxfId="1443" dataDxfId="1442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id="206" name="Tabla61217325247207" displayName="Tabla61217325247207" ref="A4:D51" totalsRowShown="0" headerRowDxfId="1441" dataDxfId="1440" headerRowCellStyle="Millares" dataCellStyle="Millares">
  <autoFilter ref="A4:D51"/>
  <tableColumns count="4">
    <tableColumn id="1" name="Trabajo" dataDxfId="1439"/>
    <tableColumn id="2" name="114A3935E" dataDxfId="1438" dataCellStyle="Millares"/>
    <tableColumn id="7" name="Parametro" dataDxfId="1437"/>
    <tableColumn id="8" name="Referencia" dataDxfId="1436"/>
  </tableColumns>
  <tableStyleInfo name="TableStyleMedium19" showFirstColumn="0" showLastColumn="0" showRowStripes="1" showColumnStripes="0"/>
</table>
</file>

<file path=xl/tables/table20.xml><?xml version="1.0" encoding="utf-8"?>
<table xmlns="http://schemas.openxmlformats.org/spreadsheetml/2006/main" id="207" name="Tabla71318335348208" displayName="Tabla71318335348208" ref="F5:G33" totalsRowShown="0" headerRowDxfId="1435" dataDxfId="1434">
  <autoFilter ref="F5:G33"/>
  <tableColumns count="2">
    <tableColumn id="1" name="Concepto" dataDxfId="1433"/>
    <tableColumn id="2" name="Valor" dataDxfId="143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id="208" name="Tabla101419345449209" displayName="Tabla101419345449209" ref="A54:B60" headerRowCount="0" totalsRowShown="0" headerRowDxfId="1431" dataDxfId="1430" headerRowCellStyle="Millares" dataCellStyle="Millares">
  <tableColumns count="2">
    <tableColumn id="1" name="Columna1" headerRowDxfId="1429" dataDxfId="1428"/>
    <tableColumn id="2" name="Columna2" headerRowDxfId="1427" dataDxfId="1426" headerRowCellStyle="Millares" dataCellStyle="Millares"/>
  </tableColumns>
  <tableStyleInfo name="TableStyleLight18" showFirstColumn="0" showLastColumn="0" showRowStripes="1" showColumnStripes="0"/>
</table>
</file>

<file path=xl/tables/table22.xml><?xml version="1.0" encoding="utf-8"?>
<table xmlns="http://schemas.openxmlformats.org/spreadsheetml/2006/main" id="194" name="Tabla13415305060195" displayName="Tabla13415305060195" ref="I5:J15" totalsRowCount="1" headerRowDxfId="1425" totalsRowDxfId="1424">
  <autoFilter ref="I5:J14"/>
  <sortState ref="I6:J14">
    <sortCondition ref="J5:J14"/>
  </sortState>
  <tableColumns count="2">
    <tableColumn id="1" name="Concepto" totalsRowLabel="Total" dataDxfId="1423" totalsRowDxfId="1422"/>
    <tableColumn id="2" name="Contribución" totalsRowFunction="sum" dataDxfId="1421" totalsRowDxfId="142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3.xml><?xml version="1.0" encoding="utf-8"?>
<table xmlns="http://schemas.openxmlformats.org/spreadsheetml/2006/main" id="195" name="Tabla5516315161196" displayName="Tabla5516315161196" ref="A62:B65" headerRowCount="0" totalsRowShown="0" headerRowDxfId="1419" dataDxfId="1418">
  <tableColumns count="2">
    <tableColumn id="1" name="Columna1" headerRowDxfId="1417" dataDxfId="1416"/>
    <tableColumn id="2" name="Columna2" headerRowDxfId="1415" dataDxfId="1414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id="196" name="Tabla61217325262197" displayName="Tabla61217325262197" ref="A4:D51" totalsRowShown="0" headerRowDxfId="1413" dataDxfId="1412" headerRowCellStyle="Millares" dataCellStyle="Millares">
  <autoFilter ref="A4:D51"/>
  <tableColumns count="4">
    <tableColumn id="1" name="Trabajo" dataDxfId="1411"/>
    <tableColumn id="2" name="114-5692-000" dataDxfId="1410" dataCellStyle="Millares"/>
    <tableColumn id="7" name="Parametro" dataDxfId="1409"/>
    <tableColumn id="8" name="Referencia" dataDxfId="1408"/>
  </tableColumns>
  <tableStyleInfo name="TableStyleMedium19" showFirstColumn="0" showLastColumn="0" showRowStripes="1" showColumnStripes="0"/>
</table>
</file>

<file path=xl/tables/table25.xml><?xml version="1.0" encoding="utf-8"?>
<table xmlns="http://schemas.openxmlformats.org/spreadsheetml/2006/main" id="197" name="Tabla71318335363198" displayName="Tabla71318335363198" ref="F5:G33" totalsRowShown="0" headerRowDxfId="1407" dataDxfId="1406">
  <autoFilter ref="F5:G33"/>
  <tableColumns count="2">
    <tableColumn id="1" name="Concepto" dataDxfId="1405"/>
    <tableColumn id="2" name="Valor" dataDxfId="1404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id="198" name="Tabla101419345464199" displayName="Tabla101419345464199" ref="A54:B60" headerRowCount="0" totalsRowShown="0" headerRowDxfId="1403" dataDxfId="1402" headerRowCellStyle="Millares" dataCellStyle="Millares">
  <tableColumns count="2">
    <tableColumn id="1" name="Columna1" headerRowDxfId="1401" dataDxfId="1400"/>
    <tableColumn id="2" name="Columna2" headerRowDxfId="1399" dataDxfId="1398" headerRowCellStyle="Millares" dataCellStyle="Millares"/>
  </tableColumns>
  <tableStyleInfo name="TableStyleLight18" showFirstColumn="0" showLastColumn="0" showRowStripes="1" showColumnStripes="0"/>
</table>
</file>

<file path=xl/tables/table27.xml><?xml version="1.0" encoding="utf-8"?>
<table xmlns="http://schemas.openxmlformats.org/spreadsheetml/2006/main" id="169" name="Tabla1341530507075100110115130145150155160225170" displayName="Tabla1341530507075100110115130145150155160225170" ref="I5:J15" totalsRowCount="1" headerRowDxfId="1397" totalsRowDxfId="1396">
  <autoFilter ref="I5:J14"/>
  <sortState ref="I6:J14">
    <sortCondition ref="J5:J14"/>
  </sortState>
  <tableColumns count="2">
    <tableColumn id="1" name="Concepto" totalsRowLabel="Total" dataDxfId="1395" totalsRowDxfId="1394"/>
    <tableColumn id="2" name="Contribución" totalsRowFunction="sum" dataDxfId="1393" totalsRowDxfId="139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8.xml><?xml version="1.0" encoding="utf-8"?>
<table xmlns="http://schemas.openxmlformats.org/spreadsheetml/2006/main" id="170" name="Tabla551631517176101111116131146151156161226171" displayName="Tabla551631517176101111116131146151156161226171" ref="A62:B65" headerRowCount="0" totalsRowShown="0" headerRowDxfId="1391" dataDxfId="1390">
  <tableColumns count="2">
    <tableColumn id="1" name="Columna1" headerRowDxfId="1389" dataDxfId="1388"/>
    <tableColumn id="2" name="Columna2" headerRowDxfId="1387" dataDxfId="1386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id="171" name="Tabla6121732527277102112117132147152157162227172" displayName="Tabla6121732527277102112117132147152157162227172" ref="A4:D51" totalsRowShown="0" headerRowDxfId="1385" dataDxfId="1384" headerRowCellStyle="Millares" dataCellStyle="Millares">
  <autoFilter ref="A4:D51"/>
  <tableColumns count="4">
    <tableColumn id="1" name="Trabajo" dataDxfId="1383"/>
    <tableColumn id="2" name="114-5685-000" dataDxfId="1382" dataCellStyle="Millares"/>
    <tableColumn id="7" name="Parametro" dataDxfId="1381"/>
    <tableColumn id="8" name="Referencia" dataDxfId="1380"/>
  </tableColumns>
  <tableStyleInfo name="TableStyleMedium19" showFirstColumn="0" showLastColumn="0" showRowStripes="1" showColumnStripes="0"/>
</table>
</file>

<file path=xl/tables/table30.xml><?xml version="1.0" encoding="utf-8"?>
<table xmlns="http://schemas.openxmlformats.org/spreadsheetml/2006/main" id="172" name="Tabla7131833537378103113118133148153158163228173" displayName="Tabla7131833537378103113118133148153158163228173" ref="F5:G33" totalsRowShown="0" headerRowDxfId="1379" dataDxfId="1378">
  <autoFilter ref="F5:G33"/>
  <tableColumns count="2">
    <tableColumn id="1" name="Concepto" dataDxfId="1377"/>
    <tableColumn id="2" name="Valor" dataDxfId="1376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id="173" name="Tabla10141934547479104114119134149154159164229174" displayName="Tabla10141934547479104114119134149154159164229174" ref="A54:B60" headerRowCount="0" totalsRowShown="0" headerRowDxfId="1375" dataDxfId="1374" headerRowCellStyle="Millares" dataCellStyle="Millares">
  <tableColumns count="2">
    <tableColumn id="1" name="Columna1" headerRowDxfId="1373" dataDxfId="1372"/>
    <tableColumn id="2" name="Columna2" headerRowDxfId="1371" dataDxfId="1370" headerRowCellStyle="Millares" dataCellStyle="Millares"/>
  </tableColumns>
  <tableStyleInfo name="TableStyleLight18" showFirstColumn="0" showLastColumn="0" showRowStripes="1" showColumnStripes="0"/>
</table>
</file>

<file path=xl/tables/table32.xml><?xml version="1.0" encoding="utf-8"?>
<table xmlns="http://schemas.openxmlformats.org/spreadsheetml/2006/main" id="159" name="Tabla1341530507075100110115130145150155160" displayName="Tabla1341530507075100110115130145150155160" ref="I5:J15" totalsRowCount="1" headerRowDxfId="1369" totalsRowDxfId="1368">
  <autoFilter ref="I5:J14"/>
  <sortState ref="I6:J14">
    <sortCondition ref="J5:J14"/>
  </sortState>
  <tableColumns count="2">
    <tableColumn id="1" name="Concepto" totalsRowLabel="Total" dataDxfId="1367" totalsRowDxfId="1366"/>
    <tableColumn id="2" name="Contribución" totalsRowFunction="sum" dataDxfId="1365" totalsRowDxfId="136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3.xml><?xml version="1.0" encoding="utf-8"?>
<table xmlns="http://schemas.openxmlformats.org/spreadsheetml/2006/main" id="160" name="Tabla551631517176101111116131146151156161" displayName="Tabla551631517176101111116131146151156161" ref="A62:B65" headerRowCount="0" totalsRowShown="0" headerRowDxfId="1363" dataDxfId="1362">
  <tableColumns count="2">
    <tableColumn id="1" name="Columna1" headerRowDxfId="1361" dataDxfId="1360"/>
    <tableColumn id="2" name="Columna2" headerRowDxfId="1359" dataDxfId="1358"/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id="161" name="Tabla6121732527277102112117132147152157162" displayName="Tabla6121732527277102112117132147152157162" ref="A4:D51" totalsRowShown="0" headerRowDxfId="1357" dataDxfId="1356" headerRowCellStyle="Millares" dataCellStyle="Millares">
  <autoFilter ref="A4:D51"/>
  <tableColumns count="4">
    <tableColumn id="1" name="Trabajo" dataDxfId="1355"/>
    <tableColumn id="2" name="114A4714B" dataDxfId="1354" dataCellStyle="Millares"/>
    <tableColumn id="7" name="Parametro" dataDxfId="1353"/>
    <tableColumn id="8" name="Referencia" dataDxfId="1352"/>
  </tableColumns>
  <tableStyleInfo name="TableStyleMedium19" showFirstColumn="0" showLastColumn="0" showRowStripes="1" showColumnStripes="0"/>
</table>
</file>

<file path=xl/tables/table35.xml><?xml version="1.0" encoding="utf-8"?>
<table xmlns="http://schemas.openxmlformats.org/spreadsheetml/2006/main" id="162" name="Tabla7131833537378103113118133148153158163" displayName="Tabla7131833537378103113118133148153158163" ref="F5:G33" totalsRowShown="0" headerRowDxfId="1351" dataDxfId="1350">
  <autoFilter ref="F5:G33"/>
  <tableColumns count="2">
    <tableColumn id="1" name="Concepto" dataDxfId="1349"/>
    <tableColumn id="2" name="Valor" dataDxfId="1348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id="163" name="Tabla10141934547479104114119134149154159164" displayName="Tabla10141934547479104114119134149154159164" ref="A54:B60" headerRowCount="0" totalsRowShown="0" headerRowDxfId="1347" dataDxfId="1346" headerRowCellStyle="Millares" dataCellStyle="Millares">
  <tableColumns count="2">
    <tableColumn id="1" name="Columna1" headerRowDxfId="1345" dataDxfId="1344"/>
    <tableColumn id="2" name="Columna2" headerRowDxfId="1343" dataDxfId="1342" headerRowCellStyle="Millares" dataCellStyle="Millares"/>
  </tableColumns>
  <tableStyleInfo name="TableStyleLight18" showFirstColumn="0" showLastColumn="0" showRowStripes="1" showColumnStripes="0"/>
</table>
</file>

<file path=xl/tables/table37.xml><?xml version="1.0" encoding="utf-8"?>
<table xmlns="http://schemas.openxmlformats.org/spreadsheetml/2006/main" id="164" name="Tabla1341530507075100110115130145150155160165" displayName="Tabla1341530507075100110115130145150155160165" ref="I5:J15" totalsRowCount="1" headerRowDxfId="1341" totalsRowDxfId="1340">
  <autoFilter ref="I5:J14"/>
  <sortState ref="I6:J14">
    <sortCondition ref="J5:J14"/>
  </sortState>
  <tableColumns count="2">
    <tableColumn id="1" name="Concepto" totalsRowLabel="Total" dataDxfId="1339" totalsRowDxfId="1338"/>
    <tableColumn id="2" name="Contribución" totalsRowFunction="sum" dataDxfId="1337" totalsRowDxfId="133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8.xml><?xml version="1.0" encoding="utf-8"?>
<table xmlns="http://schemas.openxmlformats.org/spreadsheetml/2006/main" id="165" name="Tabla551631517176101111116131146151156161166" displayName="Tabla551631517176101111116131146151156161166" ref="A62:B65" headerRowCount="0" totalsRowShown="0" headerRowDxfId="1335" dataDxfId="1334">
  <tableColumns count="2">
    <tableColumn id="1" name="Columna1" headerRowDxfId="1333" dataDxfId="1332"/>
    <tableColumn id="2" name="Columna2" headerRowDxfId="1331" dataDxfId="1330"/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id="166" name="Tabla6121732527277102112117132147152157162167" displayName="Tabla6121732527277102112117132147152157162167" ref="A4:D51" totalsRowShown="0" headerRowDxfId="1329" dataDxfId="1328" headerRowCellStyle="Millares" dataCellStyle="Millares">
  <autoFilter ref="A4:D51"/>
  <tableColumns count="4">
    <tableColumn id="1" name="Trabajo" dataDxfId="1327"/>
    <tableColumn id="2" name="01-39502" dataDxfId="1326" dataCellStyle="Millares"/>
    <tableColumn id="7" name="Parametro" dataDxfId="1325"/>
    <tableColumn id="8" name="Referencia" dataDxfId="1324"/>
  </tableColumns>
  <tableStyleInfo name="TableStyleMedium19" showFirstColumn="0" showLastColumn="0" showRowStripes="1" showColumnStripes="0"/>
</table>
</file>

<file path=xl/tables/table40.xml><?xml version="1.0" encoding="utf-8"?>
<table xmlns="http://schemas.openxmlformats.org/spreadsheetml/2006/main" id="167" name="Tabla7131833537378103113118133148153158163168" displayName="Tabla7131833537378103113118133148153158163168" ref="F5:G33" totalsRowShown="0" headerRowDxfId="1323" dataDxfId="1322">
  <autoFilter ref="F5:G33"/>
  <tableColumns count="2">
    <tableColumn id="1" name="Concepto" dataDxfId="1321"/>
    <tableColumn id="2" name="Valor" dataDxfId="1320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id="168" name="Tabla10141934547479104114119134149154159164169" displayName="Tabla10141934547479104114119134149154159164169" ref="A54:B60" headerRowCount="0" totalsRowShown="0" headerRowDxfId="1319" dataDxfId="1318" headerRowCellStyle="Millares" dataCellStyle="Millares">
  <tableColumns count="2">
    <tableColumn id="1" name="Columna1" headerRowDxfId="1317" dataDxfId="1316"/>
    <tableColumn id="2" name="Columna2" headerRowDxfId="1315" dataDxfId="1314" headerRowCellStyle="Millares" dataCellStyle="Millares"/>
  </tableColumns>
  <tableStyleInfo name="TableStyleLight18" showFirstColumn="0" showLastColumn="0" showRowStripes="1" showColumnStripes="0"/>
</table>
</file>

<file path=xl/tables/table42.xml><?xml version="1.0" encoding="utf-8"?>
<table xmlns="http://schemas.openxmlformats.org/spreadsheetml/2006/main" id="49" name="Tabla134153050" displayName="Tabla134153050" ref="I5:J15" totalsRowCount="1" headerRowDxfId="1313" totalsRowDxfId="1312">
  <autoFilter ref="I5:J14"/>
  <sortState ref="I6:J14">
    <sortCondition ref="J5:J14"/>
  </sortState>
  <tableColumns count="2">
    <tableColumn id="1" name="Concepto" totalsRowLabel="Total" dataDxfId="1311" totalsRowDxfId="1310"/>
    <tableColumn id="2" name="Contribución" totalsRowFunction="sum" dataDxfId="1309" totalsRowDxfId="130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43.xml><?xml version="1.0" encoding="utf-8"?>
<table xmlns="http://schemas.openxmlformats.org/spreadsheetml/2006/main" id="50" name="Tabla55163151" displayName="Tabla55163151" ref="A62:B65" headerRowCount="0" totalsRowShown="0" headerRowDxfId="1307" dataDxfId="1306">
  <tableColumns count="2">
    <tableColumn id="1" name="Columna1" headerRowDxfId="1305" dataDxfId="1304"/>
    <tableColumn id="2" name="Columna2" headerRowDxfId="1303" dataDxfId="1302"/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id="51" name="Tabla612173252" displayName="Tabla612173252" ref="A4:D51" totalsRowShown="0" headerRowDxfId="1301" dataDxfId="1300" headerRowCellStyle="Millares" dataCellStyle="Millares">
  <autoFilter ref="A4:D51"/>
  <tableColumns count="4">
    <tableColumn id="1" name="Trabajo" dataDxfId="1299"/>
    <tableColumn id="2" name="114A5043" dataDxfId="1298" dataCellStyle="Millares"/>
    <tableColumn id="7" name="Parametro" dataDxfId="1297"/>
    <tableColumn id="8" name="Referencia" dataDxfId="1296"/>
  </tableColumns>
  <tableStyleInfo name="TableStyleMedium19" showFirstColumn="0" showLastColumn="0" showRowStripes="1" showColumnStripes="0"/>
</table>
</file>

<file path=xl/tables/table45.xml><?xml version="1.0" encoding="utf-8"?>
<table xmlns="http://schemas.openxmlformats.org/spreadsheetml/2006/main" id="52" name="Tabla713183353" displayName="Tabla713183353" ref="F5:G33" totalsRowShown="0" headerRowDxfId="1295" dataDxfId="1294">
  <autoFilter ref="F5:G33"/>
  <tableColumns count="2">
    <tableColumn id="1" name="Concepto" dataDxfId="1293"/>
    <tableColumn id="2" name="Valor" dataDxfId="1292"/>
  </tableColumns>
  <tableStyleInfo name="TableStyleLight9" showFirstColumn="0" showLastColumn="0" showRowStripes="1" showColumnStripes="0"/>
</table>
</file>

<file path=xl/tables/table46.xml><?xml version="1.0" encoding="utf-8"?>
<table xmlns="http://schemas.openxmlformats.org/spreadsheetml/2006/main" id="53" name="Tabla1014193454" displayName="Tabla1014193454" ref="A54:B60" headerRowCount="0" totalsRowShown="0" headerRowDxfId="1291" dataDxfId="1290" headerRowCellStyle="Millares" dataCellStyle="Millares">
  <tableColumns count="2">
    <tableColumn id="1" name="Columna1" headerRowDxfId="1289" dataDxfId="1288"/>
    <tableColumn id="2" name="Columna2" headerRowDxfId="1287" dataDxfId="1286" headerRowCellStyle="Millares" dataCellStyle="Millares"/>
  </tableColumns>
  <tableStyleInfo name="TableStyleLight18" showFirstColumn="0" showLastColumn="0" showRowStripes="1" showColumnStripes="0"/>
</table>
</file>

<file path=xl/tables/table47.xml><?xml version="1.0" encoding="utf-8"?>
<table xmlns="http://schemas.openxmlformats.org/spreadsheetml/2006/main" id="44" name="Tabla13415305045" displayName="Tabla13415305045" ref="I5:J15" totalsRowCount="1" headerRowDxfId="1285" totalsRowDxfId="1284">
  <autoFilter ref="I5:J14"/>
  <sortState ref="I6:J14">
    <sortCondition ref="J5:J14"/>
  </sortState>
  <tableColumns count="2">
    <tableColumn id="1" name="Concepto" totalsRowLabel="Total" dataDxfId="1283" totalsRowDxfId="1282"/>
    <tableColumn id="2" name="Contribución" totalsRowFunction="sum" dataDxfId="1281" totalsRowDxfId="128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48.xml><?xml version="1.0" encoding="utf-8"?>
<table xmlns="http://schemas.openxmlformats.org/spreadsheetml/2006/main" id="45" name="Tabla5516315146" displayName="Tabla5516315146" ref="A62:B65" headerRowCount="0" totalsRowShown="0" headerRowDxfId="1279" dataDxfId="1278">
  <tableColumns count="2">
    <tableColumn id="1" name="Columna1" headerRowDxfId="1277" dataDxfId="1276"/>
    <tableColumn id="2" name="Columna2" headerRowDxfId="1275" dataDxfId="1274"/>
  </tableColumns>
  <tableStyleInfo name="TableStyleMedium1" showFirstColumn="0" showLastColumn="0" showRowStripes="1" showColumnStripes="0"/>
</table>
</file>

<file path=xl/tables/table49.xml><?xml version="1.0" encoding="utf-8"?>
<table xmlns="http://schemas.openxmlformats.org/spreadsheetml/2006/main" id="46" name="Tabla61217325247" displayName="Tabla61217325247" ref="A4:D51" totalsRowShown="0" headerRowDxfId="1273" dataDxfId="1272" headerRowCellStyle="Millares" dataCellStyle="Millares">
  <autoFilter ref="A4:D51"/>
  <tableColumns count="4">
    <tableColumn id="1" name="Trabajo" dataDxfId="1271"/>
    <tableColumn id="2" name="114A5044" dataDxfId="1270" dataCellStyle="Millares"/>
    <tableColumn id="7" name="Parametro" dataDxfId="1269"/>
    <tableColumn id="8" name="Referencia" dataDxfId="1268"/>
  </tableColumns>
  <tableStyleInfo name="TableStyleMedium19" showFirstColumn="0" showLastColumn="0" showRowStripes="1" showColumnStripes="0"/>
</table>
</file>

<file path=xl/tables/table50.xml><?xml version="1.0" encoding="utf-8"?>
<table xmlns="http://schemas.openxmlformats.org/spreadsheetml/2006/main" id="47" name="Tabla71318335348" displayName="Tabla71318335348" ref="F5:G33" totalsRowShown="0" headerRowDxfId="1267" dataDxfId="1266">
  <autoFilter ref="F5:G33"/>
  <tableColumns count="2">
    <tableColumn id="1" name="Concepto" dataDxfId="1265"/>
    <tableColumn id="2" name="Valor" dataDxfId="1264"/>
  </tableColumns>
  <tableStyleInfo name="TableStyleLight9" showFirstColumn="0" showLastColumn="0" showRowStripes="1" showColumnStripes="0"/>
</table>
</file>

<file path=xl/tables/table51.xml><?xml version="1.0" encoding="utf-8"?>
<table xmlns="http://schemas.openxmlformats.org/spreadsheetml/2006/main" id="48" name="Tabla101419345449" displayName="Tabla101419345449" ref="A54:B60" headerRowCount="0" totalsRowShown="0" headerRowDxfId="1263" dataDxfId="1262" headerRowCellStyle="Millares" dataCellStyle="Millares">
  <tableColumns count="2">
    <tableColumn id="1" name="Columna1" headerRowDxfId="1261" dataDxfId="1260"/>
    <tableColumn id="2" name="Columna2" headerRowDxfId="1259" dataDxfId="1258" headerRowCellStyle="Millares" dataCellStyle="Millares"/>
  </tableColumns>
  <tableStyleInfo name="TableStyleLight18" showFirstColumn="0" showLastColumn="0" showRowStripes="1" showColumnStripes="0"/>
</table>
</file>

<file path=xl/tables/table52.xml><?xml version="1.0" encoding="utf-8"?>
<table xmlns="http://schemas.openxmlformats.org/spreadsheetml/2006/main" id="69" name="Tabla13415305070" displayName="Tabla13415305070" ref="I5:J15" totalsRowCount="1" headerRowDxfId="1257" totalsRowDxfId="1256">
  <autoFilter ref="I5:J14"/>
  <sortState ref="I6:J14">
    <sortCondition ref="J5:J14"/>
  </sortState>
  <tableColumns count="2">
    <tableColumn id="1" name="Concepto" totalsRowLabel="Total" dataDxfId="1255" totalsRowDxfId="1254"/>
    <tableColumn id="2" name="Contribución" totalsRowFunction="sum" dataDxfId="1253" totalsRowDxfId="125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53.xml><?xml version="1.0" encoding="utf-8"?>
<table xmlns="http://schemas.openxmlformats.org/spreadsheetml/2006/main" id="70" name="Tabla5516315171" displayName="Tabla5516315171" ref="A62:B65" headerRowCount="0" totalsRowShown="0" headerRowDxfId="1251" dataDxfId="1250">
  <tableColumns count="2">
    <tableColumn id="1" name="Columna1" headerRowDxfId="1249" dataDxfId="1248"/>
    <tableColumn id="2" name="Columna2" headerRowDxfId="1247" dataDxfId="1246"/>
  </tableColumns>
  <tableStyleInfo name="TableStyleMedium1" showFirstColumn="0" showLastColumn="0" showRowStripes="1" showColumnStripes="0"/>
</table>
</file>

<file path=xl/tables/table54.xml><?xml version="1.0" encoding="utf-8"?>
<table xmlns="http://schemas.openxmlformats.org/spreadsheetml/2006/main" id="71" name="Tabla61217325272" displayName="Tabla61217325272" ref="A4:D51" totalsRowShown="0" headerRowDxfId="1245" dataDxfId="1244" headerRowCellStyle="Millares" dataCellStyle="Millares">
  <autoFilter ref="A4:D51"/>
  <tableColumns count="4">
    <tableColumn id="1" name="Trabajo" dataDxfId="1243"/>
    <tableColumn id="2" name="01-38939" dataDxfId="1242" dataCellStyle="Millares"/>
    <tableColumn id="7" name="Parametro" dataDxfId="1241"/>
    <tableColumn id="8" name="Referencia" dataDxfId="1240"/>
  </tableColumns>
  <tableStyleInfo name="TableStyleMedium19" showFirstColumn="0" showLastColumn="0" showRowStripes="1" showColumnStripes="0"/>
</table>
</file>

<file path=xl/tables/table55.xml><?xml version="1.0" encoding="utf-8"?>
<table xmlns="http://schemas.openxmlformats.org/spreadsheetml/2006/main" id="72" name="Tabla71318335373" displayName="Tabla71318335373" ref="F5:G33" totalsRowShown="0" headerRowDxfId="1239" dataDxfId="1238">
  <autoFilter ref="F5:G33"/>
  <tableColumns count="2">
    <tableColumn id="1" name="Concepto" dataDxfId="1237"/>
    <tableColumn id="2" name="Valor" dataDxfId="1236"/>
  </tableColumns>
  <tableStyleInfo name="TableStyleLight9" showFirstColumn="0" showLastColumn="0" showRowStripes="1" showColumnStripes="0"/>
</table>
</file>

<file path=xl/tables/table56.xml><?xml version="1.0" encoding="utf-8"?>
<table xmlns="http://schemas.openxmlformats.org/spreadsheetml/2006/main" id="73" name="Tabla101419345474" displayName="Tabla101419345474" ref="A54:B60" headerRowCount="0" totalsRowShown="0" headerRowDxfId="1235" dataDxfId="1234" headerRowCellStyle="Millares" dataCellStyle="Millares">
  <tableColumns count="2">
    <tableColumn id="1" name="Columna1" headerRowDxfId="1233" dataDxfId="1232"/>
    <tableColumn id="2" name="Columna2" headerRowDxfId="1231" dataDxfId="1230" headerRowCellStyle="Millares" dataCellStyle="Millares"/>
  </tableColumns>
  <tableStyleInfo name="TableStyleLight18" showFirstColumn="0" showLastColumn="0" showRowStripes="1" showColumnStripes="0"/>
</table>
</file>

<file path=xl/tables/table57.xml><?xml version="1.0" encoding="utf-8"?>
<table xmlns="http://schemas.openxmlformats.org/spreadsheetml/2006/main" id="229" name="Tabla13415305070230" displayName="Tabla13415305070230" ref="I5:J15" totalsRowCount="1" headerRowDxfId="1229" totalsRowDxfId="1228">
  <autoFilter ref="I5:J14"/>
  <sortState ref="I6:J14">
    <sortCondition ref="J5:J14"/>
  </sortState>
  <tableColumns count="2">
    <tableColumn id="1" name="Concepto" totalsRowLabel="Total" dataDxfId="1227" totalsRowDxfId="1226"/>
    <tableColumn id="2" name="Contribución" totalsRowFunction="sum" dataDxfId="1225" totalsRowDxfId="122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58.xml><?xml version="1.0" encoding="utf-8"?>
<table xmlns="http://schemas.openxmlformats.org/spreadsheetml/2006/main" id="230" name="Tabla5516315171231" displayName="Tabla5516315171231" ref="A62:B65" headerRowCount="0" totalsRowShown="0" headerRowDxfId="1223" dataDxfId="1222">
  <tableColumns count="2">
    <tableColumn id="1" name="Columna1" headerRowDxfId="1221" dataDxfId="1220"/>
    <tableColumn id="2" name="Columna2" headerRowDxfId="1219" dataDxfId="1218"/>
  </tableColumns>
  <tableStyleInfo name="TableStyleMedium1" showFirstColumn="0" showLastColumn="0" showRowStripes="1" showColumnStripes="0"/>
</table>
</file>

<file path=xl/tables/table59.xml><?xml version="1.0" encoding="utf-8"?>
<table xmlns="http://schemas.openxmlformats.org/spreadsheetml/2006/main" id="231" name="Tabla61217325272232" displayName="Tabla61217325272232" ref="A4:D51" totalsRowShown="0" headerRowDxfId="1217" dataDxfId="1216" headerRowCellStyle="Millares" dataCellStyle="Millares">
  <autoFilter ref="A4:D51"/>
  <tableColumns count="4">
    <tableColumn id="1" name="Trabajo" dataDxfId="1215"/>
    <tableColumn id="2" name="114-5433-000" dataDxfId="1214" dataCellStyle="Millares"/>
    <tableColumn id="7" name="Parametro" dataDxfId="1213"/>
    <tableColumn id="8" name="Referencia" dataDxfId="1212"/>
  </tableColumns>
  <tableStyleInfo name="TableStyleMedium19" showFirstColumn="0" showLastColumn="0" showRowStripes="1" showColumnStripes="0"/>
</table>
</file>

<file path=xl/tables/table60.xml><?xml version="1.0" encoding="utf-8"?>
<table xmlns="http://schemas.openxmlformats.org/spreadsheetml/2006/main" id="232" name="Tabla71318335373233" displayName="Tabla71318335373233" ref="F5:G33" totalsRowShown="0" headerRowDxfId="1211" dataDxfId="1210">
  <autoFilter ref="F5:G33"/>
  <tableColumns count="2">
    <tableColumn id="1" name="Concepto" dataDxfId="1209"/>
    <tableColumn id="2" name="Valor" dataDxfId="1208"/>
  </tableColumns>
  <tableStyleInfo name="TableStyleLight9" showFirstColumn="0" showLastColumn="0" showRowStripes="1" showColumnStripes="0"/>
</table>
</file>

<file path=xl/tables/table61.xml><?xml version="1.0" encoding="utf-8"?>
<table xmlns="http://schemas.openxmlformats.org/spreadsheetml/2006/main" id="233" name="Tabla101419345474234" displayName="Tabla101419345474234" ref="A54:B60" headerRowCount="0" totalsRowShown="0" headerRowDxfId="1207" dataDxfId="1206" headerRowCellStyle="Millares" dataCellStyle="Millares">
  <tableColumns count="2">
    <tableColumn id="1" name="Columna1" headerRowDxfId="1205" dataDxfId="1204"/>
    <tableColumn id="2" name="Columna2" headerRowDxfId="1203" dataDxfId="1202" headerRowCellStyle="Millares" dataCellStyle="Millares"/>
  </tableColumns>
  <tableStyleInfo name="TableStyleLight18" showFirstColumn="0" showLastColumn="0" showRowStripes="1" showColumnStripes="0"/>
</table>
</file>

<file path=xl/tables/table62.xml><?xml version="1.0" encoding="utf-8"?>
<table xmlns="http://schemas.openxmlformats.org/spreadsheetml/2006/main" id="84" name="Tabla134153050708085" displayName="Tabla134153050708085" ref="I5:J15" totalsRowCount="1" headerRowDxfId="1201" totalsRowDxfId="1200">
  <autoFilter ref="I5:J14"/>
  <sortState ref="I6:J14">
    <sortCondition ref="J5:J14"/>
  </sortState>
  <tableColumns count="2">
    <tableColumn id="1" name="Concepto" totalsRowLabel="Total" dataDxfId="1199" totalsRowDxfId="1198"/>
    <tableColumn id="2" name="Contribución" totalsRowFunction="sum" dataDxfId="1197" totalsRowDxfId="119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63.xml><?xml version="1.0" encoding="utf-8"?>
<table xmlns="http://schemas.openxmlformats.org/spreadsheetml/2006/main" id="85" name="Tabla55163151718186" displayName="Tabla55163151718186" ref="A62:B65" headerRowCount="0" totalsRowShown="0" headerRowDxfId="1195" dataDxfId="1194">
  <tableColumns count="2">
    <tableColumn id="1" name="Columna1" headerRowDxfId="1193" dataDxfId="1192"/>
    <tableColumn id="2" name="Columna2" headerRowDxfId="1191" dataDxfId="1190"/>
  </tableColumns>
  <tableStyleInfo name="TableStyleMedium1" showFirstColumn="0" showLastColumn="0" showRowStripes="1" showColumnStripes="0"/>
</table>
</file>

<file path=xl/tables/table64.xml><?xml version="1.0" encoding="utf-8"?>
<table xmlns="http://schemas.openxmlformats.org/spreadsheetml/2006/main" id="86" name="Tabla612173252728287" displayName="Tabla612173252728287" ref="A4:D51" totalsRowShown="0" headerRowDxfId="1189" dataDxfId="1188" headerRowCellStyle="Millares" dataCellStyle="Millares">
  <autoFilter ref="A4:D51"/>
  <tableColumns count="4">
    <tableColumn id="1" name="Trabajo" dataDxfId="1187"/>
    <tableColumn id="2" name="114A4109D" dataDxfId="1186" dataCellStyle="Millares"/>
    <tableColumn id="7" name="Parametro" dataDxfId="1185"/>
    <tableColumn id="8" name="Referencia" dataDxfId="1184"/>
  </tableColumns>
  <tableStyleInfo name="TableStyleMedium19" showFirstColumn="0" showLastColumn="0" showRowStripes="1" showColumnStripes="0"/>
</table>
</file>

<file path=xl/tables/table65.xml><?xml version="1.0" encoding="utf-8"?>
<table xmlns="http://schemas.openxmlformats.org/spreadsheetml/2006/main" id="87" name="Tabla713183353738388" displayName="Tabla713183353738388" ref="F5:G33" totalsRowShown="0" headerRowDxfId="1183" dataDxfId="1182">
  <autoFilter ref="F5:G33"/>
  <tableColumns count="2">
    <tableColumn id="1" name="Concepto" dataDxfId="1181"/>
    <tableColumn id="2" name="Valor" dataDxfId="1180"/>
  </tableColumns>
  <tableStyleInfo name="TableStyleLight9" showFirstColumn="0" showLastColumn="0" showRowStripes="1" showColumnStripes="0"/>
</table>
</file>

<file path=xl/tables/table66.xml><?xml version="1.0" encoding="utf-8"?>
<table xmlns="http://schemas.openxmlformats.org/spreadsheetml/2006/main" id="88" name="Tabla1014193454748489" displayName="Tabla1014193454748489" ref="A54:B60" headerRowCount="0" totalsRowShown="0" headerRowDxfId="1179" dataDxfId="1178" headerRowCellStyle="Millares" dataCellStyle="Millares">
  <tableColumns count="2">
    <tableColumn id="1" name="Columna1" headerRowDxfId="1177" dataDxfId="1176"/>
    <tableColumn id="2" name="Columna2" headerRowDxfId="1175" dataDxfId="1174" headerRowCellStyle="Millares" dataCellStyle="Millares"/>
  </tableColumns>
  <tableStyleInfo name="TableStyleLight18" showFirstColumn="0" showLastColumn="0" showRowStripes="1" showColumnStripes="0"/>
</table>
</file>

<file path=xl/tables/table67.xml><?xml version="1.0" encoding="utf-8"?>
<table xmlns="http://schemas.openxmlformats.org/spreadsheetml/2006/main" id="74" name="Tabla1341530507075" displayName="Tabla1341530507075" ref="I5:J15" totalsRowCount="1" headerRowDxfId="1173" totalsRowDxfId="1172">
  <autoFilter ref="I5:J14"/>
  <sortState ref="I6:J14">
    <sortCondition ref="J5:J14"/>
  </sortState>
  <tableColumns count="2">
    <tableColumn id="1" name="Concepto" totalsRowLabel="Total" dataDxfId="1171" totalsRowDxfId="1170"/>
    <tableColumn id="2" name="Contribución" totalsRowFunction="sum" dataDxfId="1169" totalsRowDxfId="116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68.xml><?xml version="1.0" encoding="utf-8"?>
<table xmlns="http://schemas.openxmlformats.org/spreadsheetml/2006/main" id="75" name="Tabla551631517176" displayName="Tabla551631517176" ref="A62:B65" headerRowCount="0" totalsRowShown="0" headerRowDxfId="1167" dataDxfId="1166">
  <tableColumns count="2">
    <tableColumn id="1" name="Columna1" headerRowDxfId="1165" dataDxfId="1164"/>
    <tableColumn id="2" name="Columna2" headerRowDxfId="1163" dataDxfId="1162"/>
  </tableColumns>
  <tableStyleInfo name="TableStyleMedium1" showFirstColumn="0" showLastColumn="0" showRowStripes="1" showColumnStripes="0"/>
</table>
</file>

<file path=xl/tables/table69.xml><?xml version="1.0" encoding="utf-8"?>
<table xmlns="http://schemas.openxmlformats.org/spreadsheetml/2006/main" id="76" name="Tabla6121732527277" displayName="Tabla6121732527277" ref="A4:D51" totalsRowShown="0" headerRowDxfId="1161" dataDxfId="1160" headerRowCellStyle="Millares" dataCellStyle="Millares">
  <autoFilter ref="A4:D51"/>
  <tableColumns count="4">
    <tableColumn id="1" name="Trabajo" dataDxfId="1159"/>
    <tableColumn id="2" name="114-5801-000" dataDxfId="1158" dataCellStyle="Millares"/>
    <tableColumn id="7" name="Parametro" dataDxfId="1157"/>
    <tableColumn id="8" name="Referencia" dataDxfId="1156"/>
  </tableColumns>
  <tableStyleInfo name="TableStyleMedium19" showFirstColumn="0" showLastColumn="0" showRowStripes="1" showColumnStripes="0"/>
</table>
</file>

<file path=xl/tables/table70.xml><?xml version="1.0" encoding="utf-8"?>
<table xmlns="http://schemas.openxmlformats.org/spreadsheetml/2006/main" id="77" name="Tabla7131833537378" displayName="Tabla7131833537378" ref="F5:G33" totalsRowShown="0" headerRowDxfId="1155" dataDxfId="1154">
  <autoFilter ref="F5:G33"/>
  <tableColumns count="2">
    <tableColumn id="1" name="Concepto" dataDxfId="1153"/>
    <tableColumn id="2" name="Valor" dataDxfId="1152"/>
  </tableColumns>
  <tableStyleInfo name="TableStyleLight9" showFirstColumn="0" showLastColumn="0" showRowStripes="1" showColumnStripes="0"/>
</table>
</file>

<file path=xl/tables/table71.xml><?xml version="1.0" encoding="utf-8"?>
<table xmlns="http://schemas.openxmlformats.org/spreadsheetml/2006/main" id="78" name="Tabla10141934547479" displayName="Tabla10141934547479" ref="A54:B60" headerRowCount="0" totalsRowShown="0" headerRowDxfId="1151" dataDxfId="1150" headerRowCellStyle="Millares" dataCellStyle="Millares">
  <tableColumns count="2">
    <tableColumn id="1" name="Columna1" headerRowDxfId="1149" dataDxfId="1148"/>
    <tableColumn id="2" name="Columna2" headerRowDxfId="1147" dataDxfId="1146" headerRowCellStyle="Millares" dataCellStyle="Millares"/>
  </tableColumns>
  <tableStyleInfo name="TableStyleLight18" showFirstColumn="0" showLastColumn="0" showRowStripes="1" showColumnStripes="0"/>
</table>
</file>

<file path=xl/tables/table72.xml><?xml version="1.0" encoding="utf-8"?>
<table xmlns="http://schemas.openxmlformats.org/spreadsheetml/2006/main" id="174" name="Tabla1341530507075175" displayName="Tabla1341530507075175" ref="I5:J15" totalsRowCount="1" headerRowDxfId="1145" totalsRowDxfId="1144">
  <autoFilter ref="I5:J14"/>
  <sortState ref="I6:J14">
    <sortCondition ref="J5:J14"/>
  </sortState>
  <tableColumns count="2">
    <tableColumn id="1" name="Concepto" totalsRowLabel="Total" dataDxfId="1143" totalsRowDxfId="1142"/>
    <tableColumn id="2" name="Contribución" totalsRowFunction="sum" dataDxfId="1141" totalsRowDxfId="114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73.xml><?xml version="1.0" encoding="utf-8"?>
<table xmlns="http://schemas.openxmlformats.org/spreadsheetml/2006/main" id="175" name="Tabla551631517176176" displayName="Tabla551631517176176" ref="A62:B65" headerRowCount="0" totalsRowShown="0" headerRowDxfId="1139" dataDxfId="1138">
  <tableColumns count="2">
    <tableColumn id="1" name="Columna1" headerRowDxfId="1137" dataDxfId="1136"/>
    <tableColumn id="2" name="Columna2" headerRowDxfId="1135" dataDxfId="1134"/>
  </tableColumns>
  <tableStyleInfo name="TableStyleMedium1" showFirstColumn="0" showLastColumn="0" showRowStripes="1" showColumnStripes="0"/>
</table>
</file>

<file path=xl/tables/table74.xml><?xml version="1.0" encoding="utf-8"?>
<table xmlns="http://schemas.openxmlformats.org/spreadsheetml/2006/main" id="176" name="Tabla6121732527277177" displayName="Tabla6121732527277177" ref="A4:D51" totalsRowShown="0" headerRowDxfId="1133" dataDxfId="1132" headerRowCellStyle="Millares" dataCellStyle="Millares">
  <autoFilter ref="A4:D51"/>
  <tableColumns count="4">
    <tableColumn id="1" name="Trabajo" dataDxfId="1131"/>
    <tableColumn id="2" name="114A2074I-1" dataDxfId="1130" dataCellStyle="Millares"/>
    <tableColumn id="7" name="Parametro" dataDxfId="1129"/>
    <tableColumn id="8" name="Referencia" dataDxfId="1128"/>
  </tableColumns>
  <tableStyleInfo name="TableStyleMedium19" showFirstColumn="0" showLastColumn="0" showRowStripes="1" showColumnStripes="0"/>
</table>
</file>

<file path=xl/tables/table75.xml><?xml version="1.0" encoding="utf-8"?>
<table xmlns="http://schemas.openxmlformats.org/spreadsheetml/2006/main" id="177" name="Tabla7131833537378178" displayName="Tabla7131833537378178" ref="F5:G33" totalsRowShown="0" headerRowDxfId="1127" dataDxfId="1126">
  <autoFilter ref="F5:G33"/>
  <tableColumns count="2">
    <tableColumn id="1" name="Concepto" dataDxfId="1125"/>
    <tableColumn id="2" name="Valor" dataDxfId="1124"/>
  </tableColumns>
  <tableStyleInfo name="TableStyleLight9" showFirstColumn="0" showLastColumn="0" showRowStripes="1" showColumnStripes="0"/>
</table>
</file>

<file path=xl/tables/table76.xml><?xml version="1.0" encoding="utf-8"?>
<table xmlns="http://schemas.openxmlformats.org/spreadsheetml/2006/main" id="178" name="Tabla10141934547479179" displayName="Tabla10141934547479179" ref="A54:B60" headerRowCount="0" totalsRowShown="0" headerRowDxfId="1123" dataDxfId="1122" headerRowCellStyle="Millares" dataCellStyle="Millares">
  <tableColumns count="2">
    <tableColumn id="1" name="Columna1" headerRowDxfId="1121" dataDxfId="1120"/>
    <tableColumn id="2" name="Columna2" headerRowDxfId="1119" dataDxfId="1118" headerRowCellStyle="Millares" dataCellStyle="Millares"/>
  </tableColumns>
  <tableStyleInfo name="TableStyleLight18" showFirstColumn="0" showLastColumn="0" showRowStripes="1" showColumnStripes="0"/>
</table>
</file>

<file path=xl/tables/table77.xml><?xml version="1.0" encoding="utf-8"?>
<table xmlns="http://schemas.openxmlformats.org/spreadsheetml/2006/main" id="139" name="Tabla1341530507075140" displayName="Tabla1341530507075140" ref="I5:J15" totalsRowCount="1" headerRowDxfId="1117" totalsRowDxfId="1116">
  <autoFilter ref="I5:J14"/>
  <sortState ref="I6:J14">
    <sortCondition ref="J5:J14"/>
  </sortState>
  <tableColumns count="2">
    <tableColumn id="1" name="Concepto" totalsRowLabel="Total" dataDxfId="1115" totalsRowDxfId="1114"/>
    <tableColumn id="2" name="Contribución" totalsRowFunction="sum" dataDxfId="1113" totalsRowDxfId="111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78.xml><?xml version="1.0" encoding="utf-8"?>
<table xmlns="http://schemas.openxmlformats.org/spreadsheetml/2006/main" id="140" name="Tabla551631517176141" displayName="Tabla551631517176141" ref="A62:B65" headerRowCount="0" totalsRowShown="0" headerRowDxfId="1111" dataDxfId="1110">
  <tableColumns count="2">
    <tableColumn id="1" name="Columna1" headerRowDxfId="1109" dataDxfId="1108"/>
    <tableColumn id="2" name="Columna2" headerRowDxfId="1107" dataDxfId="1106"/>
  </tableColumns>
  <tableStyleInfo name="TableStyleMedium1" showFirstColumn="0" showLastColumn="0" showRowStripes="1" showColumnStripes="0"/>
</table>
</file>

<file path=xl/tables/table79.xml><?xml version="1.0" encoding="utf-8"?>
<table xmlns="http://schemas.openxmlformats.org/spreadsheetml/2006/main" id="141" name="Tabla6121732527277142" displayName="Tabla6121732527277142" ref="A4:D51" totalsRowShown="0" headerRowDxfId="1105" dataDxfId="1104" headerRowCellStyle="Millares" dataCellStyle="Millares">
  <autoFilter ref="A4:D51"/>
  <tableColumns count="4">
    <tableColumn id="1" name="Trabajo" dataDxfId="1103"/>
    <tableColumn id="2" name="01-34213" dataDxfId="1102" dataCellStyle="Millares"/>
    <tableColumn id="7" name="Parametro" dataDxfId="1101"/>
    <tableColumn id="8" name="Referencia" dataDxfId="1100"/>
  </tableColumns>
  <tableStyleInfo name="TableStyleMedium19" showFirstColumn="0" showLastColumn="0" showRowStripes="1" showColumnStripes="0"/>
</table>
</file>

<file path=xl/tables/table80.xml><?xml version="1.0" encoding="utf-8"?>
<table xmlns="http://schemas.openxmlformats.org/spreadsheetml/2006/main" id="142" name="Tabla7131833537378143" displayName="Tabla7131833537378143" ref="F5:G33" totalsRowShown="0" headerRowDxfId="1099" dataDxfId="1098">
  <autoFilter ref="F5:G33"/>
  <tableColumns count="2">
    <tableColumn id="1" name="Concepto" dataDxfId="1097"/>
    <tableColumn id="2" name="Valor" dataDxfId="1096"/>
  </tableColumns>
  <tableStyleInfo name="TableStyleLight9" showFirstColumn="0" showLastColumn="0" showRowStripes="1" showColumnStripes="0"/>
</table>
</file>

<file path=xl/tables/table81.xml><?xml version="1.0" encoding="utf-8"?>
<table xmlns="http://schemas.openxmlformats.org/spreadsheetml/2006/main" id="143" name="Tabla10141934547479144" displayName="Tabla10141934547479144" ref="A54:B60" headerRowCount="0" totalsRowShown="0" headerRowDxfId="1095" dataDxfId="1094" headerRowCellStyle="Millares" dataCellStyle="Millares">
  <tableColumns count="2">
    <tableColumn id="1" name="Columna1" headerRowDxfId="1093" dataDxfId="1092"/>
    <tableColumn id="2" name="Columna2" headerRowDxfId="1091" dataDxfId="1090" headerRowCellStyle="Millares" dataCellStyle="Millares"/>
  </tableColumns>
  <tableStyleInfo name="TableStyleLight18" showFirstColumn="0" showLastColumn="0" showRowStripes="1" showColumnStripes="0"/>
</table>
</file>

<file path=xl/tables/table82.xml><?xml version="1.0" encoding="utf-8"?>
<table xmlns="http://schemas.openxmlformats.org/spreadsheetml/2006/main" id="54" name="Tabla134153050707514055" displayName="Tabla134153050707514055" ref="I5:J15" totalsRowCount="1" headerRowDxfId="1089" totalsRowDxfId="1088">
  <autoFilter ref="I5:J14"/>
  <sortState ref="I6:J14">
    <sortCondition ref="J5:J14"/>
  </sortState>
  <tableColumns count="2">
    <tableColumn id="1" name="Concepto" totalsRowLabel="Total" dataDxfId="1087" totalsRowDxfId="1086"/>
    <tableColumn id="2" name="Contribución" totalsRowFunction="sum" dataDxfId="1085" totalsRowDxfId="108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83.xml><?xml version="1.0" encoding="utf-8"?>
<table xmlns="http://schemas.openxmlformats.org/spreadsheetml/2006/main" id="55" name="Tabla55163151717614156" displayName="Tabla55163151717614156" ref="A62:B65" headerRowCount="0" totalsRowShown="0" headerRowDxfId="1083" dataDxfId="1082">
  <tableColumns count="2">
    <tableColumn id="1" name="Columna1" headerRowDxfId="1081" dataDxfId="1080"/>
    <tableColumn id="2" name="Columna2" headerRowDxfId="1079" dataDxfId="1078"/>
  </tableColumns>
  <tableStyleInfo name="TableStyleMedium1" showFirstColumn="0" showLastColumn="0" showRowStripes="1" showColumnStripes="0"/>
</table>
</file>

<file path=xl/tables/table84.xml><?xml version="1.0" encoding="utf-8"?>
<table xmlns="http://schemas.openxmlformats.org/spreadsheetml/2006/main" id="56" name="Tabla612173252727714257" displayName="Tabla612173252727714257" ref="A4:D51" totalsRowShown="0" headerRowDxfId="1077" dataDxfId="1076" headerRowCellStyle="Millares" dataCellStyle="Millares">
  <autoFilter ref="A4:D51"/>
  <tableColumns count="4">
    <tableColumn id="1" name="Trabajo" dataDxfId="1075"/>
    <tableColumn id="2" name="01-34005" dataDxfId="1074" dataCellStyle="Millares"/>
    <tableColumn id="7" name="Parametro" dataDxfId="1073"/>
    <tableColumn id="8" name="Referencia" dataDxfId="1072"/>
  </tableColumns>
  <tableStyleInfo name="TableStyleMedium19" showFirstColumn="0" showLastColumn="0" showRowStripes="1" showColumnStripes="0"/>
</table>
</file>

<file path=xl/tables/table85.xml><?xml version="1.0" encoding="utf-8"?>
<table xmlns="http://schemas.openxmlformats.org/spreadsheetml/2006/main" id="57" name="Tabla713183353737814358" displayName="Tabla713183353737814358" ref="F5:G33" totalsRowShown="0" headerRowDxfId="1071" dataDxfId="1070">
  <autoFilter ref="F5:G33"/>
  <tableColumns count="2">
    <tableColumn id="1" name="Concepto" dataDxfId="1069"/>
    <tableColumn id="2" name="Valor" dataDxfId="1068"/>
  </tableColumns>
  <tableStyleInfo name="TableStyleLight9" showFirstColumn="0" showLastColumn="0" showRowStripes="1" showColumnStripes="0"/>
</table>
</file>

<file path=xl/tables/table86.xml><?xml version="1.0" encoding="utf-8"?>
<table xmlns="http://schemas.openxmlformats.org/spreadsheetml/2006/main" id="58" name="Tabla1014193454747914459" displayName="Tabla1014193454747914459" ref="A54:B60" headerRowCount="0" totalsRowShown="0" headerRowDxfId="1067" dataDxfId="1066" headerRowCellStyle="Millares" dataCellStyle="Millares">
  <tableColumns count="2">
    <tableColumn id="1" name="Columna1" headerRowDxfId="1065" dataDxfId="1064"/>
    <tableColumn id="2" name="Columna2" headerRowDxfId="1063" dataDxfId="1062" headerRowCellStyle="Millares" dataCellStyle="Millares"/>
  </tableColumns>
  <tableStyleInfo name="TableStyleLight18" showFirstColumn="0" showLastColumn="0" showRowStripes="1" showColumnStripes="0"/>
</table>
</file>

<file path=xl/tables/table87.xml><?xml version="1.0" encoding="utf-8"?>
<table xmlns="http://schemas.openxmlformats.org/spreadsheetml/2006/main" id="99" name="Tabla1341530507075100" displayName="Tabla1341530507075100" ref="I5:J15" totalsRowCount="1" headerRowDxfId="1061" totalsRowDxfId="1060">
  <autoFilter ref="I5:J14"/>
  <sortState ref="I6:J14">
    <sortCondition ref="J5:J14"/>
  </sortState>
  <tableColumns count="2">
    <tableColumn id="1" name="Concepto" totalsRowLabel="Total" dataDxfId="1059" totalsRowDxfId="1058"/>
    <tableColumn id="2" name="Contribución" totalsRowFunction="sum" dataDxfId="1057" totalsRowDxfId="105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88.xml><?xml version="1.0" encoding="utf-8"?>
<table xmlns="http://schemas.openxmlformats.org/spreadsheetml/2006/main" id="100" name="Tabla551631517176101" displayName="Tabla551631517176101" ref="A62:B65" headerRowCount="0" totalsRowShown="0" headerRowDxfId="1055" dataDxfId="1054">
  <tableColumns count="2">
    <tableColumn id="1" name="Columna1" headerRowDxfId="1053" dataDxfId="1052"/>
    <tableColumn id="2" name="Columna2" headerRowDxfId="1051" dataDxfId="1050"/>
  </tableColumns>
  <tableStyleInfo name="TableStyleMedium1" showFirstColumn="0" showLastColumn="0" showRowStripes="1" showColumnStripes="0"/>
</table>
</file>

<file path=xl/tables/table89.xml><?xml version="1.0" encoding="utf-8"?>
<table xmlns="http://schemas.openxmlformats.org/spreadsheetml/2006/main" id="101" name="Tabla6121732527277102" displayName="Tabla6121732527277102" ref="A4:D51" totalsRowShown="0" headerRowDxfId="1049" dataDxfId="1048" headerRowCellStyle="Millares" dataCellStyle="Millares">
  <autoFilter ref="A4:D51"/>
  <tableColumns count="4">
    <tableColumn id="1" name="Trabajo" dataDxfId="1047"/>
    <tableColumn id="2" name="01-39384B" dataDxfId="1046" dataCellStyle="Millares"/>
    <tableColumn id="7" name="Parametro" dataDxfId="1045"/>
    <tableColumn id="8" name="Referencia" dataDxfId="1044"/>
  </tableColumns>
  <tableStyleInfo name="TableStyleMedium19" showFirstColumn="0" showLastColumn="0" showRowStripes="1" showColumnStripes="0"/>
</table>
</file>

<file path=xl/tables/table90.xml><?xml version="1.0" encoding="utf-8"?>
<table xmlns="http://schemas.openxmlformats.org/spreadsheetml/2006/main" id="102" name="Tabla7131833537378103" displayName="Tabla7131833537378103" ref="F5:G33" totalsRowShown="0" headerRowDxfId="1043" dataDxfId="1042">
  <autoFilter ref="F5:G33"/>
  <tableColumns count="2">
    <tableColumn id="1" name="Concepto" dataDxfId="1041"/>
    <tableColumn id="2" name="Valor" dataDxfId="1040"/>
  </tableColumns>
  <tableStyleInfo name="TableStyleLight9" showFirstColumn="0" showLastColumn="0" showRowStripes="1" showColumnStripes="0"/>
</table>
</file>

<file path=xl/tables/table91.xml><?xml version="1.0" encoding="utf-8"?>
<table xmlns="http://schemas.openxmlformats.org/spreadsheetml/2006/main" id="103" name="Tabla10141934547479104" displayName="Tabla10141934547479104" ref="A54:B60" headerRowCount="0" totalsRowShown="0" headerRowDxfId="1039" dataDxfId="1038" headerRowCellStyle="Millares" dataCellStyle="Millares">
  <tableColumns count="2">
    <tableColumn id="1" name="Columna1" headerRowDxfId="1037" dataDxfId="1036"/>
    <tableColumn id="2" name="Columna2" headerRowDxfId="1035" dataDxfId="1034" headerRowCellStyle="Millares" dataCellStyle="Millares"/>
  </tableColumns>
  <tableStyleInfo name="TableStyleLight18" showFirstColumn="0" showLastColumn="0" showRowStripes="1" showColumnStripes="0"/>
</table>
</file>

<file path=xl/tables/table92.xml><?xml version="1.0" encoding="utf-8"?>
<table xmlns="http://schemas.openxmlformats.org/spreadsheetml/2006/main" id="104" name="Tabla1341530507075100105" displayName="Tabla1341530507075100105" ref="I5:J15" totalsRowCount="1" headerRowDxfId="1033" totalsRowDxfId="1032">
  <autoFilter ref="I5:J14"/>
  <sortState ref="I6:J14">
    <sortCondition ref="J5:J14"/>
  </sortState>
  <tableColumns count="2">
    <tableColumn id="1" name="Concepto" totalsRowLabel="Total" dataDxfId="1031" totalsRowDxfId="1030"/>
    <tableColumn id="2" name="Contribución" totalsRowFunction="sum" dataDxfId="1029" totalsRowDxfId="102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93.xml><?xml version="1.0" encoding="utf-8"?>
<table xmlns="http://schemas.openxmlformats.org/spreadsheetml/2006/main" id="105" name="Tabla551631517176101106" displayName="Tabla551631517176101106" ref="A62:B65" headerRowCount="0" totalsRowShown="0" headerRowDxfId="1027" dataDxfId="1026">
  <tableColumns count="2">
    <tableColumn id="1" name="Columna1" headerRowDxfId="1025" dataDxfId="1024"/>
    <tableColumn id="2" name="Columna2" headerRowDxfId="1023" dataDxfId="1022"/>
  </tableColumns>
  <tableStyleInfo name="TableStyleMedium1" showFirstColumn="0" showLastColumn="0" showRowStripes="1" showColumnStripes="0"/>
</table>
</file>

<file path=xl/tables/table94.xml><?xml version="1.0" encoding="utf-8"?>
<table xmlns="http://schemas.openxmlformats.org/spreadsheetml/2006/main" id="106" name="Tabla6121732527277102107" displayName="Tabla6121732527277102107" ref="A4:D51" totalsRowShown="0" headerRowDxfId="1021" dataDxfId="1020" headerRowCellStyle="Millares" dataCellStyle="Millares">
  <autoFilter ref="A4:D51"/>
  <tableColumns count="4">
    <tableColumn id="1" name="Trabajo" dataDxfId="1019"/>
    <tableColumn id="2" name="01-39413B" dataDxfId="1018" dataCellStyle="Millares"/>
    <tableColumn id="7" name="Parametro" dataDxfId="1017"/>
    <tableColumn id="8" name="Referencia" dataDxfId="1016"/>
  </tableColumns>
  <tableStyleInfo name="TableStyleMedium19" showFirstColumn="0" showLastColumn="0" showRowStripes="1" showColumnStripes="0"/>
</table>
</file>

<file path=xl/tables/table95.xml><?xml version="1.0" encoding="utf-8"?>
<table xmlns="http://schemas.openxmlformats.org/spreadsheetml/2006/main" id="107" name="Tabla7131833537378103108" displayName="Tabla7131833537378103108" ref="F5:G33" totalsRowShown="0" headerRowDxfId="1015" dataDxfId="1014">
  <autoFilter ref="F5:G33"/>
  <tableColumns count="2">
    <tableColumn id="1" name="Concepto" dataDxfId="1013"/>
    <tableColumn id="2" name="Valor" dataDxfId="1012"/>
  </tableColumns>
  <tableStyleInfo name="TableStyleLight9" showFirstColumn="0" showLastColumn="0" showRowStripes="1" showColumnStripes="0"/>
</table>
</file>

<file path=xl/tables/table96.xml><?xml version="1.0" encoding="utf-8"?>
<table xmlns="http://schemas.openxmlformats.org/spreadsheetml/2006/main" id="108" name="Tabla10141934547479104109" displayName="Tabla10141934547479104109" ref="A54:B60" headerRowCount="0" totalsRowShown="0" headerRowDxfId="1011" dataDxfId="1010" headerRowCellStyle="Millares" dataCellStyle="Millares">
  <tableColumns count="2">
    <tableColumn id="1" name="Columna1" headerRowDxfId="1009" dataDxfId="1008"/>
    <tableColumn id="2" name="Columna2" headerRowDxfId="1007" dataDxfId="1006" headerRowCellStyle="Millares" dataCellStyle="Millares"/>
  </tableColumns>
  <tableStyleInfo name="TableStyleLight18" showFirstColumn="0" showLastColumn="0" showRowStripes="1" showColumnStripes="0"/>
</table>
</file>

<file path=xl/tables/table97.xml><?xml version="1.0" encoding="utf-8"?>
<table xmlns="http://schemas.openxmlformats.org/spreadsheetml/2006/main" id="124" name="Tabla1341530507075100110120125" displayName="Tabla1341530507075100110120125" ref="I5:J15" totalsRowCount="1" headerRowDxfId="1005" totalsRowDxfId="1004">
  <autoFilter ref="I5:J14"/>
  <sortState ref="I6:J14">
    <sortCondition ref="J5:J14"/>
  </sortState>
  <tableColumns count="2">
    <tableColumn id="1" name="Concepto" totalsRowLabel="Total" dataDxfId="1003" totalsRowDxfId="1002"/>
    <tableColumn id="2" name="Contribución" totalsRowFunction="sum" dataDxfId="1001" totalsRowDxfId="100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98.xml><?xml version="1.0" encoding="utf-8"?>
<table xmlns="http://schemas.openxmlformats.org/spreadsheetml/2006/main" id="125" name="Tabla551631517176101111121126" displayName="Tabla551631517176101111121126" ref="A62:B65" headerRowCount="0" totalsRowShown="0" headerRowDxfId="999" dataDxfId="998">
  <tableColumns count="2">
    <tableColumn id="1" name="Columna1" headerRowDxfId="997" dataDxfId="996"/>
    <tableColumn id="2" name="Columna2" headerRowDxfId="995" dataDxfId="994"/>
  </tableColumns>
  <tableStyleInfo name="TableStyleMedium1" showFirstColumn="0" showLastColumn="0" showRowStripes="1" showColumnStripes="0"/>
</table>
</file>

<file path=xl/tables/table99.xml><?xml version="1.0" encoding="utf-8"?>
<table xmlns="http://schemas.openxmlformats.org/spreadsheetml/2006/main" id="126" name="Tabla6121732527277102112122127" displayName="Tabla6121732527277102112122127" ref="A4:D51" totalsRowShown="0" headerRowDxfId="993" dataDxfId="992" headerRowCellStyle="Millares" dataCellStyle="Millares">
  <autoFilter ref="A4:D51"/>
  <tableColumns count="4">
    <tableColumn id="1" name="Trabajo" dataDxfId="991"/>
    <tableColumn id="2" name="01-39405B" dataDxfId="990" dataCellStyle="Millares"/>
    <tableColumn id="7" name="Parametro" dataDxfId="989"/>
    <tableColumn id="8" name="Referencia" dataDxfId="988"/>
  </tableColumns>
  <tableStyleInfo name="TableStyleMedium19" showFirstColumn="0" showLastColumn="0" showRowStripes="1" showColumnStripes="0"/>
</table>
</file>

<file path=xl/tables/table100.xml><?xml version="1.0" encoding="utf-8"?>
<table xmlns="http://schemas.openxmlformats.org/spreadsheetml/2006/main" id="127" name="Tabla7131833537378103113123128" displayName="Tabla7131833537378103113123128" ref="F5:G33" totalsRowShown="0" headerRowDxfId="987" dataDxfId="986">
  <autoFilter ref="F5:G33"/>
  <tableColumns count="2">
    <tableColumn id="1" name="Concepto" dataDxfId="985"/>
    <tableColumn id="2" name="Valor" dataDxfId="984"/>
  </tableColumns>
  <tableStyleInfo name="TableStyleLight9" showFirstColumn="0" showLastColumn="0" showRowStripes="1" showColumnStripes="0"/>
</table>
</file>

<file path=xl/tables/table101.xml><?xml version="1.0" encoding="utf-8"?>
<table xmlns="http://schemas.openxmlformats.org/spreadsheetml/2006/main" id="128" name="Tabla10141934547479104114124129" displayName="Tabla10141934547479104114124129" ref="A54:B60" headerRowCount="0" totalsRowShown="0" headerRowDxfId="983" dataDxfId="982" headerRowCellStyle="Millares" dataCellStyle="Millares">
  <tableColumns count="2">
    <tableColumn id="1" name="Columna1" headerRowDxfId="981" dataDxfId="980"/>
    <tableColumn id="2" name="Columna2" headerRowDxfId="979" dataDxfId="978" headerRowCellStyle="Millares" dataCellStyle="Millares"/>
  </tableColumns>
  <tableStyleInfo name="TableStyleLight18" showFirstColumn="0" showLastColumn="0" showRowStripes="1" showColumnStripes="0"/>
</table>
</file>

<file path=xl/tables/table102.xml><?xml version="1.0" encoding="utf-8"?>
<table xmlns="http://schemas.openxmlformats.org/spreadsheetml/2006/main" id="119" name="Tabla1341530507075100110120" displayName="Tabla1341530507075100110120" ref="I5:J15" totalsRowCount="1" headerRowDxfId="977" totalsRowDxfId="976">
  <autoFilter ref="I5:J14"/>
  <sortState ref="I6:J14">
    <sortCondition ref="J5:J14"/>
  </sortState>
  <tableColumns count="2">
    <tableColumn id="1" name="Concepto" totalsRowLabel="Total" dataDxfId="975" totalsRowDxfId="974"/>
    <tableColumn id="2" name="Contribución" totalsRowFunction="sum" dataDxfId="973" totalsRowDxfId="97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03.xml><?xml version="1.0" encoding="utf-8"?>
<table xmlns="http://schemas.openxmlformats.org/spreadsheetml/2006/main" id="120" name="Tabla551631517176101111121" displayName="Tabla551631517176101111121" ref="A62:B65" headerRowCount="0" totalsRowShown="0" headerRowDxfId="971" dataDxfId="970">
  <tableColumns count="2">
    <tableColumn id="1" name="Columna1" headerRowDxfId="969" dataDxfId="968"/>
    <tableColumn id="2" name="Columna2" headerRowDxfId="967" dataDxfId="966"/>
  </tableColumns>
  <tableStyleInfo name="TableStyleMedium1" showFirstColumn="0" showLastColumn="0" showRowStripes="1" showColumnStripes="0"/>
</table>
</file>

<file path=xl/tables/table104.xml><?xml version="1.0" encoding="utf-8"?>
<table xmlns="http://schemas.openxmlformats.org/spreadsheetml/2006/main" id="121" name="Tabla65" displayName="Tabla65" ref="A4:D51" totalsRowShown="0" headerRowDxfId="965" dataDxfId="964" headerRowCellStyle="Millares" dataCellStyle="Millares">
  <autoFilter ref="A4:D51"/>
  <tableColumns count="4">
    <tableColumn id="1" name="Trabajo" dataDxfId="963"/>
    <tableColumn id="2" name="01-39380B" dataDxfId="962" dataCellStyle="Millares"/>
    <tableColumn id="7" name="Parametro" dataDxfId="961"/>
    <tableColumn id="8" name="Referencia" dataDxfId="960"/>
  </tableColumns>
  <tableStyleInfo name="TableStyleMedium19" showFirstColumn="0" showLastColumn="0" showRowStripes="1" showColumnStripes="0"/>
</table>
</file>

<file path=xl/tables/table105.xml><?xml version="1.0" encoding="utf-8"?>
<table xmlns="http://schemas.openxmlformats.org/spreadsheetml/2006/main" id="122" name="Tabla7131833537378103113123" displayName="Tabla7131833537378103113123" ref="F5:G33" totalsRowShown="0" headerRowDxfId="959" dataDxfId="958">
  <autoFilter ref="F5:G33"/>
  <tableColumns count="2">
    <tableColumn id="1" name="Concepto" dataDxfId="957"/>
    <tableColumn id="2" name="Valor" dataDxfId="956"/>
  </tableColumns>
  <tableStyleInfo name="TableStyleLight9" showFirstColumn="0" showLastColumn="0" showRowStripes="1" showColumnStripes="0"/>
</table>
</file>

<file path=xl/tables/table106.xml><?xml version="1.0" encoding="utf-8"?>
<table xmlns="http://schemas.openxmlformats.org/spreadsheetml/2006/main" id="123" name="Tabla10141934547479104114124" displayName="Tabla10141934547479104114124" ref="A54:B60" headerRowCount="0" totalsRowShown="0" headerRowDxfId="955" dataDxfId="954" headerRowCellStyle="Millares" dataCellStyle="Millares">
  <tableColumns count="2">
    <tableColumn id="1" name="Columna1" headerRowDxfId="953" dataDxfId="952"/>
    <tableColumn id="2" name="Columna2" headerRowDxfId="951" dataDxfId="950" headerRowCellStyle="Millares" dataCellStyle="Millares"/>
  </tableColumns>
  <tableStyleInfo name="TableStyleLight18" showFirstColumn="0" showLastColumn="0" showRowStripes="1" showColumnStripes="0"/>
</table>
</file>

<file path=xl/tables/table107.xml><?xml version="1.0" encoding="utf-8"?>
<table xmlns="http://schemas.openxmlformats.org/spreadsheetml/2006/main" id="109" name="Tabla1341530507075100110" displayName="Tabla1341530507075100110" ref="I5:J15" totalsRowCount="1" headerRowDxfId="949" totalsRowDxfId="948">
  <autoFilter ref="I5:J14"/>
  <sortState ref="I6:J14">
    <sortCondition ref="J5:J14"/>
  </sortState>
  <tableColumns count="2">
    <tableColumn id="1" name="Concepto" totalsRowLabel="Total" dataDxfId="947" totalsRowDxfId="946"/>
    <tableColumn id="2" name="Contribución" totalsRowFunction="sum" dataDxfId="945" totalsRowDxfId="94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08.xml><?xml version="1.0" encoding="utf-8"?>
<table xmlns="http://schemas.openxmlformats.org/spreadsheetml/2006/main" id="110" name="Tabla551631517176101111" displayName="Tabla551631517176101111" ref="A62:B65" headerRowCount="0" totalsRowShown="0" headerRowDxfId="943" dataDxfId="942">
  <tableColumns count="2">
    <tableColumn id="1" name="Columna1" headerRowDxfId="941" dataDxfId="940"/>
    <tableColumn id="2" name="Columna2" headerRowDxfId="939" dataDxfId="938"/>
  </tableColumns>
  <tableStyleInfo name="TableStyleMedium1" showFirstColumn="0" showLastColumn="0" showRowStripes="1" showColumnStripes="0"/>
</table>
</file>

<file path=xl/tables/table109.xml><?xml version="1.0" encoding="utf-8"?>
<table xmlns="http://schemas.openxmlformats.org/spreadsheetml/2006/main" id="111" name="Tabla6121732527277102112" displayName="Tabla6121732527277102112" ref="A4:D51" totalsRowShown="0" headerRowDxfId="937" dataDxfId="936" headerRowCellStyle="Millares" dataCellStyle="Millares">
  <autoFilter ref="A4:D51"/>
  <tableColumns count="4">
    <tableColumn id="1" name="Trabajo" dataDxfId="935"/>
    <tableColumn id="2" name="01-39384B" dataDxfId="934" dataCellStyle="Millares"/>
    <tableColumn id="7" name="Parametro" dataDxfId="933"/>
    <tableColumn id="8" name="Referencia" dataDxfId="932"/>
  </tableColumns>
  <tableStyleInfo name="TableStyleMedium19" showFirstColumn="0" showLastColumn="0" showRowStripes="1" showColumnStripes="0"/>
</table>
</file>

<file path=xl/tables/table110.xml><?xml version="1.0" encoding="utf-8"?>
<table xmlns="http://schemas.openxmlformats.org/spreadsheetml/2006/main" id="112" name="Tabla7131833537378103113" displayName="Tabla7131833537378103113" ref="F5:G33" totalsRowShown="0" headerRowDxfId="931" dataDxfId="930">
  <autoFilter ref="F5:G33"/>
  <tableColumns count="2">
    <tableColumn id="1" name="Concepto" dataDxfId="929"/>
    <tableColumn id="2" name="Valor" dataDxfId="928"/>
  </tableColumns>
  <tableStyleInfo name="TableStyleLight9" showFirstColumn="0" showLastColumn="0" showRowStripes="1" showColumnStripes="0"/>
</table>
</file>

<file path=xl/tables/table111.xml><?xml version="1.0" encoding="utf-8"?>
<table xmlns="http://schemas.openxmlformats.org/spreadsheetml/2006/main" id="113" name="Tabla10141934547479104114" displayName="Tabla10141934547479104114" ref="A54:B60" headerRowCount="0" totalsRowShown="0" headerRowDxfId="927" dataDxfId="926" headerRowCellStyle="Millares" dataCellStyle="Millares">
  <tableColumns count="2">
    <tableColumn id="1" name="Columna1" headerRowDxfId="925" dataDxfId="924"/>
    <tableColumn id="2" name="Columna2" headerRowDxfId="923" dataDxfId="922" headerRowCellStyle="Millares" dataCellStyle="Millares"/>
  </tableColumns>
  <tableStyleInfo name="TableStyleLight18" showFirstColumn="0" showLastColumn="0" showRowStripes="1" showColumnStripes="0"/>
</table>
</file>

<file path=xl/tables/table112.xml><?xml version="1.0" encoding="utf-8"?>
<table xmlns="http://schemas.openxmlformats.org/spreadsheetml/2006/main" id="114" name="Tabla1341530507075100110115" displayName="Tabla1341530507075100110115" ref="I5:J15" totalsRowCount="1" headerRowDxfId="921" totalsRowDxfId="920">
  <autoFilter ref="I5:J14"/>
  <sortState ref="I6:J14">
    <sortCondition ref="J5:J14"/>
  </sortState>
  <tableColumns count="2">
    <tableColumn id="1" name="Concepto" totalsRowLabel="Total" dataDxfId="919" totalsRowDxfId="918"/>
    <tableColumn id="2" name="Contribución" totalsRowFunction="sum" dataDxfId="917" totalsRowDxfId="91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13.xml><?xml version="1.0" encoding="utf-8"?>
<table xmlns="http://schemas.openxmlformats.org/spreadsheetml/2006/main" id="115" name="Tabla551631517176101111116" displayName="Tabla551631517176101111116" ref="A62:B65" headerRowCount="0" totalsRowShown="0" headerRowDxfId="915" dataDxfId="914">
  <tableColumns count="2">
    <tableColumn id="1" name="Columna1" headerRowDxfId="913" dataDxfId="912"/>
    <tableColumn id="2" name="Columna2" headerRowDxfId="911" dataDxfId="910"/>
  </tableColumns>
  <tableStyleInfo name="TableStyleMedium1" showFirstColumn="0" showLastColumn="0" showRowStripes="1" showColumnStripes="0"/>
</table>
</file>

<file path=xl/tables/table114.xml><?xml version="1.0" encoding="utf-8"?>
<table xmlns="http://schemas.openxmlformats.org/spreadsheetml/2006/main" id="116" name="Tabla6121732527277102112117" displayName="Tabla6121732527277102112117" ref="A4:D51" totalsRowShown="0" headerRowDxfId="909" dataDxfId="908" headerRowCellStyle="Millares" dataCellStyle="Millares">
  <autoFilter ref="A4:D51"/>
  <tableColumns count="4">
    <tableColumn id="1" name="Trabajo" dataDxfId="907"/>
    <tableColumn id="2" name="01-39407B" dataDxfId="906" dataCellStyle="Millares"/>
    <tableColumn id="7" name="Parametro" dataDxfId="905"/>
    <tableColumn id="8" name="Referencia" dataDxfId="904"/>
  </tableColumns>
  <tableStyleInfo name="TableStyleMedium19" showFirstColumn="0" showLastColumn="0" showRowStripes="1" showColumnStripes="0"/>
</table>
</file>

<file path=xl/tables/table115.xml><?xml version="1.0" encoding="utf-8"?>
<table xmlns="http://schemas.openxmlformats.org/spreadsheetml/2006/main" id="117" name="Tabla7131833537378103113118" displayName="Tabla7131833537378103113118" ref="F5:G33" totalsRowShown="0" headerRowDxfId="903" dataDxfId="902">
  <autoFilter ref="F5:G33"/>
  <tableColumns count="2">
    <tableColumn id="1" name="Concepto" dataDxfId="901"/>
    <tableColumn id="2" name="Valor" dataDxfId="900"/>
  </tableColumns>
  <tableStyleInfo name="TableStyleLight9" showFirstColumn="0" showLastColumn="0" showRowStripes="1" showColumnStripes="0"/>
</table>
</file>

<file path=xl/tables/table116.xml><?xml version="1.0" encoding="utf-8"?>
<table xmlns="http://schemas.openxmlformats.org/spreadsheetml/2006/main" id="118" name="Tabla10141934547479104114119" displayName="Tabla10141934547479104114119" ref="A54:B60" headerRowCount="0" totalsRowShown="0" headerRowDxfId="899" dataDxfId="898" headerRowCellStyle="Millares" dataCellStyle="Millares">
  <tableColumns count="2">
    <tableColumn id="1" name="Columna1" headerRowDxfId="897" dataDxfId="896"/>
    <tableColumn id="2" name="Columna2" headerRowDxfId="895" dataDxfId="894" headerRowCellStyle="Millares" dataCellStyle="Millares"/>
  </tableColumns>
  <tableStyleInfo name="TableStyleLight18" showFirstColumn="0" showLastColumn="0" showRowStripes="1" showColumnStripes="0"/>
</table>
</file>

<file path=xl/tables/table117.xml><?xml version="1.0" encoding="utf-8"?>
<table xmlns="http://schemas.openxmlformats.org/spreadsheetml/2006/main" id="129" name="Tabla1341530507075100110115130" displayName="Tabla1341530507075100110115130" ref="I5:J15" totalsRowCount="1" headerRowDxfId="893" totalsRowDxfId="892">
  <autoFilter ref="I5:J14"/>
  <sortState ref="I6:J14">
    <sortCondition ref="J5:J14"/>
  </sortState>
  <tableColumns count="2">
    <tableColumn id="1" name="Concepto" totalsRowLabel="Total" dataDxfId="891" totalsRowDxfId="890"/>
    <tableColumn id="2" name="Contribución" totalsRowFunction="sum" dataDxfId="889" totalsRowDxfId="88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18.xml><?xml version="1.0" encoding="utf-8"?>
<table xmlns="http://schemas.openxmlformats.org/spreadsheetml/2006/main" id="130" name="Tabla551631517176101111116131" displayName="Tabla551631517176101111116131" ref="A62:B65" headerRowCount="0" totalsRowShown="0" headerRowDxfId="887" dataDxfId="886">
  <tableColumns count="2">
    <tableColumn id="1" name="Columna1" headerRowDxfId="885" dataDxfId="884"/>
    <tableColumn id="2" name="Columna2" headerRowDxfId="883" dataDxfId="882"/>
  </tableColumns>
  <tableStyleInfo name="TableStyleMedium1" showFirstColumn="0" showLastColumn="0" showRowStripes="1" showColumnStripes="0"/>
</table>
</file>

<file path=xl/tables/table119.xml><?xml version="1.0" encoding="utf-8"?>
<table xmlns="http://schemas.openxmlformats.org/spreadsheetml/2006/main" id="131" name="Tabla6121732527277102112117132" displayName="Tabla6121732527277102112117132" ref="A4:D51" totalsRowShown="0" headerRowDxfId="881" dataDxfId="880" headerRowCellStyle="Millares" dataCellStyle="Millares">
  <autoFilter ref="A4:D51"/>
  <tableColumns count="4">
    <tableColumn id="1" name="Trabajo" dataDxfId="879"/>
    <tableColumn id="2" name="01-39382C" dataDxfId="878" dataCellStyle="Millares"/>
    <tableColumn id="7" name="Parametro" dataDxfId="877"/>
    <tableColumn id="8" name="Referencia" dataDxfId="876"/>
  </tableColumns>
  <tableStyleInfo name="TableStyleMedium19" showFirstColumn="0" showLastColumn="0" showRowStripes="1" showColumnStripes="0"/>
</table>
</file>

<file path=xl/tables/table120.xml><?xml version="1.0" encoding="utf-8"?>
<table xmlns="http://schemas.openxmlformats.org/spreadsheetml/2006/main" id="132" name="Tabla7131833537378103113118133" displayName="Tabla7131833537378103113118133" ref="F5:G33" totalsRowShown="0" headerRowDxfId="875" dataDxfId="874">
  <autoFilter ref="F5:G33"/>
  <tableColumns count="2">
    <tableColumn id="1" name="Concepto" dataDxfId="873"/>
    <tableColumn id="2" name="Valor" dataDxfId="872"/>
  </tableColumns>
  <tableStyleInfo name="TableStyleLight9" showFirstColumn="0" showLastColumn="0" showRowStripes="1" showColumnStripes="0"/>
</table>
</file>

<file path=xl/tables/table121.xml><?xml version="1.0" encoding="utf-8"?>
<table xmlns="http://schemas.openxmlformats.org/spreadsheetml/2006/main" id="133" name="Tabla10141934547479104114119134" displayName="Tabla10141934547479104114119134" ref="A54:B60" headerRowCount="0" totalsRowShown="0" headerRowDxfId="871" dataDxfId="870" headerRowCellStyle="Millares" dataCellStyle="Millares">
  <tableColumns count="2">
    <tableColumn id="1" name="Columna1" headerRowDxfId="869" dataDxfId="868"/>
    <tableColumn id="2" name="Columna2" headerRowDxfId="867" dataDxfId="866" headerRowCellStyle="Millares" dataCellStyle="Millares"/>
  </tableColumns>
  <tableStyleInfo name="TableStyleLight18" showFirstColumn="0" showLastColumn="0" showRowStripes="1" showColumnStripes="0"/>
</table>
</file>

<file path=xl/tables/table122.xml><?xml version="1.0" encoding="utf-8"?>
<table xmlns="http://schemas.openxmlformats.org/spreadsheetml/2006/main" id="134" name="Tabla1341530507075100110115130135" displayName="Tabla1341530507075100110115130135" ref="I5:J15" totalsRowCount="1" headerRowDxfId="865" totalsRowDxfId="864">
  <autoFilter ref="I5:J14"/>
  <sortState ref="I6:J14">
    <sortCondition ref="J5:J14"/>
  </sortState>
  <tableColumns count="2">
    <tableColumn id="1" name="Concepto" totalsRowLabel="Total" dataDxfId="863" totalsRowDxfId="862"/>
    <tableColumn id="2" name="Contribución" totalsRowFunction="sum" dataDxfId="861" totalsRowDxfId="86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23.xml><?xml version="1.0" encoding="utf-8"?>
<table xmlns="http://schemas.openxmlformats.org/spreadsheetml/2006/main" id="135" name="Tabla551631517176101111116131136" displayName="Tabla551631517176101111116131136" ref="A62:B65" headerRowCount="0" totalsRowShown="0" headerRowDxfId="859" dataDxfId="858">
  <tableColumns count="2">
    <tableColumn id="1" name="Columna1" headerRowDxfId="857" dataDxfId="856"/>
    <tableColumn id="2" name="Columna2" headerRowDxfId="855" dataDxfId="854"/>
  </tableColumns>
  <tableStyleInfo name="TableStyleMedium1" showFirstColumn="0" showLastColumn="0" showRowStripes="1" showColumnStripes="0"/>
</table>
</file>

<file path=xl/tables/table124.xml><?xml version="1.0" encoding="utf-8"?>
<table xmlns="http://schemas.openxmlformats.org/spreadsheetml/2006/main" id="136" name="Tabla6121732527277102112117132137" displayName="Tabla6121732527277102112117132137" ref="A4:D51" totalsRowShown="0" headerRowDxfId="853" dataDxfId="852" headerRowCellStyle="Millares" dataCellStyle="Millares">
  <autoFilter ref="A4:D51"/>
  <tableColumns count="4">
    <tableColumn id="1" name="Trabajo" dataDxfId="851"/>
    <tableColumn id="2" name="01-39409C" dataDxfId="850" dataCellStyle="Millares"/>
    <tableColumn id="7" name="Parametro" dataDxfId="849"/>
    <tableColumn id="8" name="Referencia" dataDxfId="848"/>
  </tableColumns>
  <tableStyleInfo name="TableStyleMedium19" showFirstColumn="0" showLastColumn="0" showRowStripes="1" showColumnStripes="0"/>
</table>
</file>

<file path=xl/tables/table125.xml><?xml version="1.0" encoding="utf-8"?>
<table xmlns="http://schemas.openxmlformats.org/spreadsheetml/2006/main" id="137" name="Tabla7131833537378103113118133138" displayName="Tabla7131833537378103113118133138" ref="F5:G33" totalsRowShown="0" headerRowDxfId="847" dataDxfId="846">
  <autoFilter ref="F5:G33"/>
  <tableColumns count="2">
    <tableColumn id="1" name="Concepto" dataDxfId="845"/>
    <tableColumn id="2" name="Valor" dataDxfId="844"/>
  </tableColumns>
  <tableStyleInfo name="TableStyleLight9" showFirstColumn="0" showLastColumn="0" showRowStripes="1" showColumnStripes="0"/>
</table>
</file>

<file path=xl/tables/table126.xml><?xml version="1.0" encoding="utf-8"?>
<table xmlns="http://schemas.openxmlformats.org/spreadsheetml/2006/main" id="138" name="Tabla10141934547479104114119134139" displayName="Tabla10141934547479104114119134139" ref="A54:B60" headerRowCount="0" totalsRowShown="0" headerRowDxfId="843" dataDxfId="842" headerRowCellStyle="Millares" dataCellStyle="Millares">
  <tableColumns count="2">
    <tableColumn id="1" name="Columna1" headerRowDxfId="841" dataDxfId="840"/>
    <tableColumn id="2" name="Columna2" headerRowDxfId="839" dataDxfId="838" headerRowCellStyle="Millares" dataCellStyle="Millares"/>
  </tableColumns>
  <tableStyleInfo name="TableStyleLight18" showFirstColumn="0" showLastColumn="0" showRowStripes="1" showColumnStripes="0"/>
</table>
</file>

<file path=xl/tables/table127.xml><?xml version="1.0" encoding="utf-8"?>
<table xmlns="http://schemas.openxmlformats.org/spreadsheetml/2006/main" id="144" name="Tabla1341530507075100110115130145" displayName="Tabla1341530507075100110115130145" ref="K5:L15" totalsRowCount="1" headerRowDxfId="837" totalsRowDxfId="836">
  <autoFilter ref="K5:L14"/>
  <sortState ref="K6:L14">
    <sortCondition ref="L5:L14"/>
  </sortState>
  <tableColumns count="2">
    <tableColumn id="1" name="Concepto" totalsRowLabel="Total" dataDxfId="835" totalsRowDxfId="834"/>
    <tableColumn id="2" name="Contribución" totalsRowFunction="sum" dataDxfId="833" totalsRowDxfId="83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28.xml><?xml version="1.0" encoding="utf-8"?>
<table xmlns="http://schemas.openxmlformats.org/spreadsheetml/2006/main" id="145" name="Tabla551631517176101111116131146" displayName="Tabla551631517176101111116131146" ref="A62:D65" headerRowCount="0" totalsRowShown="0" headerRowDxfId="831" dataDxfId="830">
  <tableColumns count="4">
    <tableColumn id="1" name="Columna1" headerRowDxfId="829" dataDxfId="828"/>
    <tableColumn id="2" name="Columna2" headerRowDxfId="827" dataDxfId="826"/>
    <tableColumn id="3" name="Columna3" headerRowDxfId="825" dataDxfId="824"/>
    <tableColumn id="4" name="Columna4" headerRowDxfId="823" dataDxfId="822"/>
  </tableColumns>
  <tableStyleInfo name="TableStyleMedium1" showFirstColumn="0" showLastColumn="0" showRowStripes="1" showColumnStripes="0"/>
</table>
</file>

<file path=xl/tables/table129.xml><?xml version="1.0" encoding="utf-8"?>
<table xmlns="http://schemas.openxmlformats.org/spreadsheetml/2006/main" id="146" name="Tabla6121732527277102112117132147" displayName="Tabla6121732527277102112117132147" ref="A4:F51" totalsRowShown="0" headerRowDxfId="821" dataDxfId="820" headerRowCellStyle="Millares" dataCellStyle="Millares">
  <autoFilter ref="A4:F51"/>
  <tableColumns count="6">
    <tableColumn id="1" name="Trabajo" dataDxfId="819"/>
    <tableColumn id="2" name="MANUAL" dataDxfId="818" dataCellStyle="Millares"/>
    <tableColumn id="3" name="ETIQUETAS" dataDxfId="817" dataCellStyle="Porcentaje"/>
    <tableColumn id="4" name="8114A2935E" dataDxfId="816" dataCellStyle="Porcentaje"/>
    <tableColumn id="7" name="Parametro" dataDxfId="815"/>
    <tableColumn id="8" name="Referencia" dataDxfId="814"/>
  </tableColumns>
  <tableStyleInfo name="TableStyleMedium19" showFirstColumn="0" showLastColumn="0" showRowStripes="1" showColumnStripes="0"/>
</table>
</file>

<file path=xl/tables/table130.xml><?xml version="1.0" encoding="utf-8"?>
<table xmlns="http://schemas.openxmlformats.org/spreadsheetml/2006/main" id="147" name="Tabla7131833537378103113118133148" displayName="Tabla7131833537378103113118133148" ref="H5:I33" totalsRowShown="0" headerRowDxfId="813" dataDxfId="812">
  <autoFilter ref="H5:I33"/>
  <tableColumns count="2">
    <tableColumn id="1" name="Concepto" dataDxfId="811"/>
    <tableColumn id="2" name="Valor" dataDxfId="810"/>
  </tableColumns>
  <tableStyleInfo name="TableStyleLight9" showFirstColumn="0" showLastColumn="0" showRowStripes="1" showColumnStripes="0"/>
</table>
</file>

<file path=xl/tables/table131.xml><?xml version="1.0" encoding="utf-8"?>
<table xmlns="http://schemas.openxmlformats.org/spreadsheetml/2006/main" id="148" name="Tabla10141934547479104114119134149" displayName="Tabla10141934547479104114119134149" ref="A54:B60" headerRowCount="0" totalsRowShown="0" headerRowDxfId="809" dataDxfId="808" headerRowCellStyle="Millares" dataCellStyle="Millares">
  <tableColumns count="2">
    <tableColumn id="1" name="Columna1" headerRowDxfId="807" dataDxfId="806"/>
    <tableColumn id="2" name="Columna2" headerRowDxfId="805" dataDxfId="804" headerRowCellStyle="Millares" dataCellStyle="Millares"/>
  </tableColumns>
  <tableStyleInfo name="TableStyleLight18" showFirstColumn="0" showLastColumn="0" showRowStripes="1" showColumnStripes="0"/>
</table>
</file>

<file path=xl/tables/table132.xml><?xml version="1.0" encoding="utf-8"?>
<table xmlns="http://schemas.openxmlformats.org/spreadsheetml/2006/main" id="254" name="Tabla1341530507075100110115130145255" displayName="Tabla1341530507075100110115130145255" ref="K5:L15" totalsRowCount="1" headerRowDxfId="803" totalsRowDxfId="802">
  <autoFilter ref="K5:L14"/>
  <sortState ref="K6:L14">
    <sortCondition ref="L5:L14"/>
  </sortState>
  <tableColumns count="2">
    <tableColumn id="1" name="Concepto" totalsRowLabel="Total" dataDxfId="801" totalsRowDxfId="800"/>
    <tableColumn id="2" name="Contribución" totalsRowFunction="sum" dataDxfId="799" totalsRowDxfId="79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33.xml><?xml version="1.0" encoding="utf-8"?>
<table xmlns="http://schemas.openxmlformats.org/spreadsheetml/2006/main" id="255" name="Tabla551631517176101111116131146256" displayName="Tabla551631517176101111116131146256" ref="A62:D65" headerRowCount="0" totalsRowShown="0" headerRowDxfId="797" dataDxfId="796">
  <tableColumns count="4">
    <tableColumn id="1" name="Columna1" headerRowDxfId="795" dataDxfId="794"/>
    <tableColumn id="2" name="Columna2" headerRowDxfId="793" dataDxfId="792"/>
    <tableColumn id="3" name="Columna3" headerRowDxfId="791" dataDxfId="790"/>
    <tableColumn id="4" name="Columna4" headerRowDxfId="789" dataDxfId="788"/>
  </tableColumns>
  <tableStyleInfo name="TableStyleMedium1" showFirstColumn="0" showLastColumn="0" showRowStripes="1" showColumnStripes="0"/>
</table>
</file>

<file path=xl/tables/table134.xml><?xml version="1.0" encoding="utf-8"?>
<table xmlns="http://schemas.openxmlformats.org/spreadsheetml/2006/main" id="256" name="Tabla6121732527277102112117132147257" displayName="Tabla6121732527277102112117132147257" ref="A4:F51" totalsRowShown="0" headerRowDxfId="787" dataDxfId="786" headerRowCellStyle="Millares" dataCellStyle="Millares">
  <autoFilter ref="A4:F51"/>
  <tableColumns count="6">
    <tableColumn id="1" name="Trabajo" dataDxfId="785"/>
    <tableColumn id="2" name="MANUAL" dataDxfId="784" dataCellStyle="Millares"/>
    <tableColumn id="3" name="ETIQUETAS" dataDxfId="783" dataCellStyle="Porcentaje"/>
    <tableColumn id="4" name="8114A3656D" dataDxfId="782" dataCellStyle="Porcentaje"/>
    <tableColumn id="7" name="Parametro" dataDxfId="781"/>
    <tableColumn id="8" name="Referencia" dataDxfId="780"/>
  </tableColumns>
  <tableStyleInfo name="TableStyleMedium19" showFirstColumn="0" showLastColumn="0" showRowStripes="1" showColumnStripes="0"/>
</table>
</file>

<file path=xl/tables/table135.xml><?xml version="1.0" encoding="utf-8"?>
<table xmlns="http://schemas.openxmlformats.org/spreadsheetml/2006/main" id="257" name="Tabla7131833537378103113118133148258" displayName="Tabla7131833537378103113118133148258" ref="H5:I33" totalsRowShown="0" headerRowDxfId="779" dataDxfId="778">
  <autoFilter ref="H5:I33"/>
  <tableColumns count="2">
    <tableColumn id="1" name="Concepto" dataDxfId="777"/>
    <tableColumn id="2" name="Valor" dataDxfId="776"/>
  </tableColumns>
  <tableStyleInfo name="TableStyleLight9" showFirstColumn="0" showLastColumn="0" showRowStripes="1" showColumnStripes="0"/>
</table>
</file>

<file path=xl/tables/table136.xml><?xml version="1.0" encoding="utf-8"?>
<table xmlns="http://schemas.openxmlformats.org/spreadsheetml/2006/main" id="258" name="Tabla10141934547479104114119134149259" displayName="Tabla10141934547479104114119134149259" ref="A54:B60" headerRowCount="0" totalsRowShown="0" headerRowDxfId="775" dataDxfId="774" headerRowCellStyle="Millares" dataCellStyle="Millares">
  <tableColumns count="2">
    <tableColumn id="1" name="Columna1" headerRowDxfId="773" dataDxfId="772"/>
    <tableColumn id="2" name="Columna2" headerRowDxfId="771" dataDxfId="770" headerRowCellStyle="Millares" dataCellStyle="Millares"/>
  </tableColumns>
  <tableStyleInfo name="TableStyleLight18" showFirstColumn="0" showLastColumn="0" showRowStripes="1" showColumnStripes="0"/>
</table>
</file>

<file path=xl/tables/table137.xml><?xml version="1.0" encoding="utf-8"?>
<table xmlns="http://schemas.openxmlformats.org/spreadsheetml/2006/main" id="189" name="Tabla1341530507075100110115130145190" displayName="Tabla1341530507075100110115130145190" ref="K5:L15" totalsRowCount="1" headerRowDxfId="769" totalsRowDxfId="768">
  <autoFilter ref="K5:L14"/>
  <sortState ref="K6:L14">
    <sortCondition ref="L5:L14"/>
  </sortState>
  <tableColumns count="2">
    <tableColumn id="1" name="Concepto" totalsRowLabel="Total" dataDxfId="767" totalsRowDxfId="766"/>
    <tableColumn id="2" name="Contribución" totalsRowFunction="sum" dataDxfId="765" totalsRowDxfId="76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38.xml><?xml version="1.0" encoding="utf-8"?>
<table xmlns="http://schemas.openxmlformats.org/spreadsheetml/2006/main" id="190" name="Tabla551631517176101111116131146191" displayName="Tabla551631517176101111116131146191" ref="A62:D65" headerRowCount="0" totalsRowShown="0" headerRowDxfId="763" dataDxfId="762">
  <tableColumns count="4">
    <tableColumn id="1" name="Columna1" headerRowDxfId="761" dataDxfId="760"/>
    <tableColumn id="2" name="Columna2" headerRowDxfId="759" dataDxfId="758"/>
    <tableColumn id="3" name="Columna3" headerRowDxfId="757" dataDxfId="756"/>
    <tableColumn id="4" name="Columna4" headerRowDxfId="755" dataDxfId="754"/>
  </tableColumns>
  <tableStyleInfo name="TableStyleMedium1" showFirstColumn="0" showLastColumn="0" showRowStripes="1" showColumnStripes="0"/>
</table>
</file>

<file path=xl/tables/table139.xml><?xml version="1.0" encoding="utf-8"?>
<table xmlns="http://schemas.openxmlformats.org/spreadsheetml/2006/main" id="191" name="Tabla6121732527277102112117132147192" displayName="Tabla6121732527277102112117132147192" ref="A4:F51" totalsRowShown="0" headerRowDxfId="753" dataDxfId="752" headerRowCellStyle="Millares" dataCellStyle="Millares">
  <autoFilter ref="A4:F51"/>
  <tableColumns count="6">
    <tableColumn id="1" name="Trabajo" dataDxfId="751"/>
    <tableColumn id="2" name="MANUAL" dataDxfId="750" dataCellStyle="Millares"/>
    <tableColumn id="3" name="ETIQUETAS" dataDxfId="749" dataCellStyle="Porcentaje"/>
    <tableColumn id="4" name="8114A3657E" dataDxfId="748" dataCellStyle="Porcentaje"/>
    <tableColumn id="7" name="Parametro" dataDxfId="747"/>
    <tableColumn id="8" name="Referencia" dataDxfId="746"/>
  </tableColumns>
  <tableStyleInfo name="TableStyleMedium19" showFirstColumn="0" showLastColumn="0" showRowStripes="1" showColumnStripes="0"/>
</table>
</file>

<file path=xl/tables/table140.xml><?xml version="1.0" encoding="utf-8"?>
<table xmlns="http://schemas.openxmlformats.org/spreadsheetml/2006/main" id="192" name="Tabla7131833537378103113118133148193" displayName="Tabla7131833537378103113118133148193" ref="H5:I33" totalsRowShown="0" headerRowDxfId="745" dataDxfId="744">
  <autoFilter ref="H5:I33"/>
  <tableColumns count="2">
    <tableColumn id="1" name="Concepto" dataDxfId="743"/>
    <tableColumn id="2" name="Valor" dataDxfId="742"/>
  </tableColumns>
  <tableStyleInfo name="TableStyleLight9" showFirstColumn="0" showLastColumn="0" showRowStripes="1" showColumnStripes="0"/>
</table>
</file>

<file path=xl/tables/table141.xml><?xml version="1.0" encoding="utf-8"?>
<table xmlns="http://schemas.openxmlformats.org/spreadsheetml/2006/main" id="193" name="Tabla10141934547479104114119134149194" displayName="Tabla10141934547479104114119134149194" ref="A54:B60" headerRowCount="0" totalsRowShown="0" headerRowDxfId="741" dataDxfId="740" headerRowCellStyle="Millares" dataCellStyle="Millares">
  <tableColumns count="2">
    <tableColumn id="1" name="Columna1" headerRowDxfId="739" dataDxfId="738"/>
    <tableColumn id="2" name="Columna2" headerRowDxfId="737" dataDxfId="736" headerRowCellStyle="Millares" dataCellStyle="Millares"/>
  </tableColumns>
  <tableStyleInfo name="TableStyleLight18" showFirstColumn="0" showLastColumn="0" showRowStripes="1" showColumnStripes="0"/>
</table>
</file>

<file path=xl/tables/table142.xml><?xml version="1.0" encoding="utf-8"?>
<table xmlns="http://schemas.openxmlformats.org/spreadsheetml/2006/main" id="149" name="Tabla1341530507075100110115130145150" displayName="Tabla1341530507075100110115130145150" ref="I5:J15" totalsRowCount="1" headerRowDxfId="735" totalsRowDxfId="734">
  <autoFilter ref="I5:J14"/>
  <sortState ref="I6:J14">
    <sortCondition ref="J5:J14"/>
  </sortState>
  <tableColumns count="2">
    <tableColumn id="1" name="Concepto" totalsRowLabel="Total" dataDxfId="733" totalsRowDxfId="732"/>
    <tableColumn id="2" name="Contribución" totalsRowFunction="sum" dataDxfId="731" totalsRowDxfId="73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43.xml><?xml version="1.0" encoding="utf-8"?>
<table xmlns="http://schemas.openxmlformats.org/spreadsheetml/2006/main" id="150" name="Tabla551631517176101111116131146151" displayName="Tabla551631517176101111116131146151" ref="A62:B65" headerRowCount="0" totalsRowShown="0" headerRowDxfId="729" dataDxfId="728">
  <tableColumns count="2">
    <tableColumn id="1" name="Columna1" headerRowDxfId="727" dataDxfId="726"/>
    <tableColumn id="2" name="Columna2" headerRowDxfId="725" dataDxfId="724"/>
  </tableColumns>
  <tableStyleInfo name="TableStyleMedium1" showFirstColumn="0" showLastColumn="0" showRowStripes="1" showColumnStripes="0"/>
</table>
</file>

<file path=xl/tables/table144.xml><?xml version="1.0" encoding="utf-8"?>
<table xmlns="http://schemas.openxmlformats.org/spreadsheetml/2006/main" id="151" name="Tabla6121732527277102112117132147152" displayName="Tabla6121732527277102112117132147152" ref="A4:D51" totalsRowShown="0" headerRowDxfId="723" dataDxfId="722" headerRowCellStyle="Millares" dataCellStyle="Millares">
  <autoFilter ref="A4:D51"/>
  <tableColumns count="4">
    <tableColumn id="1" name="Trabajo" dataDxfId="721"/>
    <tableColumn id="2" name="114A4962" dataDxfId="720" dataCellStyle="Millares"/>
    <tableColumn id="7" name="Parametro" dataDxfId="719"/>
    <tableColumn id="8" name="Referencia" dataDxfId="718"/>
  </tableColumns>
  <tableStyleInfo name="TableStyleMedium19" showFirstColumn="0" showLastColumn="0" showRowStripes="1" showColumnStripes="0"/>
</table>
</file>

<file path=xl/tables/table145.xml><?xml version="1.0" encoding="utf-8"?>
<table xmlns="http://schemas.openxmlformats.org/spreadsheetml/2006/main" id="152" name="Tabla7131833537378103113118133148153" displayName="Tabla7131833537378103113118133148153" ref="F5:G33" totalsRowShown="0" headerRowDxfId="717" dataDxfId="716">
  <autoFilter ref="F5:G33"/>
  <tableColumns count="2">
    <tableColumn id="1" name="Concepto" dataDxfId="715"/>
    <tableColumn id="2" name="Valor" dataDxfId="714"/>
  </tableColumns>
  <tableStyleInfo name="TableStyleLight9" showFirstColumn="0" showLastColumn="0" showRowStripes="1" showColumnStripes="0"/>
</table>
</file>

<file path=xl/tables/table146.xml><?xml version="1.0" encoding="utf-8"?>
<table xmlns="http://schemas.openxmlformats.org/spreadsheetml/2006/main" id="153" name="Tabla10141934547479104114119134149154" displayName="Tabla10141934547479104114119134149154" ref="A54:B60" headerRowCount="0" totalsRowShown="0" headerRowDxfId="713" dataDxfId="712" headerRowCellStyle="Millares" dataCellStyle="Millares">
  <tableColumns count="2">
    <tableColumn id="1" name="Columna1" headerRowDxfId="711" dataDxfId="710"/>
    <tableColumn id="2" name="Columna2" headerRowDxfId="709" dataDxfId="708" headerRowCellStyle="Millares" dataCellStyle="Millares"/>
  </tableColumns>
  <tableStyleInfo name="TableStyleLight18" showFirstColumn="0" showLastColumn="0" showRowStripes="1" showColumnStripes="0"/>
</table>
</file>

<file path=xl/tables/table147.xml><?xml version="1.0" encoding="utf-8"?>
<table xmlns="http://schemas.openxmlformats.org/spreadsheetml/2006/main" id="239" name="Tabla1341530507075100110115130145150195240" displayName="Tabla1341530507075100110115130145150195240" ref="I5:J15" totalsRowCount="1" headerRowDxfId="707" totalsRowDxfId="706">
  <autoFilter ref="I5:J14"/>
  <sortState ref="I6:J14">
    <sortCondition ref="J5:J14"/>
  </sortState>
  <tableColumns count="2">
    <tableColumn id="1" name="Concepto" totalsRowLabel="Total" dataDxfId="705" totalsRowDxfId="704"/>
    <tableColumn id="2" name="Contribución" totalsRowFunction="sum" dataDxfId="703" totalsRowDxfId="70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48.xml><?xml version="1.0" encoding="utf-8"?>
<table xmlns="http://schemas.openxmlformats.org/spreadsheetml/2006/main" id="240" name="Tabla551631517176101111116131146151196241" displayName="Tabla551631517176101111116131146151196241" ref="A62:B65" headerRowCount="0" totalsRowShown="0" headerRowDxfId="701" dataDxfId="700">
  <tableColumns count="2">
    <tableColumn id="1" name="Columna1" headerRowDxfId="699" dataDxfId="698"/>
    <tableColumn id="2" name="Columna2" headerRowDxfId="697" dataDxfId="696"/>
  </tableColumns>
  <tableStyleInfo name="TableStyleMedium1" showFirstColumn="0" showLastColumn="0" showRowStripes="1" showColumnStripes="0"/>
</table>
</file>

<file path=xl/tables/table149.xml><?xml version="1.0" encoding="utf-8"?>
<table xmlns="http://schemas.openxmlformats.org/spreadsheetml/2006/main" id="241" name="Tabla6121732527277102112117132147152197242" displayName="Tabla6121732527277102112117132147152197242" ref="A4:D51" totalsRowShown="0" headerRowDxfId="695" dataDxfId="694" headerRowCellStyle="Millares" dataCellStyle="Millares">
  <autoFilter ref="A4:D51"/>
  <tableColumns count="4">
    <tableColumn id="1" name="Trabajo" dataDxfId="693"/>
    <tableColumn id="2" name="114-5741-000" dataDxfId="692" dataCellStyle="Millares"/>
    <tableColumn id="7" name="Parametro" dataDxfId="691"/>
    <tableColumn id="8" name="Referencia" dataDxfId="690"/>
  </tableColumns>
  <tableStyleInfo name="TableStyleMedium19" showFirstColumn="0" showLastColumn="0" showRowStripes="1" showColumnStripes="0"/>
</table>
</file>

<file path=xl/tables/table150.xml><?xml version="1.0" encoding="utf-8"?>
<table xmlns="http://schemas.openxmlformats.org/spreadsheetml/2006/main" id="242" name="Tabla7131833537378103113118133148153198243" displayName="Tabla7131833537378103113118133148153198243" ref="F5:G33" totalsRowShown="0" headerRowDxfId="689" dataDxfId="688">
  <autoFilter ref="F5:G33"/>
  <tableColumns count="2">
    <tableColumn id="1" name="Concepto" dataDxfId="687"/>
    <tableColumn id="2" name="Valor" dataDxfId="686"/>
  </tableColumns>
  <tableStyleInfo name="TableStyleLight9" showFirstColumn="0" showLastColumn="0" showRowStripes="1" showColumnStripes="0"/>
</table>
</file>

<file path=xl/tables/table151.xml><?xml version="1.0" encoding="utf-8"?>
<table xmlns="http://schemas.openxmlformats.org/spreadsheetml/2006/main" id="243" name="Tabla10141934547479104114119134149154199244" displayName="Tabla10141934547479104114119134149154199244" ref="A54:B60" headerRowCount="0" totalsRowShown="0" headerRowDxfId="685" dataDxfId="684" headerRowCellStyle="Millares" dataCellStyle="Millares">
  <tableColumns count="2">
    <tableColumn id="1" name="Columna1" headerRowDxfId="683" dataDxfId="682"/>
    <tableColumn id="2" name="Columna2" headerRowDxfId="681" dataDxfId="680" headerRowCellStyle="Millares" dataCellStyle="Millares"/>
  </tableColumns>
  <tableStyleInfo name="TableStyleLight18" showFirstColumn="0" showLastColumn="0" showRowStripes="1" showColumnStripes="0"/>
</table>
</file>

<file path=xl/tables/table152.xml><?xml version="1.0" encoding="utf-8"?>
<table xmlns="http://schemas.openxmlformats.org/spreadsheetml/2006/main" id="59" name="Tabla13415305060" displayName="Tabla13415305060" ref="I5:J15" totalsRowCount="1" headerRowDxfId="679" totalsRowDxfId="678">
  <autoFilter ref="I5:J14"/>
  <sortState ref="I6:J14">
    <sortCondition ref="J5:J14"/>
  </sortState>
  <tableColumns count="2">
    <tableColumn id="1" name="Concepto" totalsRowLabel="Total" dataDxfId="677" totalsRowDxfId="676"/>
    <tableColumn id="2" name="Contribución" totalsRowFunction="sum" dataDxfId="675" totalsRowDxfId="67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53.xml><?xml version="1.0" encoding="utf-8"?>
<table xmlns="http://schemas.openxmlformats.org/spreadsheetml/2006/main" id="60" name="Tabla5516315161" displayName="Tabla5516315161" ref="A62:B65" headerRowCount="0" totalsRowShown="0" headerRowDxfId="673" dataDxfId="672">
  <tableColumns count="2">
    <tableColumn id="1" name="Columna1" headerRowDxfId="671" dataDxfId="670"/>
    <tableColumn id="2" name="Columna2" headerRowDxfId="669" dataDxfId="668"/>
  </tableColumns>
  <tableStyleInfo name="TableStyleMedium1" showFirstColumn="0" showLastColumn="0" showRowStripes="1" showColumnStripes="0"/>
</table>
</file>

<file path=xl/tables/table154.xml><?xml version="1.0" encoding="utf-8"?>
<table xmlns="http://schemas.openxmlformats.org/spreadsheetml/2006/main" id="61" name="Tabla61217325262" displayName="Tabla61217325262" ref="A4:D51" totalsRowShown="0" headerRowDxfId="667" dataDxfId="666" headerRowCellStyle="Millares" dataCellStyle="Millares">
  <autoFilter ref="A4:D51"/>
  <tableColumns count="4">
    <tableColumn id="1" name="Trabajo" dataDxfId="665"/>
    <tableColumn id="2" name="01-34006" dataDxfId="664" dataCellStyle="Millares"/>
    <tableColumn id="7" name="Parametro" dataDxfId="663"/>
    <tableColumn id="8" name="Referencia" dataDxfId="662"/>
  </tableColumns>
  <tableStyleInfo name="TableStyleMedium19" showFirstColumn="0" showLastColumn="0" showRowStripes="1" showColumnStripes="0"/>
</table>
</file>

<file path=xl/tables/table155.xml><?xml version="1.0" encoding="utf-8"?>
<table xmlns="http://schemas.openxmlformats.org/spreadsheetml/2006/main" id="62" name="Tabla71318335363" displayName="Tabla71318335363" ref="F5:G33" totalsRowShown="0" headerRowDxfId="661" dataDxfId="660">
  <autoFilter ref="F5:G33"/>
  <tableColumns count="2">
    <tableColumn id="1" name="Concepto" dataDxfId="659"/>
    <tableColumn id="2" name="Valor" dataDxfId="658"/>
  </tableColumns>
  <tableStyleInfo name="TableStyleLight9" showFirstColumn="0" showLastColumn="0" showRowStripes="1" showColumnStripes="0"/>
</table>
</file>

<file path=xl/tables/table156.xml><?xml version="1.0" encoding="utf-8"?>
<table xmlns="http://schemas.openxmlformats.org/spreadsheetml/2006/main" id="63" name="Tabla101419345464" displayName="Tabla101419345464" ref="A54:B60" headerRowCount="0" totalsRowShown="0" headerRowDxfId="657" dataDxfId="656" headerRowCellStyle="Millares" dataCellStyle="Millares">
  <tableColumns count="2">
    <tableColumn id="1" name="Columna1" headerRowDxfId="655" dataDxfId="654"/>
    <tableColumn id="2" name="Columna2" headerRowDxfId="653" dataDxfId="652" headerRowCellStyle="Millares" dataCellStyle="Millares"/>
  </tableColumns>
  <tableStyleInfo name="TableStyleLight18" showFirstColumn="0" showLastColumn="0" showRowStripes="1" showColumnStripes="0"/>
</table>
</file>

<file path=xl/tables/table157.xml><?xml version="1.0" encoding="utf-8"?>
<table xmlns="http://schemas.openxmlformats.org/spreadsheetml/2006/main" id="79" name="Tabla134153050606580" displayName="Tabla134153050606580" ref="I5:J15" totalsRowCount="1" headerRowDxfId="649" totalsRowDxfId="648">
  <autoFilter ref="I5:J14"/>
  <sortState ref="I6:J14">
    <sortCondition ref="J5:J14"/>
  </sortState>
  <tableColumns count="2">
    <tableColumn id="1" name="Concepto" totalsRowLabel="Total" dataDxfId="647" totalsRowDxfId="646"/>
    <tableColumn id="2" name="Contribución" totalsRowFunction="sum" dataDxfId="645" totalsRowDxfId="64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58.xml><?xml version="1.0" encoding="utf-8"?>
<table xmlns="http://schemas.openxmlformats.org/spreadsheetml/2006/main" id="80" name="Tabla55163151616681" displayName="Tabla55163151616681" ref="A62:B65" headerRowCount="0" totalsRowShown="0" headerRowDxfId="643" dataDxfId="642">
  <tableColumns count="2">
    <tableColumn id="1" name="Columna1" headerRowDxfId="641" dataDxfId="640"/>
    <tableColumn id="2" name="Columna2" headerRowDxfId="639" dataDxfId="638"/>
  </tableColumns>
  <tableStyleInfo name="TableStyleMedium1" showFirstColumn="0" showLastColumn="0" showRowStripes="1" showColumnStripes="0"/>
</table>
</file>

<file path=xl/tables/table159.xml><?xml version="1.0" encoding="utf-8"?>
<table xmlns="http://schemas.openxmlformats.org/spreadsheetml/2006/main" id="81" name="Tabla612173252626782" displayName="Tabla612173252626782" ref="A4:D51" totalsRowShown="0" headerRowDxfId="637" dataDxfId="636" headerRowCellStyle="Millares" dataCellStyle="Millares">
  <autoFilter ref="A4:D51"/>
  <tableColumns count="4">
    <tableColumn id="1" name="Trabajo" dataDxfId="635"/>
    <tableColumn id="2" name="01-39055" dataDxfId="634" dataCellStyle="Millares"/>
    <tableColumn id="7" name="Parametro" dataDxfId="633"/>
    <tableColumn id="8" name="Referencia" dataDxfId="632"/>
  </tableColumns>
  <tableStyleInfo name="TableStyleMedium19" showFirstColumn="0" showLastColumn="0" showRowStripes="1" showColumnStripes="0"/>
</table>
</file>

<file path=xl/tables/table160.xml><?xml version="1.0" encoding="utf-8"?>
<table xmlns="http://schemas.openxmlformats.org/spreadsheetml/2006/main" id="82" name="Tabla713183353636883" displayName="Tabla713183353636883" ref="F5:G33" totalsRowShown="0" headerRowDxfId="631" dataDxfId="630">
  <autoFilter ref="F5:G33"/>
  <tableColumns count="2">
    <tableColumn id="1" name="Concepto" dataDxfId="629"/>
    <tableColumn id="2" name="Valor" dataDxfId="628"/>
  </tableColumns>
  <tableStyleInfo name="TableStyleLight9" showFirstColumn="0" showLastColumn="0" showRowStripes="1" showColumnStripes="0"/>
</table>
</file>

<file path=xl/tables/table161.xml><?xml version="1.0" encoding="utf-8"?>
<table xmlns="http://schemas.openxmlformats.org/spreadsheetml/2006/main" id="83" name="Tabla1014193454646984" displayName="Tabla1014193454646984" ref="A54:B60" headerRowCount="0" totalsRowShown="0" headerRowDxfId="627" dataDxfId="626" headerRowCellStyle="Millares" dataCellStyle="Millares">
  <tableColumns count="2">
    <tableColumn id="1" name="Columna1" headerRowDxfId="625" dataDxfId="624"/>
    <tableColumn id="2" name="Columna2" headerRowDxfId="623" dataDxfId="622" headerRowCellStyle="Millares" dataCellStyle="Millares"/>
  </tableColumns>
  <tableStyleInfo name="TableStyleLight18" showFirstColumn="0" showLastColumn="0" showRowStripes="1" showColumnStripes="0"/>
</table>
</file>

<file path=xl/tables/table162.xml><?xml version="1.0" encoding="utf-8"?>
<table xmlns="http://schemas.openxmlformats.org/spreadsheetml/2006/main" id="64" name="Tabla1341530506065" displayName="Tabla1341530506065" ref="I5:J15" totalsRowCount="1" headerRowDxfId="619" totalsRowDxfId="618">
  <autoFilter ref="I5:J14"/>
  <sortState ref="I6:J14">
    <sortCondition ref="J5:J14"/>
  </sortState>
  <tableColumns count="2">
    <tableColumn id="1" name="Concepto" totalsRowLabel="Total" dataDxfId="617" totalsRowDxfId="616"/>
    <tableColumn id="2" name="Contribución" totalsRowFunction="sum" dataDxfId="615" totalsRowDxfId="61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63.xml><?xml version="1.0" encoding="utf-8"?>
<table xmlns="http://schemas.openxmlformats.org/spreadsheetml/2006/main" id="65" name="Tabla551631516166" displayName="Tabla551631516166" ref="A62:B65" headerRowCount="0" totalsRowShown="0" headerRowDxfId="613" dataDxfId="612">
  <tableColumns count="2">
    <tableColumn id="1" name="Columna1" headerRowDxfId="611" dataDxfId="610"/>
    <tableColumn id="2" name="Columna2" headerRowDxfId="609" dataDxfId="608"/>
  </tableColumns>
  <tableStyleInfo name="TableStyleMedium1" showFirstColumn="0" showLastColumn="0" showRowStripes="1" showColumnStripes="0"/>
</table>
</file>

<file path=xl/tables/table164.xml><?xml version="1.0" encoding="utf-8"?>
<table xmlns="http://schemas.openxmlformats.org/spreadsheetml/2006/main" id="66" name="Tabla6121732526267" displayName="Tabla6121732526267" ref="A4:D51" totalsRowShown="0" headerRowDxfId="607" dataDxfId="606" headerRowCellStyle="Millares" dataCellStyle="Millares">
  <autoFilter ref="A4:D51"/>
  <tableColumns count="4">
    <tableColumn id="1" name="Trabajo" dataDxfId="605"/>
    <tableColumn id="2" name="01-35670B" dataDxfId="604" dataCellStyle="Millares"/>
    <tableColumn id="7" name="Parametro" dataDxfId="603"/>
    <tableColumn id="8" name="Referencia" dataDxfId="602"/>
  </tableColumns>
  <tableStyleInfo name="TableStyleMedium19" showFirstColumn="0" showLastColumn="0" showRowStripes="1" showColumnStripes="0"/>
</table>
</file>

<file path=xl/tables/table165.xml><?xml version="1.0" encoding="utf-8"?>
<table xmlns="http://schemas.openxmlformats.org/spreadsheetml/2006/main" id="67" name="Tabla7131833536368" displayName="Tabla7131833536368" ref="F5:G33" totalsRowShown="0" headerRowDxfId="601" dataDxfId="600">
  <autoFilter ref="F5:G33"/>
  <tableColumns count="2">
    <tableColumn id="1" name="Concepto" dataDxfId="599"/>
    <tableColumn id="2" name="Valor" dataDxfId="598"/>
  </tableColumns>
  <tableStyleInfo name="TableStyleLight9" showFirstColumn="0" showLastColumn="0" showRowStripes="1" showColumnStripes="0"/>
</table>
</file>

<file path=xl/tables/table166.xml><?xml version="1.0" encoding="utf-8"?>
<table xmlns="http://schemas.openxmlformats.org/spreadsheetml/2006/main" id="68" name="Tabla10141934546469" displayName="Tabla10141934546469" ref="A54:B60" headerRowCount="0" totalsRowShown="0" headerRowDxfId="597" dataDxfId="596" headerRowCellStyle="Millares" dataCellStyle="Millares">
  <tableColumns count="2">
    <tableColumn id="1" name="Columna1" headerRowDxfId="595" dataDxfId="594"/>
    <tableColumn id="2" name="Columna2" headerRowDxfId="593" dataDxfId="592" headerRowCellStyle="Millares" dataCellStyle="Millares"/>
  </tableColumns>
  <tableStyleInfo name="TableStyleLight18" showFirstColumn="0" showLastColumn="0" showRowStripes="1" showColumnStripes="0"/>
</table>
</file>

<file path=xl/tables/table167.xml><?xml version="1.0" encoding="utf-8"?>
<table xmlns="http://schemas.openxmlformats.org/spreadsheetml/2006/main" id="184" name="Tabla1341530507075140180185" displayName="Tabla1341530507075140180185" ref="I5:J15" totalsRowCount="1" headerRowDxfId="591" totalsRowDxfId="590">
  <autoFilter ref="I5:J14"/>
  <sortState ref="I6:J14">
    <sortCondition ref="J5:J14"/>
  </sortState>
  <tableColumns count="2">
    <tableColumn id="1" name="Concepto" totalsRowLabel="Total" dataDxfId="589" totalsRowDxfId="588"/>
    <tableColumn id="2" name="Contribución" totalsRowFunction="sum" dataDxfId="587" totalsRowDxfId="58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68.xml><?xml version="1.0" encoding="utf-8"?>
<table xmlns="http://schemas.openxmlformats.org/spreadsheetml/2006/main" id="185" name="Tabla551631517176141181186" displayName="Tabla551631517176141181186" ref="A62:B65" headerRowCount="0" totalsRowShown="0" headerRowDxfId="585" dataDxfId="584">
  <tableColumns count="2">
    <tableColumn id="1" name="Columna1" headerRowDxfId="583" dataDxfId="582"/>
    <tableColumn id="2" name="Columna2" headerRowDxfId="581" dataDxfId="580"/>
  </tableColumns>
  <tableStyleInfo name="TableStyleMedium1" showFirstColumn="0" showLastColumn="0" showRowStripes="1" showColumnStripes="0"/>
</table>
</file>

<file path=xl/tables/table169.xml><?xml version="1.0" encoding="utf-8"?>
<table xmlns="http://schemas.openxmlformats.org/spreadsheetml/2006/main" id="186" name="Tabla6121732527277142182187" displayName="Tabla6121732527277142182187" ref="A4:D51" totalsRowShown="0" headerRowDxfId="579" dataDxfId="578" headerRowCellStyle="Millares" dataCellStyle="Millares">
  <autoFilter ref="A4:D51"/>
  <tableColumns count="4">
    <tableColumn id="1" name="Trabajo" dataDxfId="577"/>
    <tableColumn id="2" name="114-5709-000" dataDxfId="576" dataCellStyle="Millares"/>
    <tableColumn id="7" name="Parametro" dataDxfId="575"/>
    <tableColumn id="8" name="Referencia" dataDxfId="574"/>
  </tableColumns>
  <tableStyleInfo name="TableStyleMedium19" showFirstColumn="0" showLastColumn="0" showRowStripes="1" showColumnStripes="0"/>
</table>
</file>

<file path=xl/tables/table170.xml><?xml version="1.0" encoding="utf-8"?>
<table xmlns="http://schemas.openxmlformats.org/spreadsheetml/2006/main" id="187" name="Tabla7131833537378143183188" displayName="Tabla7131833537378143183188" ref="F5:G33" totalsRowShown="0" headerRowDxfId="573" dataDxfId="572">
  <autoFilter ref="F5:G33"/>
  <tableColumns count="2">
    <tableColumn id="1" name="Concepto" dataDxfId="571"/>
    <tableColumn id="2" name="Valor" dataDxfId="570"/>
  </tableColumns>
  <tableStyleInfo name="TableStyleLight9" showFirstColumn="0" showLastColumn="0" showRowStripes="1" showColumnStripes="0"/>
</table>
</file>

<file path=xl/tables/table171.xml><?xml version="1.0" encoding="utf-8"?>
<table xmlns="http://schemas.openxmlformats.org/spreadsheetml/2006/main" id="188" name="Tabla10141934547479144184189" displayName="Tabla10141934547479144184189" ref="A54:B60" headerRowCount="0" totalsRowShown="0" headerRowDxfId="569" dataDxfId="568" headerRowCellStyle="Millares" dataCellStyle="Millares">
  <tableColumns count="2">
    <tableColumn id="1" name="Columna1" headerRowDxfId="567" dataDxfId="566"/>
    <tableColumn id="2" name="Columna2" headerRowDxfId="565" dataDxfId="564" headerRowCellStyle="Millares" dataCellStyle="Millares"/>
  </tableColumns>
  <tableStyleInfo name="TableStyleLight18" showFirstColumn="0" showLastColumn="0" showRowStripes="1" showColumnStripes="0"/>
</table>
</file>

<file path=xl/tables/table172.xml><?xml version="1.0" encoding="utf-8"?>
<table xmlns="http://schemas.openxmlformats.org/spreadsheetml/2006/main" id="179" name="Tabla1341530507075140180" displayName="Tabla1341530507075140180" ref="I5:J15" totalsRowCount="1" headerRowDxfId="563" totalsRowDxfId="562">
  <autoFilter ref="I5:J14"/>
  <sortState ref="I6:J14">
    <sortCondition ref="J5:J14"/>
  </sortState>
  <tableColumns count="2">
    <tableColumn id="1" name="Concepto" totalsRowLabel="Total" dataDxfId="561" totalsRowDxfId="560"/>
    <tableColumn id="2" name="Contribución" totalsRowFunction="sum" dataDxfId="559" totalsRowDxfId="55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73.xml><?xml version="1.0" encoding="utf-8"?>
<table xmlns="http://schemas.openxmlformats.org/spreadsheetml/2006/main" id="180" name="Tabla551631517176141181" displayName="Tabla551631517176141181" ref="A62:B65" headerRowCount="0" totalsRowShown="0" headerRowDxfId="557" dataDxfId="556">
  <tableColumns count="2">
    <tableColumn id="1" name="Columna1" headerRowDxfId="555" dataDxfId="554"/>
    <tableColumn id="2" name="Columna2" headerRowDxfId="553" dataDxfId="552"/>
  </tableColumns>
  <tableStyleInfo name="TableStyleMedium1" showFirstColumn="0" showLastColumn="0" showRowStripes="1" showColumnStripes="0"/>
</table>
</file>

<file path=xl/tables/table174.xml><?xml version="1.0" encoding="utf-8"?>
<table xmlns="http://schemas.openxmlformats.org/spreadsheetml/2006/main" id="181" name="Tabla6121732527277142182" displayName="Tabla6121732527277142182" ref="A4:D51" totalsRowShown="0" headerRowDxfId="551" dataDxfId="550" headerRowCellStyle="Millares" dataCellStyle="Millares">
  <autoFilter ref="A4:D51"/>
  <tableColumns count="4">
    <tableColumn id="1" name="Trabajo" dataDxfId="549"/>
    <tableColumn id="2" name="114-5711-010" dataDxfId="548" dataCellStyle="Millares"/>
    <tableColumn id="7" name="Parametro" dataDxfId="547"/>
    <tableColumn id="8" name="Referencia" dataDxfId="546"/>
  </tableColumns>
  <tableStyleInfo name="TableStyleMedium19" showFirstColumn="0" showLastColumn="0" showRowStripes="1" showColumnStripes="0"/>
</table>
</file>

<file path=xl/tables/table175.xml><?xml version="1.0" encoding="utf-8"?>
<table xmlns="http://schemas.openxmlformats.org/spreadsheetml/2006/main" id="182" name="Tabla7131833537378143183" displayName="Tabla7131833537378143183" ref="F5:G33" totalsRowShown="0" headerRowDxfId="545" dataDxfId="544">
  <autoFilter ref="F5:G33"/>
  <tableColumns count="2">
    <tableColumn id="1" name="Concepto" dataDxfId="543"/>
    <tableColumn id="2" name="Valor" dataDxfId="542"/>
  </tableColumns>
  <tableStyleInfo name="TableStyleLight9" showFirstColumn="0" showLastColumn="0" showRowStripes="1" showColumnStripes="0"/>
</table>
</file>

<file path=xl/tables/table176.xml><?xml version="1.0" encoding="utf-8"?>
<table xmlns="http://schemas.openxmlformats.org/spreadsheetml/2006/main" id="183" name="Tabla10141934547479144184" displayName="Tabla10141934547479144184" ref="A54:B60" headerRowCount="0" totalsRowShown="0" headerRowDxfId="541" dataDxfId="540" headerRowCellStyle="Millares" dataCellStyle="Millares">
  <tableColumns count="2">
    <tableColumn id="1" name="Columna1" headerRowDxfId="539" dataDxfId="538"/>
    <tableColumn id="2" name="Columna2" headerRowDxfId="537" dataDxfId="536" headerRowCellStyle="Millares" dataCellStyle="Millares"/>
  </tableColumns>
  <tableStyleInfo name="TableStyleLight18" showFirstColumn="0" showLastColumn="0" showRowStripes="1" showColumnStripes="0"/>
</table>
</file>

<file path=xl/tables/table177.xml><?xml version="1.0" encoding="utf-8"?>
<table xmlns="http://schemas.openxmlformats.org/spreadsheetml/2006/main" id="214" name="Tabla1341530507075140180215" displayName="Tabla1341530507075140180215" ref="I5:J15" totalsRowCount="1" headerRowDxfId="535" totalsRowDxfId="534">
  <autoFilter ref="I5:J14"/>
  <sortState ref="I6:J14">
    <sortCondition ref="J5:J14"/>
  </sortState>
  <tableColumns count="2">
    <tableColumn id="1" name="Concepto" totalsRowLabel="Total" dataDxfId="533" totalsRowDxfId="532"/>
    <tableColumn id="2" name="Contribución" totalsRowFunction="sum" dataDxfId="531" totalsRowDxfId="53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78.xml><?xml version="1.0" encoding="utf-8"?>
<table xmlns="http://schemas.openxmlformats.org/spreadsheetml/2006/main" id="215" name="Tabla551631517176141181216" displayName="Tabla551631517176141181216" ref="A62:B65" headerRowCount="0" totalsRowShown="0" headerRowDxfId="529" dataDxfId="528">
  <tableColumns count="2">
    <tableColumn id="1" name="Columna1" headerRowDxfId="527" dataDxfId="526"/>
    <tableColumn id="2" name="Columna2" headerRowDxfId="525" dataDxfId="524"/>
  </tableColumns>
  <tableStyleInfo name="TableStyleMedium1" showFirstColumn="0" showLastColumn="0" showRowStripes="1" showColumnStripes="0"/>
</table>
</file>

<file path=xl/tables/table179.xml><?xml version="1.0" encoding="utf-8"?>
<table xmlns="http://schemas.openxmlformats.org/spreadsheetml/2006/main" id="216" name="Tabla6121732527277142182217" displayName="Tabla6121732527277142182217" ref="A4:D51" totalsRowShown="0" headerRowDxfId="523" dataDxfId="522" headerRowCellStyle="Millares" dataCellStyle="Millares">
  <autoFilter ref="A4:D51"/>
  <tableColumns count="4">
    <tableColumn id="1" name="Trabajo" dataDxfId="521"/>
    <tableColumn id="2" name="114-5819-000" dataDxfId="520" dataCellStyle="Millares"/>
    <tableColumn id="7" name="Parametro" dataDxfId="519"/>
    <tableColumn id="8" name="Referencia" dataDxfId="518"/>
  </tableColumns>
  <tableStyleInfo name="TableStyleMedium19" showFirstColumn="0" showLastColumn="0" showRowStripes="1" showColumnStripes="0"/>
</table>
</file>

<file path=xl/tables/table180.xml><?xml version="1.0" encoding="utf-8"?>
<table xmlns="http://schemas.openxmlformats.org/spreadsheetml/2006/main" id="217" name="Tabla7131833537378143183218" displayName="Tabla7131833537378143183218" ref="F5:G33" totalsRowShown="0" headerRowDxfId="517" dataDxfId="516">
  <autoFilter ref="F5:G33"/>
  <tableColumns count="2">
    <tableColumn id="1" name="Concepto" dataDxfId="515"/>
    <tableColumn id="2" name="Valor" dataDxfId="514"/>
  </tableColumns>
  <tableStyleInfo name="TableStyleLight9" showFirstColumn="0" showLastColumn="0" showRowStripes="1" showColumnStripes="0"/>
</table>
</file>

<file path=xl/tables/table181.xml><?xml version="1.0" encoding="utf-8"?>
<table xmlns="http://schemas.openxmlformats.org/spreadsheetml/2006/main" id="218" name="Tabla10141934547479144184219" displayName="Tabla10141934547479144184219" ref="A54:B60" headerRowCount="0" totalsRowShown="0" headerRowDxfId="513" dataDxfId="512" headerRowCellStyle="Millares" dataCellStyle="Millares">
  <tableColumns count="2">
    <tableColumn id="1" name="Columna1" headerRowDxfId="511" dataDxfId="510"/>
    <tableColumn id="2" name="Columna2" headerRowDxfId="509" dataDxfId="508" headerRowCellStyle="Millares" dataCellStyle="Millares"/>
  </tableColumns>
  <tableStyleInfo name="TableStyleLight18" showFirstColumn="0" showLastColumn="0" showRowStripes="1" showColumnStripes="0"/>
</table>
</file>

<file path=xl/tables/table182.xml><?xml version="1.0" encoding="utf-8"?>
<table xmlns="http://schemas.openxmlformats.org/spreadsheetml/2006/main" id="89" name="Tabla134153050707590" displayName="Tabla134153050707590" ref="K5:L15" totalsRowCount="1" headerRowDxfId="507" totalsRowDxfId="506">
  <autoFilter ref="K5:L14"/>
  <sortState ref="I6:J14">
    <sortCondition ref="J5:J14"/>
  </sortState>
  <tableColumns count="2">
    <tableColumn id="1" name="Concepto" totalsRowLabel="Total" dataDxfId="505" totalsRowDxfId="504"/>
    <tableColumn id="2" name="Contribución" totalsRowFunction="sum" dataDxfId="503" totalsRowDxfId="50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83.xml><?xml version="1.0" encoding="utf-8"?>
<table xmlns="http://schemas.openxmlformats.org/spreadsheetml/2006/main" id="90" name="Tabla55163151717691" displayName="Tabla55163151717691" ref="A62:D65" headerRowCount="0" totalsRowShown="0" headerRowDxfId="501" dataDxfId="500">
  <tableColumns count="4">
    <tableColumn id="1" name="Columna1" headerRowDxfId="499" dataDxfId="498"/>
    <tableColumn id="2" name="Columna2" headerRowDxfId="497" dataDxfId="496"/>
    <tableColumn id="3" name="Columna3" headerRowDxfId="495" dataDxfId="494"/>
    <tableColumn id="4" name="Columna4" headerRowDxfId="493" dataDxfId="492"/>
  </tableColumns>
  <tableStyleInfo name="TableStyleMedium1" showFirstColumn="0" showLastColumn="0" showRowStripes="1" showColumnStripes="0"/>
</table>
</file>

<file path=xl/tables/table184.xml><?xml version="1.0" encoding="utf-8"?>
<table xmlns="http://schemas.openxmlformats.org/spreadsheetml/2006/main" id="91" name="Tabla612173252727792" displayName="Tabla612173252727792" ref="A4:F51" totalsRowShown="0" headerRowDxfId="491" dataDxfId="490" headerRowCellStyle="Millares" dataCellStyle="Millares">
  <autoFilter ref="A4:F51"/>
  <tableColumns count="6">
    <tableColumn id="1" name="Trabajo" dataDxfId="489"/>
    <tableColumn id="2" name="114-5822-000" dataDxfId="488" dataCellStyle="Porcentaje"/>
    <tableColumn id="4" name="114A1718" dataDxfId="487" dataCellStyle="Porcentaje"/>
    <tableColumn id="3" name="002-2389-000" dataDxfId="486" dataCellStyle="Porcentaje"/>
    <tableColumn id="7" name="Parametro" dataDxfId="485"/>
    <tableColumn id="8" name="Referencia" dataDxfId="484"/>
  </tableColumns>
  <tableStyleInfo name="TableStyleMedium19" showFirstColumn="0" showLastColumn="0" showRowStripes="1" showColumnStripes="0"/>
</table>
</file>

<file path=xl/tables/table185.xml><?xml version="1.0" encoding="utf-8"?>
<table xmlns="http://schemas.openxmlformats.org/spreadsheetml/2006/main" id="92" name="Tabla713183353737893" displayName="Tabla713183353737893" ref="H5:I33" totalsRowShown="0" headerRowDxfId="483" dataDxfId="482">
  <autoFilter ref="H5:I33"/>
  <tableColumns count="2">
    <tableColumn id="1" name="Concepto" dataDxfId="481"/>
    <tableColumn id="2" name="Valor" dataDxfId="480"/>
  </tableColumns>
  <tableStyleInfo name="TableStyleLight9" showFirstColumn="0" showLastColumn="0" showRowStripes="1" showColumnStripes="0"/>
</table>
</file>

<file path=xl/tables/table186.xml><?xml version="1.0" encoding="utf-8"?>
<table xmlns="http://schemas.openxmlformats.org/spreadsheetml/2006/main" id="93" name="Tabla1014193454747994" displayName="Tabla1014193454747994" ref="A54:B60" headerRowCount="0" totalsRowShown="0" headerRowDxfId="479" dataDxfId="478" headerRowCellStyle="Millares" dataCellStyle="Millares">
  <tableColumns count="2">
    <tableColumn id="1" name="Columna1" headerRowDxfId="477" dataDxfId="476"/>
    <tableColumn id="2" name="Columna2" headerRowDxfId="475" dataDxfId="474" headerRowCellStyle="Millares" dataCellStyle="Millares"/>
  </tableColumns>
  <tableStyleInfo name="TableStyleLight18" showFirstColumn="0" showLastColumn="0" showRowStripes="1" showColumnStripes="0"/>
</table>
</file>

<file path=xl/tables/table187.xml><?xml version="1.0" encoding="utf-8"?>
<table xmlns="http://schemas.openxmlformats.org/spreadsheetml/2006/main" id="94" name="Tabla13415305070759095" displayName="Tabla13415305070759095" ref="K5:L15" totalsRowCount="1" headerRowDxfId="473" totalsRowDxfId="472">
  <autoFilter ref="K5:L14"/>
  <sortState ref="K6:L14">
    <sortCondition ref="L5:L14"/>
  </sortState>
  <tableColumns count="2">
    <tableColumn id="1" name="Concepto" totalsRowLabel="Total" dataDxfId="471" totalsRowDxfId="470"/>
    <tableColumn id="2" name="Contribución" totalsRowFunction="sum" dataDxfId="469" totalsRowDxfId="46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88.xml><?xml version="1.0" encoding="utf-8"?>
<table xmlns="http://schemas.openxmlformats.org/spreadsheetml/2006/main" id="95" name="Tabla5516315171769196" displayName="Tabla5516315171769196" ref="A62:D65" headerRowCount="0" totalsRowShown="0" headerRowDxfId="467" dataDxfId="466">
  <tableColumns count="4">
    <tableColumn id="1" name="Columna1" headerRowDxfId="465" dataDxfId="464"/>
    <tableColumn id="2" name="Columna2" headerRowDxfId="463" dataDxfId="462"/>
    <tableColumn id="3" name="Columna3" headerRowDxfId="461" dataDxfId="460"/>
    <tableColumn id="4" name="Columna4" headerRowDxfId="459" dataDxfId="458"/>
  </tableColumns>
  <tableStyleInfo name="TableStyleMedium1" showFirstColumn="0" showLastColumn="0" showRowStripes="1" showColumnStripes="0"/>
</table>
</file>

<file path=xl/tables/table189.xml><?xml version="1.0" encoding="utf-8"?>
<table xmlns="http://schemas.openxmlformats.org/spreadsheetml/2006/main" id="96" name="Tabla61217325272779297" displayName="Tabla61217325272779297" ref="A4:F51" totalsRowShown="0" headerRowDxfId="457" dataDxfId="456" headerRowCellStyle="Millares" dataCellStyle="Millares">
  <autoFilter ref="A4:F51"/>
  <tableColumns count="6">
    <tableColumn id="1" name="Trabajo" dataDxfId="455"/>
    <tableColumn id="2" name="114-5725-000" dataDxfId="454" dataCellStyle="Porcentaje"/>
    <tableColumn id="4" name="ETIQUETA" dataDxfId="453" dataCellStyle="Porcentaje"/>
    <tableColumn id="3" name="002-2372-000" dataDxfId="452" dataCellStyle="Porcentaje"/>
    <tableColumn id="7" name="Parametro" dataDxfId="451"/>
    <tableColumn id="8" name="Referencia" dataDxfId="450"/>
  </tableColumns>
  <tableStyleInfo name="TableStyleMedium19" showFirstColumn="0" showLastColumn="0" showRowStripes="1" showColumnStripes="0"/>
</table>
</file>

<file path=xl/tables/table190.xml><?xml version="1.0" encoding="utf-8"?>
<table xmlns="http://schemas.openxmlformats.org/spreadsheetml/2006/main" id="97" name="Tabla71318335373789398" displayName="Tabla71318335373789398" ref="H5:I33" totalsRowShown="0" headerRowDxfId="449" dataDxfId="448">
  <autoFilter ref="H5:I33"/>
  <tableColumns count="2">
    <tableColumn id="1" name="Concepto" dataDxfId="447"/>
    <tableColumn id="2" name="Valor" dataDxfId="446"/>
  </tableColumns>
  <tableStyleInfo name="TableStyleLight9" showFirstColumn="0" showLastColumn="0" showRowStripes="1" showColumnStripes="0"/>
</table>
</file>

<file path=xl/tables/table191.xml><?xml version="1.0" encoding="utf-8"?>
<table xmlns="http://schemas.openxmlformats.org/spreadsheetml/2006/main" id="98" name="Tabla101419345474799499" displayName="Tabla101419345474799499" ref="A54:B60" headerRowCount="0" totalsRowShown="0" headerRowDxfId="445" dataDxfId="444" headerRowCellStyle="Millares" dataCellStyle="Millares">
  <tableColumns count="2">
    <tableColumn id="1" name="Columna1" headerRowDxfId="443" dataDxfId="442"/>
    <tableColumn id="2" name="Columna2" headerRowDxfId="441" dataDxfId="440" headerRowCellStyle="Millares" dataCellStyle="Millares"/>
  </tableColumns>
  <tableStyleInfo name="TableStyleLight18" showFirstColumn="0" showLastColumn="0" showRowStripes="1" showColumnStripes="0"/>
</table>
</file>

<file path=xl/tables/table192.xml><?xml version="1.0" encoding="utf-8"?>
<table xmlns="http://schemas.openxmlformats.org/spreadsheetml/2006/main" id="234" name="Tabla134153050707590175235" displayName="Tabla134153050707590175235" ref="I5:J15" totalsRowCount="1" headerRowDxfId="439" totalsRowDxfId="438">
  <autoFilter ref="I5:J14"/>
  <sortState ref="G6:H14">
    <sortCondition ref="H5:H14"/>
  </sortState>
  <tableColumns count="2">
    <tableColumn id="1" name="Concepto" totalsRowLabel="Total" dataDxfId="437" totalsRowDxfId="436"/>
    <tableColumn id="2" name="Contribución" totalsRowFunction="sum" dataDxfId="435" totalsRowDxfId="43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93.xml><?xml version="1.0" encoding="utf-8"?>
<table xmlns="http://schemas.openxmlformats.org/spreadsheetml/2006/main" id="235" name="Tabla55163151717691176236" displayName="Tabla55163151717691176236" ref="A62:B65" headerRowCount="0" totalsRowShown="0" headerRowDxfId="433" dataDxfId="432">
  <tableColumns count="2">
    <tableColumn id="1" name="Columna1" headerRowDxfId="431" dataDxfId="430"/>
    <tableColumn id="2" name="Columna2" headerRowDxfId="429" dataDxfId="428"/>
  </tableColumns>
  <tableStyleInfo name="TableStyleMedium1" showFirstColumn="0" showLastColumn="0" showRowStripes="1" showColumnStripes="0"/>
</table>
</file>

<file path=xl/tables/table194.xml><?xml version="1.0" encoding="utf-8"?>
<table xmlns="http://schemas.openxmlformats.org/spreadsheetml/2006/main" id="236" name="Tabla612173252727792177237" displayName="Tabla612173252727792177237" ref="A4:D51" totalsRowShown="0" headerRowDxfId="427" dataDxfId="426" headerRowCellStyle="Millares" dataCellStyle="Millares">
  <autoFilter ref="A4:D51"/>
  <tableColumns count="4">
    <tableColumn id="1" name="Trabajo" dataDxfId="425"/>
    <tableColumn id="2" name="114-5589-000" dataDxfId="424" dataCellStyle="Porcentaje"/>
    <tableColumn id="7" name="Parametro" dataDxfId="423"/>
    <tableColumn id="8" name="Referencia" dataDxfId="422"/>
  </tableColumns>
  <tableStyleInfo name="TableStyleMedium19" showFirstColumn="0" showLastColumn="0" showRowStripes="1" showColumnStripes="0"/>
</table>
</file>

<file path=xl/tables/table195.xml><?xml version="1.0" encoding="utf-8"?>
<table xmlns="http://schemas.openxmlformats.org/spreadsheetml/2006/main" id="237" name="Tabla713183353737893178238" displayName="Tabla713183353737893178238" ref="F5:G33" totalsRowShown="0" headerRowDxfId="421" dataDxfId="420">
  <autoFilter ref="F5:G33"/>
  <tableColumns count="2">
    <tableColumn id="1" name="Concepto" dataDxfId="419"/>
    <tableColumn id="2" name="Valor" dataDxfId="418"/>
  </tableColumns>
  <tableStyleInfo name="TableStyleLight9" showFirstColumn="0" showLastColumn="0" showRowStripes="1" showColumnStripes="0"/>
</table>
</file>

<file path=xl/tables/table196.xml><?xml version="1.0" encoding="utf-8"?>
<table xmlns="http://schemas.openxmlformats.org/spreadsheetml/2006/main" id="238" name="Tabla1014193454747994179239" displayName="Tabla1014193454747994179239" ref="A54:B60" headerRowCount="0" totalsRowShown="0" headerRowDxfId="417" dataDxfId="416" headerRowCellStyle="Millares" dataCellStyle="Millares">
  <tableColumns count="2">
    <tableColumn id="1" name="Columna1" headerRowDxfId="415" dataDxfId="414"/>
    <tableColumn id="2" name="Columna2" headerRowDxfId="413" dataDxfId="412" headerRowCellStyle="Millares" dataCellStyle="Millares"/>
  </tableColumns>
  <tableStyleInfo name="TableStyleLight18" showFirstColumn="0" showLastColumn="0" showRowStripes="1" showColumnStripes="0"/>
</table>
</file>

<file path=xl/tables/table197.xml><?xml version="1.0" encoding="utf-8"?>
<table xmlns="http://schemas.openxmlformats.org/spreadsheetml/2006/main" id="249" name="Tabla134153050707590175245250" displayName="Tabla134153050707590175245250" ref="K5:L15" totalsRowCount="1" headerRowDxfId="411" totalsRowDxfId="410">
  <autoFilter ref="K5:L14"/>
  <sortState ref="K6:L14">
    <sortCondition ref="L5:L14"/>
  </sortState>
  <tableColumns count="2">
    <tableColumn id="1" name="Concepto" totalsRowLabel="Total" dataDxfId="409" totalsRowDxfId="408"/>
    <tableColumn id="2" name="Contribución" totalsRowFunction="sum" dataDxfId="407" totalsRowDxfId="40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98.xml><?xml version="1.0" encoding="utf-8"?>
<table xmlns="http://schemas.openxmlformats.org/spreadsheetml/2006/main" id="250" name="Tabla55163151717691176246251" displayName="Tabla55163151717691176246251" ref="A62:D65" headerRowCount="0" totalsRowShown="0" headerRowDxfId="405" dataDxfId="404">
  <tableColumns count="4">
    <tableColumn id="1" name="Columna1" headerRowDxfId="403" dataDxfId="402"/>
    <tableColumn id="2" name="Columna2" headerRowDxfId="401" dataDxfId="400"/>
    <tableColumn id="3" name="Columna3" headerRowDxfId="399" dataDxfId="398"/>
    <tableColumn id="4" name="Columna4" headerRowDxfId="397" dataDxfId="396"/>
  </tableColumns>
  <tableStyleInfo name="TableStyleMedium1" showFirstColumn="0" showLastColumn="0" showRowStripes="1" showColumnStripes="0"/>
</table>
</file>

<file path=xl/tables/table199.xml><?xml version="1.0" encoding="utf-8"?>
<table xmlns="http://schemas.openxmlformats.org/spreadsheetml/2006/main" id="251" name="Tabla612173252727792177247252" displayName="Tabla612173252727792177247252" ref="A4:F51" totalsRowShown="0" headerRowDxfId="395" dataDxfId="394" headerRowCellStyle="Millares" dataCellStyle="Millares">
  <autoFilter ref="A4:F51"/>
  <tableColumns count="6">
    <tableColumn id="1" name="Trabajo" dataDxfId="393"/>
    <tableColumn id="2" name="MANUAL" dataDxfId="392" dataCellStyle="Porcentaje"/>
    <tableColumn id="4" name="Etiquetas" dataDxfId="391" dataCellStyle="Porcentaje"/>
    <tableColumn id="3" name="002-2373-000" dataDxfId="390" dataCellStyle="Porcentaje"/>
    <tableColumn id="7" name="Parametro" dataDxfId="389"/>
    <tableColumn id="8" name="Referencia" dataDxfId="388"/>
  </tableColumns>
  <tableStyleInfo name="TableStyleMedium19" showFirstColumn="0" showLastColumn="0" showRowStripes="1" showColumnStripes="0"/>
</table>
</file>

<file path=xl/tables/table200.xml><?xml version="1.0" encoding="utf-8"?>
<table xmlns="http://schemas.openxmlformats.org/spreadsheetml/2006/main" id="252" name="Tabla713183353737893178248253" displayName="Tabla713183353737893178248253" ref="H5:I33" totalsRowShown="0" headerRowDxfId="387" dataDxfId="386">
  <autoFilter ref="H5:I33"/>
  <tableColumns count="2">
    <tableColumn id="1" name="Concepto" dataDxfId="385"/>
    <tableColumn id="2" name="Valor" dataDxfId="384"/>
  </tableColumns>
  <tableStyleInfo name="TableStyleLight9" showFirstColumn="0" showLastColumn="0" showRowStripes="1" showColumnStripes="0"/>
</table>
</file>

<file path=xl/tables/table201.xml><?xml version="1.0" encoding="utf-8"?>
<table xmlns="http://schemas.openxmlformats.org/spreadsheetml/2006/main" id="253" name="Tabla1014193454747994179249254" displayName="Tabla1014193454747994179249254" ref="A54:B60" headerRowCount="0" totalsRowShown="0" headerRowDxfId="383" dataDxfId="382" headerRowCellStyle="Millares" dataCellStyle="Millares">
  <tableColumns count="2">
    <tableColumn id="1" name="Columna1" headerRowDxfId="381" dataDxfId="380"/>
    <tableColumn id="2" name="Columna2" headerRowDxfId="379" dataDxfId="378" headerRowCellStyle="Millares" dataCellStyle="Millares"/>
  </tableColumns>
  <tableStyleInfo name="TableStyleLight18" showFirstColumn="0" showLastColumn="0" showRowStripes="1" showColumnStripes="0"/>
</table>
</file>

<file path=xl/tables/table202.xml><?xml version="1.0" encoding="utf-8"?>
<table xmlns="http://schemas.openxmlformats.org/spreadsheetml/2006/main" id="3" name="Tabla134" displayName="Tabla134" ref="I5:J15" totalsRowCount="1" headerRowDxfId="377" dataDxfId="376" totalsRowDxfId="375">
  <autoFilter ref="I5:J14"/>
  <sortState ref="E6:F19">
    <sortCondition ref="F5:F19"/>
  </sortState>
  <tableColumns count="2">
    <tableColumn id="1" name="Concepto" totalsRowLabel="Total" dataDxfId="374" totalsRowDxfId="373"/>
    <tableColumn id="2" name="Contribución" totalsRowFunction="sum" dataDxfId="372" totalsRowDxfId="371" dataCellStyle="Porcentaje"/>
  </tableColumns>
  <tableStyleInfo name="TableStyleMedium18" showFirstColumn="0" showLastColumn="0" showRowStripes="1" showColumnStripes="0"/>
</table>
</file>

<file path=xl/tables/table203.xml><?xml version="1.0" encoding="utf-8"?>
<table xmlns="http://schemas.openxmlformats.org/spreadsheetml/2006/main" id="4" name="Tabla55" displayName="Tabla55" ref="A62:B65" headerRowCount="0" totalsRowShown="0" headerRowDxfId="370" dataDxfId="369">
  <tableColumns count="2">
    <tableColumn id="1" name="Columna1" headerRowDxfId="368" dataDxfId="367"/>
    <tableColumn id="2" name="Columna2" headerRowDxfId="366" dataDxfId="365"/>
  </tableColumns>
  <tableStyleInfo name="TableStyleMedium1" showFirstColumn="0" showLastColumn="0" showRowStripes="1" showColumnStripes="0"/>
</table>
</file>

<file path=xl/tables/table204.xml><?xml version="1.0" encoding="utf-8"?>
<table xmlns="http://schemas.openxmlformats.org/spreadsheetml/2006/main" id="11" name="Tabla612" displayName="Tabla612" ref="A4:D51" totalsRowShown="0" headerRowDxfId="364" dataDxfId="363" headerRowCellStyle="Millares" dataCellStyle="Millares">
  <autoFilter ref="A4:D51"/>
  <tableColumns count="4">
    <tableColumn id="1" name="Trabajo" dataDxfId="362"/>
    <tableColumn id="2" name="01-39240-2" dataDxfId="361" dataCellStyle="Millares"/>
    <tableColumn id="7" name="Parametro" dataDxfId="360"/>
    <tableColumn id="8" name="Referencia" dataDxfId="359"/>
  </tableColumns>
  <tableStyleInfo name="TableStyleMedium19" showFirstColumn="0" showLastColumn="0" showRowStripes="1" showColumnStripes="0"/>
</table>
</file>

<file path=xl/tables/table205.xml><?xml version="1.0" encoding="utf-8"?>
<table xmlns="http://schemas.openxmlformats.org/spreadsheetml/2006/main" id="12" name="Tabla713" displayName="Tabla713" ref="F5:G32" totalsRowShown="0" headerRowDxfId="358" dataDxfId="357">
  <autoFilter ref="F5:G32"/>
  <tableColumns count="2">
    <tableColumn id="1" name="Concepto" dataDxfId="356"/>
    <tableColumn id="2" name="Valor" dataDxfId="355"/>
  </tableColumns>
  <tableStyleInfo name="TableStyleLight9" showFirstColumn="0" showLastColumn="0" showRowStripes="1" showColumnStripes="0"/>
</table>
</file>

<file path=xl/tables/table206.xml><?xml version="1.0" encoding="utf-8"?>
<table xmlns="http://schemas.openxmlformats.org/spreadsheetml/2006/main" id="13" name="Tabla1014" displayName="Tabla1014" ref="A54:B60" headerRowCount="0" totalsRowShown="0" headerRowDxfId="354" dataDxfId="353" headerRowCellStyle="Millares" dataCellStyle="Millares">
  <tableColumns count="2">
    <tableColumn id="1" name="Columna1" headerRowDxfId="352" dataDxfId="351"/>
    <tableColumn id="2" name="Columna2" headerRowDxfId="350" dataDxfId="349" headerRowCellStyle="Millares" dataCellStyle="Millares"/>
  </tableColumns>
  <tableStyleInfo name="TableStyleLight18" showFirstColumn="0" showLastColumn="0" showRowStripes="1" showColumnStripes="0"/>
</table>
</file>

<file path=xl/tables/table207.xml><?xml version="1.0" encoding="utf-8"?>
<table xmlns="http://schemas.openxmlformats.org/spreadsheetml/2006/main" id="24" name="Tabla1341525" displayName="Tabla1341525" ref="I5:J15" totalsRowCount="1" headerRowDxfId="348" dataDxfId="347" totalsRowDxfId="346">
  <autoFilter ref="I5:J14"/>
  <sortState ref="I6:J19">
    <sortCondition ref="J5:J19"/>
  </sortState>
  <tableColumns count="2">
    <tableColumn id="1" name="Concepto" totalsRowLabel="Total" dataDxfId="345" totalsRowDxfId="344"/>
    <tableColumn id="2" name="Contribución" totalsRowFunction="sum" dataDxfId="343" totalsRowDxfId="342" dataCellStyle="Porcentaje"/>
  </tableColumns>
  <tableStyleInfo name="TableStyleMedium18" showFirstColumn="0" showLastColumn="0" showRowStripes="1" showColumnStripes="0"/>
</table>
</file>

<file path=xl/tables/table208.xml><?xml version="1.0" encoding="utf-8"?>
<table xmlns="http://schemas.openxmlformats.org/spreadsheetml/2006/main" id="25" name="Tabla551626" displayName="Tabla551626" ref="A62:B65" headerRowCount="0" totalsRowShown="0" headerRowDxfId="341" dataDxfId="340">
  <tableColumns count="2">
    <tableColumn id="1" name="Columna1" headerRowDxfId="339" dataDxfId="338"/>
    <tableColumn id="2" name="Columna2" headerRowDxfId="337" dataDxfId="336"/>
  </tableColumns>
  <tableStyleInfo name="TableStyleMedium1" showFirstColumn="0" showLastColumn="0" showRowStripes="1" showColumnStripes="0"/>
</table>
</file>

<file path=xl/tables/table209.xml><?xml version="1.0" encoding="utf-8"?>
<table xmlns="http://schemas.openxmlformats.org/spreadsheetml/2006/main" id="26" name="Tabla6121727" displayName="Tabla6121727" ref="A4:D51" totalsRowShown="0" headerRowDxfId="335" dataDxfId="334" headerRowCellStyle="Millares" dataCellStyle="Millares">
  <autoFilter ref="A4:D51"/>
  <tableColumns count="4">
    <tableColumn id="1" name="Trabajo" dataDxfId="333"/>
    <tableColumn id="2" name="01-39240-1" dataDxfId="332" dataCellStyle="Millares"/>
    <tableColumn id="7" name="Parametro" dataDxfId="331"/>
    <tableColumn id="8" name="Referencia" dataDxfId="330"/>
  </tableColumns>
  <tableStyleInfo name="TableStyleMedium19" showFirstColumn="0" showLastColumn="0" showRowStripes="1" showColumnStripes="0"/>
</table>
</file>

<file path=xl/tables/table210.xml><?xml version="1.0" encoding="utf-8"?>
<table xmlns="http://schemas.openxmlformats.org/spreadsheetml/2006/main" id="27" name="Tabla7131828" displayName="Tabla7131828" ref="F5:G32" totalsRowShown="0" headerRowDxfId="329" dataDxfId="328">
  <autoFilter ref="F5:G32"/>
  <tableColumns count="2">
    <tableColumn id="1" name="Concepto" dataDxfId="327"/>
    <tableColumn id="2" name="Valor" dataDxfId="326"/>
  </tableColumns>
  <tableStyleInfo name="TableStyleLight9" showFirstColumn="0" showLastColumn="0" showRowStripes="1" showColumnStripes="0"/>
</table>
</file>

<file path=xl/tables/table211.xml><?xml version="1.0" encoding="utf-8"?>
<table xmlns="http://schemas.openxmlformats.org/spreadsheetml/2006/main" id="28" name="Tabla10141929" displayName="Tabla10141929" ref="A54:B60" headerRowCount="0" totalsRowShown="0" headerRowDxfId="325" dataDxfId="324" headerRowCellStyle="Millares" dataCellStyle="Millares">
  <tableColumns count="2">
    <tableColumn id="1" name="Columna1" headerRowDxfId="323" dataDxfId="322"/>
    <tableColumn id="2" name="Columna2" headerRowDxfId="321" dataDxfId="320" headerRowCellStyle="Millares" dataCellStyle="Millares"/>
  </tableColumns>
  <tableStyleInfo name="TableStyleLight18" showFirstColumn="0" showLastColumn="0" showRowStripes="1" showColumnStripes="0"/>
</table>
</file>

<file path=xl/tables/table212.xml><?xml version="1.0" encoding="utf-8"?>
<table xmlns="http://schemas.openxmlformats.org/spreadsheetml/2006/main" id="19" name="Tabla1341520" displayName="Tabla1341520" ref="I5:J15" totalsRowCount="1" headerRowDxfId="319" dataDxfId="318" totalsRowDxfId="317">
  <autoFilter ref="I5:J14"/>
  <sortState ref="I6:J19">
    <sortCondition ref="J5:J19"/>
  </sortState>
  <tableColumns count="2">
    <tableColumn id="1" name="Concepto" totalsRowLabel="Total" dataDxfId="316" totalsRowDxfId="315"/>
    <tableColumn id="2" name="Contribución" totalsRowFunction="sum" dataDxfId="314" totalsRowDxfId="313" dataCellStyle="Porcentaje"/>
  </tableColumns>
  <tableStyleInfo name="TableStyleMedium18" showFirstColumn="0" showLastColumn="0" showRowStripes="1" showColumnStripes="0"/>
</table>
</file>

<file path=xl/tables/table213.xml><?xml version="1.0" encoding="utf-8"?>
<table xmlns="http://schemas.openxmlformats.org/spreadsheetml/2006/main" id="20" name="Tabla551621" displayName="Tabla551621" ref="A62:B65" headerRowCount="0" totalsRowShown="0" headerRowDxfId="312" dataDxfId="311">
  <tableColumns count="2">
    <tableColumn id="1" name="Columna1" headerRowDxfId="310" dataDxfId="309"/>
    <tableColumn id="2" name="Columna2" headerRowDxfId="308" dataDxfId="307"/>
  </tableColumns>
  <tableStyleInfo name="TableStyleMedium1" showFirstColumn="0" showLastColumn="0" showRowStripes="1" showColumnStripes="0"/>
</table>
</file>

<file path=xl/tables/table214.xml><?xml version="1.0" encoding="utf-8"?>
<table xmlns="http://schemas.openxmlformats.org/spreadsheetml/2006/main" id="21" name="Tabla6121722" displayName="Tabla6121722" ref="A4:D51" totalsRowShown="0" headerRowDxfId="306" dataDxfId="305" headerRowCellStyle="Millares" dataCellStyle="Millares">
  <autoFilter ref="A4:D51"/>
  <tableColumns count="4">
    <tableColumn id="1" name="Trabajo" dataDxfId="304"/>
    <tableColumn id="2" name="01-39240-10" dataDxfId="303" dataCellStyle="Millares"/>
    <tableColumn id="7" name="Parametro" dataDxfId="302"/>
    <tableColumn id="8" name="Referencia" dataDxfId="301"/>
  </tableColumns>
  <tableStyleInfo name="TableStyleMedium19" showFirstColumn="0" showLastColumn="0" showRowStripes="1" showColumnStripes="0"/>
</table>
</file>

<file path=xl/tables/table215.xml><?xml version="1.0" encoding="utf-8"?>
<table xmlns="http://schemas.openxmlformats.org/spreadsheetml/2006/main" id="22" name="Tabla7131823" displayName="Tabla7131823" ref="F5:G32" totalsRowShown="0" headerRowDxfId="300" dataDxfId="299">
  <autoFilter ref="F5:G32"/>
  <tableColumns count="2">
    <tableColumn id="1" name="Concepto" dataDxfId="298"/>
    <tableColumn id="2" name="Valor" dataDxfId="297"/>
  </tableColumns>
  <tableStyleInfo name="TableStyleLight9" showFirstColumn="0" showLastColumn="0" showRowStripes="1" showColumnStripes="0"/>
</table>
</file>

<file path=xl/tables/table216.xml><?xml version="1.0" encoding="utf-8"?>
<table xmlns="http://schemas.openxmlformats.org/spreadsheetml/2006/main" id="23" name="Tabla10141924" displayName="Tabla10141924" ref="A54:B60" headerRowCount="0" totalsRowShown="0" headerRowDxfId="296" dataDxfId="295" headerRowCellStyle="Millares" dataCellStyle="Millares">
  <tableColumns count="2">
    <tableColumn id="1" name="Columna1" headerRowDxfId="294" dataDxfId="293"/>
    <tableColumn id="2" name="Columna2" headerRowDxfId="292" dataDxfId="291" headerRowCellStyle="Millares" dataCellStyle="Millares"/>
  </tableColumns>
  <tableStyleInfo name="TableStyleLight18" showFirstColumn="0" showLastColumn="0" showRowStripes="1" showColumnStripes="0"/>
</table>
</file>

<file path=xl/tables/table217.xml><?xml version="1.0" encoding="utf-8"?>
<table xmlns="http://schemas.openxmlformats.org/spreadsheetml/2006/main" id="14" name="Tabla13415" displayName="Tabla13415" ref="I5:J15" totalsRowCount="1" headerRowDxfId="290" dataDxfId="289" totalsRowDxfId="288">
  <autoFilter ref="I5:J14"/>
  <sortState ref="I6:J19">
    <sortCondition ref="J5:J19"/>
  </sortState>
  <tableColumns count="2">
    <tableColumn id="1" name="Concepto" totalsRowLabel="Total" dataDxfId="287" totalsRowDxfId="286"/>
    <tableColumn id="2" name="Contribución" totalsRowFunction="sum" dataDxfId="285" totalsRowDxfId="284" dataCellStyle="Porcentaje"/>
  </tableColumns>
  <tableStyleInfo name="TableStyleMedium18" showFirstColumn="0" showLastColumn="0" showRowStripes="1" showColumnStripes="0"/>
</table>
</file>

<file path=xl/tables/table218.xml><?xml version="1.0" encoding="utf-8"?>
<table xmlns="http://schemas.openxmlformats.org/spreadsheetml/2006/main" id="15" name="Tabla5516" displayName="Tabla5516" ref="A62:B65" headerRowCount="0" totalsRowShown="0" headerRowDxfId="283" dataDxfId="282">
  <tableColumns count="2">
    <tableColumn id="1" name="Columna1" headerRowDxfId="281" dataDxfId="280"/>
    <tableColumn id="2" name="Columna2" headerRowDxfId="279" dataDxfId="278"/>
  </tableColumns>
  <tableStyleInfo name="TableStyleMedium1" showFirstColumn="0" showLastColumn="0" showRowStripes="1" showColumnStripes="0"/>
</table>
</file>

<file path=xl/tables/table219.xml><?xml version="1.0" encoding="utf-8"?>
<table xmlns="http://schemas.openxmlformats.org/spreadsheetml/2006/main" id="16" name="Tabla61217" displayName="Tabla61217" ref="A4:D51" totalsRowShown="0" headerRowDxfId="277" dataDxfId="276" headerRowCellStyle="Millares" dataCellStyle="Millares">
  <autoFilter ref="A4:D51"/>
  <tableColumns count="4">
    <tableColumn id="1" name="Trabajo" dataDxfId="275"/>
    <tableColumn id="2" name="01-39240-9" dataDxfId="274" dataCellStyle="Millares"/>
    <tableColumn id="7" name="Parametro" dataDxfId="273"/>
    <tableColumn id="8" name="Referencia" dataDxfId="272"/>
  </tableColumns>
  <tableStyleInfo name="TableStyleMedium19" showFirstColumn="0" showLastColumn="0" showRowStripes="1" showColumnStripes="0"/>
</table>
</file>

<file path=xl/tables/table220.xml><?xml version="1.0" encoding="utf-8"?>
<table xmlns="http://schemas.openxmlformats.org/spreadsheetml/2006/main" id="17" name="Tabla71318" displayName="Tabla71318" ref="F5:G32" totalsRowShown="0" headerRowDxfId="271" dataDxfId="270">
  <autoFilter ref="F5:G32"/>
  <tableColumns count="2">
    <tableColumn id="1" name="Concepto" dataDxfId="269"/>
    <tableColumn id="2" name="Valor" dataDxfId="268"/>
  </tableColumns>
  <tableStyleInfo name="TableStyleLight9" showFirstColumn="0" showLastColumn="0" showRowStripes="1" showColumnStripes="0"/>
</table>
</file>

<file path=xl/tables/table221.xml><?xml version="1.0" encoding="utf-8"?>
<table xmlns="http://schemas.openxmlformats.org/spreadsheetml/2006/main" id="18" name="Tabla101419" displayName="Tabla101419" ref="A54:B60" headerRowCount="0" totalsRowShown="0" headerRowDxfId="267" dataDxfId="266" headerRowCellStyle="Millares" dataCellStyle="Millares">
  <tableColumns count="2">
    <tableColumn id="1" name="Columna1" headerRowDxfId="265" dataDxfId="264"/>
    <tableColumn id="2" name="Columna2" headerRowDxfId="263" dataDxfId="262" headerRowCellStyle="Millares" dataCellStyle="Millares"/>
  </tableColumns>
  <tableStyleInfo name="TableStyleLight18" showFirstColumn="0" showLastColumn="0" showRowStripes="1" showColumnStripes="0"/>
</table>
</file>

<file path=xl/tables/table222.xml><?xml version="1.0" encoding="utf-8"?>
<table xmlns="http://schemas.openxmlformats.org/spreadsheetml/2006/main" id="39" name="Tabla134152040" displayName="Tabla134152040" ref="I5:J15" totalsRowCount="1" headerRowDxfId="261" dataDxfId="260" totalsRowDxfId="259">
  <autoFilter ref="I5:J14"/>
  <sortState ref="I6:J19">
    <sortCondition ref="J5:J19"/>
  </sortState>
  <tableColumns count="2">
    <tableColumn id="1" name="Concepto" totalsRowLabel="Total" dataDxfId="258" totalsRowDxfId="257"/>
    <tableColumn id="2" name="Contribución" totalsRowFunction="sum" dataDxfId="256" totalsRowDxfId="255" dataCellStyle="Porcentaje"/>
  </tableColumns>
  <tableStyleInfo name="TableStyleMedium18" showFirstColumn="0" showLastColumn="0" showRowStripes="1" showColumnStripes="0"/>
</table>
</file>

<file path=xl/tables/table223.xml><?xml version="1.0" encoding="utf-8"?>
<table xmlns="http://schemas.openxmlformats.org/spreadsheetml/2006/main" id="40" name="Tabla55162141" displayName="Tabla55162141" ref="A62:B65" headerRowCount="0" totalsRowShown="0" headerRowDxfId="254" dataDxfId="253">
  <tableColumns count="2">
    <tableColumn id="1" name="Columna1" headerRowDxfId="252" dataDxfId="251"/>
    <tableColumn id="2" name="Columna2" headerRowDxfId="250" dataDxfId="249"/>
  </tableColumns>
  <tableStyleInfo name="TableStyleMedium1" showFirstColumn="0" showLastColumn="0" showRowStripes="1" showColumnStripes="0"/>
</table>
</file>

<file path=xl/tables/table224.xml><?xml version="1.0" encoding="utf-8"?>
<table xmlns="http://schemas.openxmlformats.org/spreadsheetml/2006/main" id="41" name="Tabla612172242" displayName="Tabla612172242" ref="A4:D51" totalsRowShown="0" headerRowDxfId="248" dataDxfId="247" headerRowCellStyle="Millares" dataCellStyle="Millares">
  <autoFilter ref="A4:D51"/>
  <tableColumns count="4">
    <tableColumn id="1" name="Trabajo" dataDxfId="246"/>
    <tableColumn id="2" name="01-39240-4" dataDxfId="245" dataCellStyle="Millares"/>
    <tableColumn id="7" name="Parametro" dataDxfId="244"/>
    <tableColumn id="8" name="Referencia" dataDxfId="243"/>
  </tableColumns>
  <tableStyleInfo name="TableStyleMedium19" showFirstColumn="0" showLastColumn="0" showRowStripes="1" showColumnStripes="0"/>
</table>
</file>

<file path=xl/tables/table225.xml><?xml version="1.0" encoding="utf-8"?>
<table xmlns="http://schemas.openxmlformats.org/spreadsheetml/2006/main" id="42" name="Tabla713182343" displayName="Tabla713182343" ref="F5:G32" totalsRowShown="0" headerRowDxfId="242" dataDxfId="241">
  <autoFilter ref="F5:G32"/>
  <tableColumns count="2">
    <tableColumn id="1" name="Concepto" dataDxfId="240"/>
    <tableColumn id="2" name="Valor" dataDxfId="239"/>
  </tableColumns>
  <tableStyleInfo name="TableStyleLight9" showFirstColumn="0" showLastColumn="0" showRowStripes="1" showColumnStripes="0"/>
</table>
</file>

<file path=xl/tables/table226.xml><?xml version="1.0" encoding="utf-8"?>
<table xmlns="http://schemas.openxmlformats.org/spreadsheetml/2006/main" id="43" name="Tabla1014192444" displayName="Tabla1014192444" ref="A54:B60" headerRowCount="0" totalsRowShown="0" headerRowDxfId="238" dataDxfId="237" headerRowCellStyle="Millares" dataCellStyle="Millares">
  <tableColumns count="2">
    <tableColumn id="1" name="Columna1" headerRowDxfId="236" dataDxfId="235"/>
    <tableColumn id="2" name="Columna2" headerRowDxfId="234" dataDxfId="233" headerRowCellStyle="Millares" dataCellStyle="Millares"/>
  </tableColumns>
  <tableStyleInfo name="TableStyleLight18" showFirstColumn="0" showLastColumn="0" showRowStripes="1" showColumnStripes="0"/>
</table>
</file>

<file path=xl/tables/table227.xml><?xml version="1.0" encoding="utf-8"?>
<table xmlns="http://schemas.openxmlformats.org/spreadsheetml/2006/main" id="34" name="Tabla1341535" displayName="Tabla1341535" ref="I5:J15" totalsRowCount="1" headerRowDxfId="232" dataDxfId="231" totalsRowDxfId="230">
  <autoFilter ref="I5:J14"/>
  <sortState ref="I6:J19">
    <sortCondition ref="J5:J19"/>
  </sortState>
  <tableColumns count="2">
    <tableColumn id="1" name="Concepto" totalsRowLabel="Total" dataDxfId="229" totalsRowDxfId="228"/>
    <tableColumn id="2" name="Contribución" totalsRowFunction="sum" dataDxfId="227" totalsRowDxfId="226" dataCellStyle="Porcentaje"/>
  </tableColumns>
  <tableStyleInfo name="TableStyleMedium18" showFirstColumn="0" showLastColumn="0" showRowStripes="1" showColumnStripes="0"/>
</table>
</file>

<file path=xl/tables/table228.xml><?xml version="1.0" encoding="utf-8"?>
<table xmlns="http://schemas.openxmlformats.org/spreadsheetml/2006/main" id="35" name="Tabla551636" displayName="Tabla551636" ref="A62:B65" headerRowCount="0" totalsRowShown="0" headerRowDxfId="225" dataDxfId="224">
  <tableColumns count="2">
    <tableColumn id="1" name="Columna1" headerRowDxfId="223" dataDxfId="222"/>
    <tableColumn id="2" name="Columna2" headerRowDxfId="221" dataDxfId="220"/>
  </tableColumns>
  <tableStyleInfo name="TableStyleMedium1" showFirstColumn="0" showLastColumn="0" showRowStripes="1" showColumnStripes="0"/>
</table>
</file>

<file path=xl/tables/table229.xml><?xml version="1.0" encoding="utf-8"?>
<table xmlns="http://schemas.openxmlformats.org/spreadsheetml/2006/main" id="36" name="Tabla6121737" displayName="Tabla6121737" ref="A4:D51" totalsRowShown="0" headerRowDxfId="219" dataDxfId="218" headerRowCellStyle="Millares" dataCellStyle="Millares">
  <autoFilter ref="A4:D51"/>
  <tableColumns count="4">
    <tableColumn id="1" name="Trabajo" dataDxfId="217"/>
    <tableColumn id="2" name="01-39240-11" dataDxfId="216" dataCellStyle="Millares"/>
    <tableColumn id="7" name="Parametro" dataDxfId="215"/>
    <tableColumn id="8" name="Referencia" dataDxfId="214"/>
  </tableColumns>
  <tableStyleInfo name="TableStyleMedium19" showFirstColumn="0" showLastColumn="0" showRowStripes="1" showColumnStripes="0"/>
</table>
</file>

<file path=xl/tables/table230.xml><?xml version="1.0" encoding="utf-8"?>
<table xmlns="http://schemas.openxmlformats.org/spreadsheetml/2006/main" id="37" name="Tabla7131838" displayName="Tabla7131838" ref="F5:G32" totalsRowShown="0" headerRowDxfId="213" dataDxfId="212">
  <autoFilter ref="F5:G32"/>
  <tableColumns count="2">
    <tableColumn id="1" name="Concepto" dataDxfId="211"/>
    <tableColumn id="2" name="Valor" dataDxfId="210"/>
  </tableColumns>
  <tableStyleInfo name="TableStyleLight9" showFirstColumn="0" showLastColumn="0" showRowStripes="1" showColumnStripes="0"/>
</table>
</file>

<file path=xl/tables/table231.xml><?xml version="1.0" encoding="utf-8"?>
<table xmlns="http://schemas.openxmlformats.org/spreadsheetml/2006/main" id="38" name="Tabla10141939" displayName="Tabla10141939" ref="A54:B60" headerRowCount="0" totalsRowShown="0" headerRowDxfId="209" dataDxfId="208" headerRowCellStyle="Millares" dataCellStyle="Millares">
  <tableColumns count="2">
    <tableColumn id="1" name="Columna1" headerRowDxfId="207" dataDxfId="206"/>
    <tableColumn id="2" name="Columna2" headerRowDxfId="205" dataDxfId="204" headerRowCellStyle="Millares" dataCellStyle="Millares"/>
  </tableColumns>
  <tableStyleInfo name="TableStyleLight18" showFirstColumn="0" showLastColumn="0" showRowStripes="1" showColumnStripes="0"/>
</table>
</file>

<file path=xl/tables/table232.xml><?xml version="1.0" encoding="utf-8"?>
<table xmlns="http://schemas.openxmlformats.org/spreadsheetml/2006/main" id="29" name="Tabla1341530" displayName="Tabla1341530" ref="I5:J15" totalsRowCount="1" headerRowDxfId="203" dataDxfId="202" totalsRowDxfId="201">
  <autoFilter ref="I5:J14"/>
  <sortState ref="I6:J19">
    <sortCondition ref="J5:J19"/>
  </sortState>
  <tableColumns count="2">
    <tableColumn id="1" name="Concepto" totalsRowLabel="Total" dataDxfId="200" totalsRowDxfId="199"/>
    <tableColumn id="2" name="Contribución" totalsRowFunction="sum" dataDxfId="198" totalsRowDxfId="197" dataCellStyle="Porcentaje"/>
  </tableColumns>
  <tableStyleInfo name="TableStyleMedium18" showFirstColumn="0" showLastColumn="0" showRowStripes="1" showColumnStripes="0"/>
</table>
</file>

<file path=xl/tables/table233.xml><?xml version="1.0" encoding="utf-8"?>
<table xmlns="http://schemas.openxmlformats.org/spreadsheetml/2006/main" id="30" name="Tabla551631" displayName="Tabla551631" ref="A62:B65" headerRowCount="0" totalsRowShown="0" headerRowDxfId="196" dataDxfId="195">
  <tableColumns count="2">
    <tableColumn id="1" name="Columna1" headerRowDxfId="194" dataDxfId="193"/>
    <tableColumn id="2" name="Columna2" headerRowDxfId="192" dataDxfId="191"/>
  </tableColumns>
  <tableStyleInfo name="TableStyleMedium1" showFirstColumn="0" showLastColumn="0" showRowStripes="1" showColumnStripes="0"/>
</table>
</file>

<file path=xl/tables/table234.xml><?xml version="1.0" encoding="utf-8"?>
<table xmlns="http://schemas.openxmlformats.org/spreadsheetml/2006/main" id="31" name="Tabla6121732" displayName="Tabla6121732" ref="A4:D51" totalsRowShown="0" headerRowDxfId="190" dataDxfId="189" headerRowCellStyle="Millares" dataCellStyle="Millares">
  <autoFilter ref="A4:D51"/>
  <tableColumns count="4">
    <tableColumn id="1" name="Trabajo" dataDxfId="188"/>
    <tableColumn id="2" name="01-39240-5" dataDxfId="187" dataCellStyle="Millares"/>
    <tableColumn id="7" name="Parametro" dataDxfId="186"/>
    <tableColumn id="8" name="Referencia" dataDxfId="185"/>
  </tableColumns>
  <tableStyleInfo name="TableStyleMedium19" showFirstColumn="0" showLastColumn="0" showRowStripes="1" showColumnStripes="0"/>
</table>
</file>

<file path=xl/tables/table235.xml><?xml version="1.0" encoding="utf-8"?>
<table xmlns="http://schemas.openxmlformats.org/spreadsheetml/2006/main" id="32" name="Tabla7131833" displayName="Tabla7131833" ref="F5:G32" totalsRowShown="0" headerRowDxfId="184" dataDxfId="183">
  <autoFilter ref="F5:G32"/>
  <tableColumns count="2">
    <tableColumn id="1" name="Concepto" dataDxfId="182"/>
    <tableColumn id="2" name="Valor" dataDxfId="181"/>
  </tableColumns>
  <tableStyleInfo name="TableStyleLight9" showFirstColumn="0" showLastColumn="0" showRowStripes="1" showColumnStripes="0"/>
</table>
</file>

<file path=xl/tables/table236.xml><?xml version="1.0" encoding="utf-8"?>
<table xmlns="http://schemas.openxmlformats.org/spreadsheetml/2006/main" id="33" name="Tabla10141934" displayName="Tabla10141934" ref="A54:B60" headerRowCount="0" totalsRowShown="0" headerRowDxfId="180" dataDxfId="179" headerRowCellStyle="Millares" dataCellStyle="Millares">
  <tableColumns count="2">
    <tableColumn id="1" name="Columna1" headerRowDxfId="178" dataDxfId="177"/>
    <tableColumn id="2" name="Columna2" headerRowDxfId="176" dataDxfId="175" headerRowCellStyle="Millares" dataCellStyle="Millares"/>
  </tableColumns>
  <tableStyleInfo name="TableStyleLight18" showFirstColumn="0" showLastColumn="0" showRowStripes="1" showColumnStripes="0"/>
</table>
</file>

<file path=xl/tables/table237.xml><?xml version="1.0" encoding="utf-8"?>
<table xmlns="http://schemas.openxmlformats.org/spreadsheetml/2006/main" id="199" name="Tabla1341530507075100110115130145200" displayName="Tabla1341530507075100110115130145200" ref="I5:J15" totalsRowCount="1" headerRowDxfId="174" totalsRowDxfId="173">
  <autoFilter ref="I5:J14"/>
  <sortState ref="I6:J14">
    <sortCondition ref="J5:J14"/>
  </sortState>
  <tableColumns count="2">
    <tableColumn id="1" name="Concepto" totalsRowLabel="Total" dataDxfId="172" totalsRowDxfId="171"/>
    <tableColumn id="2" name="Contribución" totalsRowFunction="sum" dataDxfId="170" totalsRowDxfId="169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38.xml><?xml version="1.0" encoding="utf-8"?>
<table xmlns="http://schemas.openxmlformats.org/spreadsheetml/2006/main" id="200" name="Tabla551631517176101111116131146201" displayName="Tabla551631517176101111116131146201" ref="A62:B65" headerRowCount="0" totalsRowShown="0" headerRowDxfId="168" dataDxfId="167">
  <tableColumns count="2">
    <tableColumn id="1" name="Columna1" headerRowDxfId="166" dataDxfId="165"/>
    <tableColumn id="2" name="Columna2" headerRowDxfId="164" dataDxfId="163"/>
  </tableColumns>
  <tableStyleInfo name="TableStyleMedium1" showFirstColumn="0" showLastColumn="0" showRowStripes="1" showColumnStripes="0"/>
</table>
</file>

<file path=xl/tables/table239.xml><?xml version="1.0" encoding="utf-8"?>
<table xmlns="http://schemas.openxmlformats.org/spreadsheetml/2006/main" id="201" name="Tabla6121732527277102112117132147202" displayName="Tabla6121732527277102112117132147202" ref="A4:D51" totalsRowShown="0" headerRowDxfId="162" dataDxfId="161" headerRowCellStyle="Millares" dataCellStyle="Millares">
  <autoFilter ref="A4:D51"/>
  <tableColumns count="4">
    <tableColumn id="1" name="Trabajo" dataDxfId="160"/>
    <tableColumn id="2" name="114-5463-000" dataDxfId="159" dataCellStyle="Millares"/>
    <tableColumn id="7" name="Parametro" dataDxfId="158"/>
    <tableColumn id="8" name="Referencia" dataDxfId="157"/>
  </tableColumns>
  <tableStyleInfo name="TableStyleMedium19" showFirstColumn="0" showLastColumn="0" showRowStripes="1" showColumnStripes="0"/>
</table>
</file>

<file path=xl/tables/table240.xml><?xml version="1.0" encoding="utf-8"?>
<table xmlns="http://schemas.openxmlformats.org/spreadsheetml/2006/main" id="202" name="Tabla7131833537378103113118133148203" displayName="Tabla7131833537378103113118133148203" ref="F5:G33" totalsRowShown="0" headerRowDxfId="156" dataDxfId="155">
  <autoFilter ref="F5:G33"/>
  <tableColumns count="2">
    <tableColumn id="1" name="Concepto" dataDxfId="154"/>
    <tableColumn id="2" name="Valor" dataDxfId="153"/>
  </tableColumns>
  <tableStyleInfo name="TableStyleLight9" showFirstColumn="0" showLastColumn="0" showRowStripes="1" showColumnStripes="0"/>
</table>
</file>

<file path=xl/tables/table241.xml><?xml version="1.0" encoding="utf-8"?>
<table xmlns="http://schemas.openxmlformats.org/spreadsheetml/2006/main" id="203" name="Tabla10141934547479104114119134149204" displayName="Tabla10141934547479104114119134149204" ref="A54:B60" headerRowCount="0" totalsRowShown="0" headerRowDxfId="152" dataDxfId="151" headerRowCellStyle="Millares" dataCellStyle="Millares">
  <tableColumns count="2">
    <tableColumn id="1" name="Columna1" headerRowDxfId="150" dataDxfId="149"/>
    <tableColumn id="2" name="Columna2" headerRowDxfId="148" dataDxfId="147" headerRowCellStyle="Millares" dataCellStyle="Millares"/>
  </tableColumns>
  <tableStyleInfo name="TableStyleLight18" showFirstColumn="0" showLastColumn="0" showRowStripes="1" showColumnStripes="0"/>
</table>
</file>

<file path=xl/tables/table242.xml><?xml version="1.0" encoding="utf-8"?>
<table xmlns="http://schemas.openxmlformats.org/spreadsheetml/2006/main" id="154" name="Tabla1341530507075100110115130145200155" displayName="Tabla1341530507075100110115130145200155" ref="I5:J15" totalsRowCount="1" headerRowDxfId="144" totalsRowDxfId="143">
  <autoFilter ref="I5:J14"/>
  <sortState ref="I6:J14">
    <sortCondition ref="J5:J14"/>
  </sortState>
  <tableColumns count="2">
    <tableColumn id="1" name="Concepto" totalsRowLabel="Total" dataDxfId="142" totalsRowDxfId="141"/>
    <tableColumn id="2" name="Contribución" totalsRowFunction="sum" dataDxfId="140" totalsRowDxfId="139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43.xml><?xml version="1.0" encoding="utf-8"?>
<table xmlns="http://schemas.openxmlformats.org/spreadsheetml/2006/main" id="155" name="Tabla551631517176101111116131146201156" displayName="Tabla551631517176101111116131146201156" ref="A62:B65" headerRowCount="0" totalsRowShown="0" headerRowDxfId="138" dataDxfId="137">
  <tableColumns count="2">
    <tableColumn id="1" name="Columna1" headerRowDxfId="136" dataDxfId="135"/>
    <tableColumn id="2" name="Columna2" headerRowDxfId="134" dataDxfId="133"/>
  </tableColumns>
  <tableStyleInfo name="TableStyleMedium1" showFirstColumn="0" showLastColumn="0" showRowStripes="1" showColumnStripes="0"/>
</table>
</file>

<file path=xl/tables/table244.xml><?xml version="1.0" encoding="utf-8"?>
<table xmlns="http://schemas.openxmlformats.org/spreadsheetml/2006/main" id="156" name="Tabla6121732527277102112117132147202157" displayName="Tabla6121732527277102112117132147202157" ref="A4:D51" totalsRowShown="0" headerRowDxfId="132" dataDxfId="131" headerRowCellStyle="Millares" dataCellStyle="Millares">
  <autoFilter ref="A4:D51"/>
  <tableColumns count="4">
    <tableColumn id="1" name="Trabajo" dataDxfId="130"/>
    <tableColumn id="2" name="01-34219" dataDxfId="129" dataCellStyle="Millares"/>
    <tableColumn id="7" name="Parametro" dataDxfId="128"/>
    <tableColumn id="8" name="Referencia" dataDxfId="127"/>
  </tableColumns>
  <tableStyleInfo name="TableStyleMedium19" showFirstColumn="0" showLastColumn="0" showRowStripes="1" showColumnStripes="0"/>
</table>
</file>

<file path=xl/tables/table245.xml><?xml version="1.0" encoding="utf-8"?>
<table xmlns="http://schemas.openxmlformats.org/spreadsheetml/2006/main" id="157" name="Tabla7131833537378103113118133148203158" displayName="Tabla7131833537378103113118133148203158" ref="F5:G33" totalsRowShown="0" headerRowDxfId="126" dataDxfId="125">
  <autoFilter ref="F5:G33"/>
  <tableColumns count="2">
    <tableColumn id="1" name="Concepto" dataDxfId="124"/>
    <tableColumn id="2" name="Valor" dataDxfId="123"/>
  </tableColumns>
  <tableStyleInfo name="TableStyleLight9" showFirstColumn="0" showLastColumn="0" showRowStripes="1" showColumnStripes="0"/>
</table>
</file>

<file path=xl/tables/table246.xml><?xml version="1.0" encoding="utf-8"?>
<table xmlns="http://schemas.openxmlformats.org/spreadsheetml/2006/main" id="158" name="Tabla10141934547479104114119134149204159" displayName="Tabla10141934547479104114119134149204159" ref="A54:B60" headerRowCount="0" totalsRowShown="0" headerRowDxfId="122" dataDxfId="121" headerRowCellStyle="Millares" dataCellStyle="Millares">
  <tableColumns count="2">
    <tableColumn id="1" name="Columna1" headerRowDxfId="120" dataDxfId="119"/>
    <tableColumn id="2" name="Columna2" headerRowDxfId="118" dataDxfId="117" headerRowCellStyle="Millares" dataCellStyle="Millares"/>
  </tableColumns>
  <tableStyleInfo name="TableStyleLight18" showFirstColumn="0" showLastColumn="0" showRowStripes="1" showColumnStripes="0"/>
</table>
</file>

<file path=xl/tables/table247.xml><?xml version="1.0" encoding="utf-8"?>
<table xmlns="http://schemas.openxmlformats.org/spreadsheetml/2006/main" id="219" name="Tabla1341530507075100110115130145200205210220" displayName="Tabla1341530507075100110115130145200205210220" ref="I5:J15" totalsRowCount="1" headerRowDxfId="116" totalsRowDxfId="115">
  <autoFilter ref="I5:J14"/>
  <sortState ref="I6:J14">
    <sortCondition ref="J5:J14"/>
  </sortState>
  <tableColumns count="2">
    <tableColumn id="1" name="Concepto" totalsRowLabel="Total" dataDxfId="114" totalsRowDxfId="113"/>
    <tableColumn id="2" name="Contribución" totalsRowFunction="sum" dataDxfId="112" totalsRowDxfId="111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48.xml><?xml version="1.0" encoding="utf-8"?>
<table xmlns="http://schemas.openxmlformats.org/spreadsheetml/2006/main" id="220" name="Tabla551631517176101111116131146201206211221" displayName="Tabla551631517176101111116131146201206211221" ref="A62:B65" headerRowCount="0" totalsRowShown="0" headerRowDxfId="110" dataDxfId="109">
  <tableColumns count="2">
    <tableColumn id="1" name="Columna1" headerRowDxfId="108" dataDxfId="107"/>
    <tableColumn id="2" name="Columna2" headerRowDxfId="106" dataDxfId="105"/>
  </tableColumns>
  <tableStyleInfo name="TableStyleMedium1" showFirstColumn="0" showLastColumn="0" showRowStripes="1" showColumnStripes="0"/>
</table>
</file>

<file path=xl/tables/table249.xml><?xml version="1.0" encoding="utf-8"?>
<table xmlns="http://schemas.openxmlformats.org/spreadsheetml/2006/main" id="221" name="Tabla6121732527277102112117132147202207212222" displayName="Tabla6121732527277102112117132147202207212222" ref="A4:D51" totalsRowShown="0" headerRowDxfId="104" dataDxfId="103" headerRowCellStyle="Millares" dataCellStyle="Millares">
  <autoFilter ref="A4:D51"/>
  <tableColumns count="4">
    <tableColumn id="1" name="Trabajo" dataDxfId="102"/>
    <tableColumn id="2" name="114-5461-000" dataDxfId="101" dataCellStyle="Millares"/>
    <tableColumn id="7" name="Parametro" dataDxfId="100"/>
    <tableColumn id="8" name="Referencia" dataDxfId="99"/>
  </tableColumns>
  <tableStyleInfo name="TableStyleMedium19" showFirstColumn="0" showLastColumn="0" showRowStripes="1" showColumnStripes="0"/>
</table>
</file>

<file path=xl/tables/table250.xml><?xml version="1.0" encoding="utf-8"?>
<table xmlns="http://schemas.openxmlformats.org/spreadsheetml/2006/main" id="222" name="Tabla7131833537378103113118133148203208213223" displayName="Tabla7131833537378103113118133148203208213223" ref="F5:G33" totalsRowShown="0" headerRowDxfId="98" dataDxfId="97">
  <autoFilter ref="F5:G33"/>
  <tableColumns count="2">
    <tableColumn id="1" name="Concepto" dataDxfId="96"/>
    <tableColumn id="2" name="Valor" dataDxfId="95"/>
  </tableColumns>
  <tableStyleInfo name="TableStyleLight9" showFirstColumn="0" showLastColumn="0" showRowStripes="1" showColumnStripes="0"/>
</table>
</file>

<file path=xl/tables/table251.xml><?xml version="1.0" encoding="utf-8"?>
<table xmlns="http://schemas.openxmlformats.org/spreadsheetml/2006/main" id="223" name="Tabla10141934547479104114119134149204209214224" displayName="Tabla10141934547479104114119134149204209214224" ref="A54:B60" headerRowCount="0" totalsRowShown="0" headerRowDxfId="94" dataDxfId="93" headerRowCellStyle="Millares" dataCellStyle="Millares">
  <tableColumns count="2">
    <tableColumn id="1" name="Columna1" headerRowDxfId="92" dataDxfId="91"/>
    <tableColumn id="2" name="Columna2" headerRowDxfId="90" dataDxfId="89" headerRowCellStyle="Millares" dataCellStyle="Millares"/>
  </tableColumns>
  <tableStyleInfo name="TableStyleLight18" showFirstColumn="0" showLastColumn="0" showRowStripes="1" showColumnStripes="0"/>
</table>
</file>

<file path=xl/tables/table252.xml><?xml version="1.0" encoding="utf-8"?>
<table xmlns="http://schemas.openxmlformats.org/spreadsheetml/2006/main" id="224" name="Tabla1341530507075100110115130145150155160225" displayName="Tabla1341530507075100110115130145150155160225" ref="I5:J15" totalsRowCount="1" headerRowDxfId="88" totalsRowDxfId="87">
  <autoFilter ref="I5:J14"/>
  <sortState ref="I6:J14">
    <sortCondition ref="J5:J14"/>
  </sortState>
  <tableColumns count="2">
    <tableColumn id="1" name="Concepto" totalsRowLabel="Total" dataDxfId="86" totalsRowDxfId="85"/>
    <tableColumn id="2" name="Contribución" totalsRowFunction="sum" dataDxfId="84" totalsRowDxfId="83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53.xml><?xml version="1.0" encoding="utf-8"?>
<table xmlns="http://schemas.openxmlformats.org/spreadsheetml/2006/main" id="225" name="Tabla551631517176101111116131146151156161226" displayName="Tabla551631517176101111116131146151156161226" ref="A62:B65" headerRowCount="0" totalsRowShown="0" headerRowDxfId="82" dataDxfId="81">
  <tableColumns count="2">
    <tableColumn id="1" name="Columna1" headerRowDxfId="80" dataDxfId="79"/>
    <tableColumn id="2" name="Columna2" headerRowDxfId="78" dataDxfId="77"/>
  </tableColumns>
  <tableStyleInfo name="TableStyleMedium1" showFirstColumn="0" showLastColumn="0" showRowStripes="1" showColumnStripes="0"/>
</table>
</file>

<file path=xl/tables/table254.xml><?xml version="1.0" encoding="utf-8"?>
<table xmlns="http://schemas.openxmlformats.org/spreadsheetml/2006/main" id="226" name="Tabla6121732527277102112117132147152157162227" displayName="Tabla6121732527277102112117132147152157162227" ref="A4:D51" totalsRowShown="0" headerRowDxfId="76" dataDxfId="75" headerRowCellStyle="Millares" dataCellStyle="Millares">
  <autoFilter ref="A4:D51"/>
  <tableColumns count="4">
    <tableColumn id="1" name="Trabajo" dataDxfId="74"/>
    <tableColumn id="2" name="114-5685-000" dataDxfId="73" dataCellStyle="Millares"/>
    <tableColumn id="7" name="Parametro" dataDxfId="72"/>
    <tableColumn id="8" name="Referencia" dataDxfId="71"/>
  </tableColumns>
  <tableStyleInfo name="TableStyleMedium19" showFirstColumn="0" showLastColumn="0" showRowStripes="1" showColumnStripes="0"/>
</table>
</file>

<file path=xl/tables/table255.xml><?xml version="1.0" encoding="utf-8"?>
<table xmlns="http://schemas.openxmlformats.org/spreadsheetml/2006/main" id="227" name="Tabla7131833537378103113118133148153158163228" displayName="Tabla7131833537378103113118133148153158163228" ref="F5:G33" totalsRowShown="0" headerRowDxfId="70" dataDxfId="69">
  <autoFilter ref="F5:G33"/>
  <tableColumns count="2">
    <tableColumn id="1" name="Concepto" dataDxfId="68"/>
    <tableColumn id="2" name="Valor" dataDxfId="67"/>
  </tableColumns>
  <tableStyleInfo name="TableStyleLight9" showFirstColumn="0" showLastColumn="0" showRowStripes="1" showColumnStripes="0"/>
</table>
</file>

<file path=xl/tables/table256.xml><?xml version="1.0" encoding="utf-8"?>
<table xmlns="http://schemas.openxmlformats.org/spreadsheetml/2006/main" id="228" name="Tabla10141934547479104114119134149154159164229" displayName="Tabla10141934547479104114119134149154159164229" ref="A54:B60" headerRowCount="0" totalsRowShown="0" headerRowDxfId="66" dataDxfId="65" headerRowCellStyle="Millares" dataCellStyle="Millares">
  <tableColumns count="2">
    <tableColumn id="1" name="Columna1" headerRowDxfId="64" dataDxfId="63"/>
    <tableColumn id="2" name="Columna2" headerRowDxfId="62" dataDxfId="61" headerRowCellStyle="Millares" dataCellStyle="Millares"/>
  </tableColumns>
  <tableStyleInfo name="TableStyleLight18" showFirstColumn="0" showLastColumn="0" showRowStripes="1" showColumnStripes="0"/>
</table>
</file>

<file path=xl/tables/table257.xml><?xml version="1.0" encoding="utf-8"?>
<table xmlns="http://schemas.openxmlformats.org/spreadsheetml/2006/main" id="1" name="Tabla13" displayName="Tabla13" ref="K5:L15" totalsRowCount="1" headerRowDxfId="60" dataDxfId="59" totalsRowDxfId="58">
  <autoFilter ref="K5:L14"/>
  <sortState ref="K6:L19">
    <sortCondition ref="L5:L19"/>
  </sortState>
  <tableColumns count="2">
    <tableColumn id="1" name="Concepto" totalsRowLabel="Total" dataDxfId="57" totalsRowDxfId="56"/>
    <tableColumn id="2" name="Contribución" totalsRowFunction="sum" dataDxfId="55" totalsRowDxfId="54" dataCellStyle="Porcentaje"/>
  </tableColumns>
  <tableStyleInfo name="TableStyleMedium18" showFirstColumn="0" showLastColumn="0" showRowStripes="1" showColumnStripes="0"/>
</table>
</file>

<file path=xl/tables/table258.xml><?xml version="1.0" encoding="utf-8"?>
<table xmlns="http://schemas.openxmlformats.org/spreadsheetml/2006/main" id="5" name="Tabla5" displayName="Tabla5" ref="A61:D64" headerRowCount="0" totalsRowShown="0" headerRowDxfId="53" dataDxfId="52">
  <tableColumns count="4">
    <tableColumn id="1" name="Columna1" headerRowDxfId="51" dataDxfId="50"/>
    <tableColumn id="2" name="Columna2" headerRowDxfId="49" dataDxfId="48"/>
    <tableColumn id="3" name="Columna3" headerRowDxfId="47" dataDxfId="46"/>
    <tableColumn id="9" name="Columna9" headerRowDxfId="45" dataDxfId="44"/>
  </tableColumns>
  <tableStyleInfo name="TableStyleMedium1" showFirstColumn="0" showLastColumn="0" showRowStripes="1" showColumnStripes="0"/>
</table>
</file>

<file path=xl/tables/table259.xml><?xml version="1.0" encoding="utf-8"?>
<table xmlns="http://schemas.openxmlformats.org/spreadsheetml/2006/main" id="6" name="Tabla6" displayName="Tabla6" ref="A4:F50" totalsRowShown="0" headerRowDxfId="43" dataDxfId="42" headerRowCellStyle="Millares" dataCellStyle="Millares">
  <autoFilter ref="A4:F50"/>
  <tableColumns count="6">
    <tableColumn id="1" name="Trabajo" dataDxfId="41"/>
    <tableColumn id="2" name="114-5058-000" dataDxfId="40" dataCellStyle="Millares"/>
    <tableColumn id="3" name="Etiqueta" dataDxfId="39" dataCellStyle="Millares"/>
    <tableColumn id="6" name="002-2358-000" dataDxfId="38" dataCellStyle="Millares"/>
    <tableColumn id="7" name="Parametro" dataDxfId="37"/>
    <tableColumn id="8" name="Referencia" dataDxfId="36"/>
  </tableColumns>
  <tableStyleInfo name="TableStyleMedium19" showFirstColumn="0" showLastColumn="0" showRowStripes="1" showColumnStripes="0"/>
</table>
</file>

<file path=xl/tables/table260.xml><?xml version="1.0" encoding="utf-8"?>
<table xmlns="http://schemas.openxmlformats.org/spreadsheetml/2006/main" id="7" name="Tabla7" displayName="Tabla7" ref="H5:I29" totalsRowShown="0" headerRowDxfId="35" dataDxfId="34">
  <autoFilter ref="H5:I29"/>
  <tableColumns count="2">
    <tableColumn id="1" name="Concepto" dataDxfId="33"/>
    <tableColumn id="2" name="Valor" dataDxfId="32"/>
  </tableColumns>
  <tableStyleInfo name="TableStyleLight9" showFirstColumn="0" showLastColumn="0" showRowStripes="1" showColumnStripes="0"/>
</table>
</file>

<file path=xl/tables/table261.xml><?xml version="1.0" encoding="utf-8"?>
<table xmlns="http://schemas.openxmlformats.org/spreadsheetml/2006/main" id="10" name="Tabla10" displayName="Tabla10" ref="A53:D59" headerRowCount="0" totalsRowShown="0" headerRowDxfId="31" dataDxfId="30" headerRowCellStyle="Millares" dataCellStyle="Millares">
  <tableColumns count="4">
    <tableColumn id="1" name="Columna1" headerRowDxfId="29" dataDxfId="28"/>
    <tableColumn id="2" name="Columna2" headerRowDxfId="27" dataDxfId="26" headerRowCellStyle="Millares" dataCellStyle="Millares"/>
    <tableColumn id="3" name="Columna3" headerRowDxfId="25" dataDxfId="24" headerRowCellStyle="Millares" dataCellStyle="Millares"/>
    <tableColumn id="6" name="Columna6" headerRowDxfId="23" dataDxfId="22" headerRowCellStyle="Millares" dataCellStyle="Millares"/>
  </tableColumns>
  <tableStyleInfo name="TableStyleLight18" showFirstColumn="0" showLastColumn="0" showRowStripes="1" showColumnStripes="0"/>
</table>
</file>

<file path=xl/tables/table262.xml><?xml version="1.0" encoding="utf-8"?>
<table xmlns="http://schemas.openxmlformats.org/spreadsheetml/2006/main" id="8" name="Tabla8" displayName="Tabla8" ref="B3:J6" totalsRowShown="0" headerRowDxfId="21" dataDxfId="20">
  <autoFilter ref="B3:J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PO DE PAPEL" dataDxfId="19"/>
    <tableColumn id="2" name="Grs" dataDxfId="18"/>
    <tableColumn id="3" name="57x87" dataDxfId="17"/>
    <tableColumn id="6" name="64x94" dataDxfId="16"/>
    <tableColumn id="4" name="61x90" dataDxfId="15"/>
    <tableColumn id="7" name="61x68.5" dataDxfId="14"/>
    <tableColumn id="5" name="70x95" dataDxfId="13"/>
    <tableColumn id="8" name="72x53" dataDxfId="12"/>
    <tableColumn id="9" name="72x102" dataDxfId="11"/>
  </tableColumns>
  <tableStyleInfo name="TableStyleMedium11" showFirstColumn="0" showLastColumn="0" showRowStripes="1" showColumnStripes="0"/>
</table>
</file>

<file path=xl/tables/table263.xml><?xml version="1.0" encoding="utf-8"?>
<table xmlns="http://schemas.openxmlformats.org/spreadsheetml/2006/main" id="9" name="Tabla9" displayName="Tabla9" ref="M3:U12" totalsRowShown="0" headerRowDxfId="10" dataDxfId="9">
  <autoFilter ref="M3:U12"/>
  <tableColumns count="9">
    <tableColumn id="1" name="TIPO DE PAPEL" dataDxfId="8"/>
    <tableColumn id="2" name="Grs" dataDxfId="7"/>
    <tableColumn id="3" name="57x87" dataDxfId="6"/>
    <tableColumn id="4" name="58x88" dataDxfId="5"/>
    <tableColumn id="5" name="61x90" dataDxfId="4"/>
    <tableColumn id="6" name="61x68.5" dataDxfId="3"/>
    <tableColumn id="7" name="70x95" dataDxfId="2"/>
    <tableColumn id="8" name="72x53" dataDxfId="1"/>
    <tableColumn id="9" name="72x102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7" Type="http://schemas.openxmlformats.org/officeDocument/2006/relationships/table" Target="../tables/table2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7" Type="http://schemas.openxmlformats.org/officeDocument/2006/relationships/table" Target="../tables/table4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40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7" Type="http://schemas.openxmlformats.org/officeDocument/2006/relationships/table" Target="../tables/table4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Relationship Id="rId6" Type="http://schemas.openxmlformats.org/officeDocument/2006/relationships/table" Target="../tables/table45.xml"/><Relationship Id="rId5" Type="http://schemas.openxmlformats.org/officeDocument/2006/relationships/table" Target="../tables/table44.xml"/><Relationship Id="rId4" Type="http://schemas.openxmlformats.org/officeDocument/2006/relationships/table" Target="../tables/table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7" Type="http://schemas.openxmlformats.org/officeDocument/2006/relationships/table" Target="../tables/table5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7" Type="http://schemas.openxmlformats.org/officeDocument/2006/relationships/table" Target="../tables/table5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7" Type="http://schemas.openxmlformats.org/officeDocument/2006/relationships/table" Target="../tables/table6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Relationship Id="rId6" Type="http://schemas.openxmlformats.org/officeDocument/2006/relationships/table" Target="../tables/table60.xml"/><Relationship Id="rId5" Type="http://schemas.openxmlformats.org/officeDocument/2006/relationships/table" Target="../tables/table59.xml"/><Relationship Id="rId4" Type="http://schemas.openxmlformats.org/officeDocument/2006/relationships/table" Target="../tables/table5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7" Type="http://schemas.openxmlformats.org/officeDocument/2006/relationships/table" Target="../tables/table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6" Type="http://schemas.openxmlformats.org/officeDocument/2006/relationships/table" Target="../tables/table65.xml"/><Relationship Id="rId5" Type="http://schemas.openxmlformats.org/officeDocument/2006/relationships/table" Target="../tables/table64.xml"/><Relationship Id="rId4" Type="http://schemas.openxmlformats.org/officeDocument/2006/relationships/table" Target="../tables/table6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7.xml"/><Relationship Id="rId7" Type="http://schemas.openxmlformats.org/officeDocument/2006/relationships/table" Target="../tables/table7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6" Type="http://schemas.openxmlformats.org/officeDocument/2006/relationships/table" Target="../tables/table70.xml"/><Relationship Id="rId5" Type="http://schemas.openxmlformats.org/officeDocument/2006/relationships/table" Target="../tables/table69.xml"/><Relationship Id="rId4" Type="http://schemas.openxmlformats.org/officeDocument/2006/relationships/table" Target="../tables/table6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2.xml"/><Relationship Id="rId7" Type="http://schemas.openxmlformats.org/officeDocument/2006/relationships/table" Target="../tables/table7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Relationship Id="rId6" Type="http://schemas.openxmlformats.org/officeDocument/2006/relationships/table" Target="../tables/table75.xml"/><Relationship Id="rId5" Type="http://schemas.openxmlformats.org/officeDocument/2006/relationships/table" Target="../tables/table74.xml"/><Relationship Id="rId4" Type="http://schemas.openxmlformats.org/officeDocument/2006/relationships/table" Target="../tables/table7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7.xml"/><Relationship Id="rId7" Type="http://schemas.openxmlformats.org/officeDocument/2006/relationships/table" Target="../tables/table8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9.bin"/><Relationship Id="rId6" Type="http://schemas.openxmlformats.org/officeDocument/2006/relationships/table" Target="../tables/table80.xml"/><Relationship Id="rId5" Type="http://schemas.openxmlformats.org/officeDocument/2006/relationships/table" Target="../tables/table79.xml"/><Relationship Id="rId4" Type="http://schemas.openxmlformats.org/officeDocument/2006/relationships/table" Target="../tables/table7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2.xml"/><Relationship Id="rId7" Type="http://schemas.openxmlformats.org/officeDocument/2006/relationships/table" Target="../tables/table8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2.bin"/><Relationship Id="rId6" Type="http://schemas.openxmlformats.org/officeDocument/2006/relationships/table" Target="../tables/table85.xml"/><Relationship Id="rId5" Type="http://schemas.openxmlformats.org/officeDocument/2006/relationships/table" Target="../tables/table84.xml"/><Relationship Id="rId4" Type="http://schemas.openxmlformats.org/officeDocument/2006/relationships/table" Target="../tables/table8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7.xml"/><Relationship Id="rId7" Type="http://schemas.openxmlformats.org/officeDocument/2006/relationships/table" Target="../tables/table9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6" Type="http://schemas.openxmlformats.org/officeDocument/2006/relationships/table" Target="../tables/table90.xml"/><Relationship Id="rId5" Type="http://schemas.openxmlformats.org/officeDocument/2006/relationships/table" Target="../tables/table89.xml"/><Relationship Id="rId4" Type="http://schemas.openxmlformats.org/officeDocument/2006/relationships/table" Target="../tables/table8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2.xml"/><Relationship Id="rId7" Type="http://schemas.openxmlformats.org/officeDocument/2006/relationships/table" Target="../tables/table9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Relationship Id="rId6" Type="http://schemas.openxmlformats.org/officeDocument/2006/relationships/table" Target="../tables/table95.xml"/><Relationship Id="rId5" Type="http://schemas.openxmlformats.org/officeDocument/2006/relationships/table" Target="../tables/table94.xml"/><Relationship Id="rId4" Type="http://schemas.openxmlformats.org/officeDocument/2006/relationships/table" Target="../tables/table9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7.xml"/><Relationship Id="rId7" Type="http://schemas.openxmlformats.org/officeDocument/2006/relationships/table" Target="../tables/table10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Relationship Id="rId6" Type="http://schemas.openxmlformats.org/officeDocument/2006/relationships/table" Target="../tables/table100.xml"/><Relationship Id="rId5" Type="http://schemas.openxmlformats.org/officeDocument/2006/relationships/table" Target="../tables/table99.xml"/><Relationship Id="rId4" Type="http://schemas.openxmlformats.org/officeDocument/2006/relationships/table" Target="../tables/table9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2.xml"/><Relationship Id="rId7" Type="http://schemas.openxmlformats.org/officeDocument/2006/relationships/table" Target="../tables/table10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6" Type="http://schemas.openxmlformats.org/officeDocument/2006/relationships/table" Target="../tables/table105.xml"/><Relationship Id="rId5" Type="http://schemas.openxmlformats.org/officeDocument/2006/relationships/table" Target="../tables/table104.xml"/><Relationship Id="rId4" Type="http://schemas.openxmlformats.org/officeDocument/2006/relationships/table" Target="../tables/table10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7.xml"/><Relationship Id="rId7" Type="http://schemas.openxmlformats.org/officeDocument/2006/relationships/table" Target="../tables/table11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6" Type="http://schemas.openxmlformats.org/officeDocument/2006/relationships/table" Target="../tables/table110.xml"/><Relationship Id="rId5" Type="http://schemas.openxmlformats.org/officeDocument/2006/relationships/table" Target="../tables/table109.xml"/><Relationship Id="rId4" Type="http://schemas.openxmlformats.org/officeDocument/2006/relationships/table" Target="../tables/table10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2.xml"/><Relationship Id="rId7" Type="http://schemas.openxmlformats.org/officeDocument/2006/relationships/table" Target="../tables/table1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2.bin"/><Relationship Id="rId6" Type="http://schemas.openxmlformats.org/officeDocument/2006/relationships/table" Target="../tables/table115.xml"/><Relationship Id="rId5" Type="http://schemas.openxmlformats.org/officeDocument/2006/relationships/table" Target="../tables/table114.xml"/><Relationship Id="rId4" Type="http://schemas.openxmlformats.org/officeDocument/2006/relationships/table" Target="../tables/table113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7.xml"/><Relationship Id="rId7" Type="http://schemas.openxmlformats.org/officeDocument/2006/relationships/table" Target="../tables/table12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3.bin"/><Relationship Id="rId6" Type="http://schemas.openxmlformats.org/officeDocument/2006/relationships/table" Target="../tables/table120.xml"/><Relationship Id="rId5" Type="http://schemas.openxmlformats.org/officeDocument/2006/relationships/table" Target="../tables/table119.xml"/><Relationship Id="rId4" Type="http://schemas.openxmlformats.org/officeDocument/2006/relationships/table" Target="../tables/table118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2.xml"/><Relationship Id="rId7" Type="http://schemas.openxmlformats.org/officeDocument/2006/relationships/table" Target="../tables/table12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4.bin"/><Relationship Id="rId6" Type="http://schemas.openxmlformats.org/officeDocument/2006/relationships/table" Target="../tables/table125.xml"/><Relationship Id="rId5" Type="http://schemas.openxmlformats.org/officeDocument/2006/relationships/table" Target="../tables/table124.xml"/><Relationship Id="rId4" Type="http://schemas.openxmlformats.org/officeDocument/2006/relationships/table" Target="../tables/table123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7.xml"/><Relationship Id="rId7" Type="http://schemas.openxmlformats.org/officeDocument/2006/relationships/table" Target="../tables/table13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7.bin"/><Relationship Id="rId6" Type="http://schemas.openxmlformats.org/officeDocument/2006/relationships/table" Target="../tables/table130.xml"/><Relationship Id="rId5" Type="http://schemas.openxmlformats.org/officeDocument/2006/relationships/table" Target="../tables/table129.xml"/><Relationship Id="rId4" Type="http://schemas.openxmlformats.org/officeDocument/2006/relationships/table" Target="../tables/table12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2.xml"/><Relationship Id="rId7" Type="http://schemas.openxmlformats.org/officeDocument/2006/relationships/table" Target="../tables/table13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6" Type="http://schemas.openxmlformats.org/officeDocument/2006/relationships/table" Target="../tables/table135.xml"/><Relationship Id="rId5" Type="http://schemas.openxmlformats.org/officeDocument/2006/relationships/table" Target="../tables/table134.xml"/><Relationship Id="rId4" Type="http://schemas.openxmlformats.org/officeDocument/2006/relationships/table" Target="../tables/table13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7.xml"/><Relationship Id="rId7" Type="http://schemas.openxmlformats.org/officeDocument/2006/relationships/table" Target="../tables/table14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6" Type="http://schemas.openxmlformats.org/officeDocument/2006/relationships/table" Target="../tables/table140.xml"/><Relationship Id="rId5" Type="http://schemas.openxmlformats.org/officeDocument/2006/relationships/table" Target="../tables/table139.xml"/><Relationship Id="rId4" Type="http://schemas.openxmlformats.org/officeDocument/2006/relationships/table" Target="../tables/table138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2.xml"/><Relationship Id="rId7" Type="http://schemas.openxmlformats.org/officeDocument/2006/relationships/table" Target="../tables/table14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table" Target="../tables/table145.xml"/><Relationship Id="rId5" Type="http://schemas.openxmlformats.org/officeDocument/2006/relationships/table" Target="../tables/table144.xml"/><Relationship Id="rId4" Type="http://schemas.openxmlformats.org/officeDocument/2006/relationships/table" Target="../tables/table14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7.xml"/><Relationship Id="rId7" Type="http://schemas.openxmlformats.org/officeDocument/2006/relationships/table" Target="../tables/table1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7.bin"/><Relationship Id="rId6" Type="http://schemas.openxmlformats.org/officeDocument/2006/relationships/table" Target="../tables/table150.xml"/><Relationship Id="rId5" Type="http://schemas.openxmlformats.org/officeDocument/2006/relationships/table" Target="../tables/table149.xml"/><Relationship Id="rId4" Type="http://schemas.openxmlformats.org/officeDocument/2006/relationships/table" Target="../tables/table14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2.xml"/><Relationship Id="rId7" Type="http://schemas.openxmlformats.org/officeDocument/2006/relationships/table" Target="../tables/table15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2.bin"/><Relationship Id="rId6" Type="http://schemas.openxmlformats.org/officeDocument/2006/relationships/table" Target="../tables/table155.xml"/><Relationship Id="rId5" Type="http://schemas.openxmlformats.org/officeDocument/2006/relationships/table" Target="../tables/table154.xml"/><Relationship Id="rId4" Type="http://schemas.openxmlformats.org/officeDocument/2006/relationships/table" Target="../tables/table15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7.xml"/><Relationship Id="rId7" Type="http://schemas.openxmlformats.org/officeDocument/2006/relationships/table" Target="../tables/table16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5.bin"/><Relationship Id="rId6" Type="http://schemas.openxmlformats.org/officeDocument/2006/relationships/table" Target="../tables/table160.xml"/><Relationship Id="rId5" Type="http://schemas.openxmlformats.org/officeDocument/2006/relationships/table" Target="../tables/table159.xml"/><Relationship Id="rId4" Type="http://schemas.openxmlformats.org/officeDocument/2006/relationships/table" Target="../tables/table158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2.xml"/><Relationship Id="rId7" Type="http://schemas.openxmlformats.org/officeDocument/2006/relationships/table" Target="../tables/table16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6.bin"/><Relationship Id="rId6" Type="http://schemas.openxmlformats.org/officeDocument/2006/relationships/table" Target="../tables/table165.xml"/><Relationship Id="rId5" Type="http://schemas.openxmlformats.org/officeDocument/2006/relationships/table" Target="../tables/table164.xml"/><Relationship Id="rId4" Type="http://schemas.openxmlformats.org/officeDocument/2006/relationships/table" Target="../tables/table163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7.xml"/><Relationship Id="rId7" Type="http://schemas.openxmlformats.org/officeDocument/2006/relationships/table" Target="../tables/table17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7.bin"/><Relationship Id="rId6" Type="http://schemas.openxmlformats.org/officeDocument/2006/relationships/table" Target="../tables/table170.xml"/><Relationship Id="rId5" Type="http://schemas.openxmlformats.org/officeDocument/2006/relationships/table" Target="../tables/table169.xml"/><Relationship Id="rId4" Type="http://schemas.openxmlformats.org/officeDocument/2006/relationships/table" Target="../tables/table168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2.xml"/><Relationship Id="rId7" Type="http://schemas.openxmlformats.org/officeDocument/2006/relationships/table" Target="../tables/table176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8.bin"/><Relationship Id="rId6" Type="http://schemas.openxmlformats.org/officeDocument/2006/relationships/table" Target="../tables/table175.xml"/><Relationship Id="rId5" Type="http://schemas.openxmlformats.org/officeDocument/2006/relationships/table" Target="../tables/table174.xml"/><Relationship Id="rId4" Type="http://schemas.openxmlformats.org/officeDocument/2006/relationships/table" Target="../tables/table17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7.xml"/><Relationship Id="rId7" Type="http://schemas.openxmlformats.org/officeDocument/2006/relationships/table" Target="../tables/table181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Relationship Id="rId6" Type="http://schemas.openxmlformats.org/officeDocument/2006/relationships/table" Target="../tables/table180.xml"/><Relationship Id="rId5" Type="http://schemas.openxmlformats.org/officeDocument/2006/relationships/table" Target="../tables/table179.xml"/><Relationship Id="rId4" Type="http://schemas.openxmlformats.org/officeDocument/2006/relationships/table" Target="../tables/table178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2.xml"/><Relationship Id="rId7" Type="http://schemas.openxmlformats.org/officeDocument/2006/relationships/table" Target="../tables/table18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2.bin"/><Relationship Id="rId6" Type="http://schemas.openxmlformats.org/officeDocument/2006/relationships/table" Target="../tables/table185.xml"/><Relationship Id="rId5" Type="http://schemas.openxmlformats.org/officeDocument/2006/relationships/table" Target="../tables/table184.xml"/><Relationship Id="rId4" Type="http://schemas.openxmlformats.org/officeDocument/2006/relationships/table" Target="../tables/table183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7.xml"/><Relationship Id="rId7" Type="http://schemas.openxmlformats.org/officeDocument/2006/relationships/table" Target="../tables/table19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3.bin"/><Relationship Id="rId6" Type="http://schemas.openxmlformats.org/officeDocument/2006/relationships/table" Target="../tables/table190.xml"/><Relationship Id="rId5" Type="http://schemas.openxmlformats.org/officeDocument/2006/relationships/table" Target="../tables/table189.xml"/><Relationship Id="rId4" Type="http://schemas.openxmlformats.org/officeDocument/2006/relationships/table" Target="../tables/table188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2.xml"/><Relationship Id="rId7" Type="http://schemas.openxmlformats.org/officeDocument/2006/relationships/table" Target="../tables/table196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8.bin"/><Relationship Id="rId6" Type="http://schemas.openxmlformats.org/officeDocument/2006/relationships/table" Target="../tables/table195.xml"/><Relationship Id="rId5" Type="http://schemas.openxmlformats.org/officeDocument/2006/relationships/table" Target="../tables/table194.xml"/><Relationship Id="rId4" Type="http://schemas.openxmlformats.org/officeDocument/2006/relationships/table" Target="../tables/table193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7.xml"/><Relationship Id="rId7" Type="http://schemas.openxmlformats.org/officeDocument/2006/relationships/table" Target="../tables/table20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81.bin"/><Relationship Id="rId6" Type="http://schemas.openxmlformats.org/officeDocument/2006/relationships/table" Target="../tables/table200.xml"/><Relationship Id="rId5" Type="http://schemas.openxmlformats.org/officeDocument/2006/relationships/table" Target="../tables/table199.xml"/><Relationship Id="rId4" Type="http://schemas.openxmlformats.org/officeDocument/2006/relationships/table" Target="../tables/table198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2.xml"/><Relationship Id="rId7" Type="http://schemas.openxmlformats.org/officeDocument/2006/relationships/table" Target="../tables/table20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4.bin"/><Relationship Id="rId6" Type="http://schemas.openxmlformats.org/officeDocument/2006/relationships/table" Target="../tables/table205.xml"/><Relationship Id="rId5" Type="http://schemas.openxmlformats.org/officeDocument/2006/relationships/table" Target="../tables/table204.xml"/><Relationship Id="rId4" Type="http://schemas.openxmlformats.org/officeDocument/2006/relationships/table" Target="../tables/table203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7.xml"/><Relationship Id="rId7" Type="http://schemas.openxmlformats.org/officeDocument/2006/relationships/table" Target="../tables/table21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5.bin"/><Relationship Id="rId6" Type="http://schemas.openxmlformats.org/officeDocument/2006/relationships/table" Target="../tables/table210.xml"/><Relationship Id="rId5" Type="http://schemas.openxmlformats.org/officeDocument/2006/relationships/table" Target="../tables/table209.xml"/><Relationship Id="rId4" Type="http://schemas.openxmlformats.org/officeDocument/2006/relationships/table" Target="../tables/table20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2.xml"/><Relationship Id="rId7" Type="http://schemas.openxmlformats.org/officeDocument/2006/relationships/table" Target="../tables/table216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6.bin"/><Relationship Id="rId6" Type="http://schemas.openxmlformats.org/officeDocument/2006/relationships/table" Target="../tables/table215.xml"/><Relationship Id="rId5" Type="http://schemas.openxmlformats.org/officeDocument/2006/relationships/table" Target="../tables/table214.xml"/><Relationship Id="rId4" Type="http://schemas.openxmlformats.org/officeDocument/2006/relationships/table" Target="../tables/table213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7.xml"/><Relationship Id="rId7" Type="http://schemas.openxmlformats.org/officeDocument/2006/relationships/table" Target="../tables/table22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7.bin"/><Relationship Id="rId6" Type="http://schemas.openxmlformats.org/officeDocument/2006/relationships/table" Target="../tables/table220.xml"/><Relationship Id="rId5" Type="http://schemas.openxmlformats.org/officeDocument/2006/relationships/table" Target="../tables/table219.xml"/><Relationship Id="rId4" Type="http://schemas.openxmlformats.org/officeDocument/2006/relationships/table" Target="../tables/table218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2.xml"/><Relationship Id="rId7" Type="http://schemas.openxmlformats.org/officeDocument/2006/relationships/table" Target="../tables/table226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8.bin"/><Relationship Id="rId6" Type="http://schemas.openxmlformats.org/officeDocument/2006/relationships/table" Target="../tables/table225.xml"/><Relationship Id="rId5" Type="http://schemas.openxmlformats.org/officeDocument/2006/relationships/table" Target="../tables/table224.xml"/><Relationship Id="rId4" Type="http://schemas.openxmlformats.org/officeDocument/2006/relationships/table" Target="../tables/table223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7.xml"/><Relationship Id="rId7" Type="http://schemas.openxmlformats.org/officeDocument/2006/relationships/table" Target="../tables/table23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89.bin"/><Relationship Id="rId6" Type="http://schemas.openxmlformats.org/officeDocument/2006/relationships/table" Target="../tables/table230.xml"/><Relationship Id="rId5" Type="http://schemas.openxmlformats.org/officeDocument/2006/relationships/table" Target="../tables/table229.xml"/><Relationship Id="rId4" Type="http://schemas.openxmlformats.org/officeDocument/2006/relationships/table" Target="../tables/table22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2.xml"/><Relationship Id="rId7" Type="http://schemas.openxmlformats.org/officeDocument/2006/relationships/table" Target="../tables/table236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90.bin"/><Relationship Id="rId6" Type="http://schemas.openxmlformats.org/officeDocument/2006/relationships/table" Target="../tables/table235.xml"/><Relationship Id="rId5" Type="http://schemas.openxmlformats.org/officeDocument/2006/relationships/table" Target="../tables/table234.xml"/><Relationship Id="rId4" Type="http://schemas.openxmlformats.org/officeDocument/2006/relationships/table" Target="../tables/table233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7.xml"/><Relationship Id="rId7" Type="http://schemas.openxmlformats.org/officeDocument/2006/relationships/table" Target="../tables/table24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93.bin"/><Relationship Id="rId6" Type="http://schemas.openxmlformats.org/officeDocument/2006/relationships/table" Target="../tables/table240.xml"/><Relationship Id="rId5" Type="http://schemas.openxmlformats.org/officeDocument/2006/relationships/table" Target="../tables/table239.xml"/><Relationship Id="rId4" Type="http://schemas.openxmlformats.org/officeDocument/2006/relationships/table" Target="../tables/table238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2.xml"/><Relationship Id="rId7" Type="http://schemas.openxmlformats.org/officeDocument/2006/relationships/table" Target="../tables/table246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6.bin"/><Relationship Id="rId6" Type="http://schemas.openxmlformats.org/officeDocument/2006/relationships/table" Target="../tables/table245.xml"/><Relationship Id="rId5" Type="http://schemas.openxmlformats.org/officeDocument/2006/relationships/table" Target="../tables/table244.xml"/><Relationship Id="rId4" Type="http://schemas.openxmlformats.org/officeDocument/2006/relationships/table" Target="../tables/table243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7.xml"/><Relationship Id="rId7" Type="http://schemas.openxmlformats.org/officeDocument/2006/relationships/table" Target="../tables/table25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7.bin"/><Relationship Id="rId6" Type="http://schemas.openxmlformats.org/officeDocument/2006/relationships/table" Target="../tables/table250.xml"/><Relationship Id="rId5" Type="http://schemas.openxmlformats.org/officeDocument/2006/relationships/table" Target="../tables/table249.xml"/><Relationship Id="rId4" Type="http://schemas.openxmlformats.org/officeDocument/2006/relationships/table" Target="../tables/table248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2.xml"/><Relationship Id="rId7" Type="http://schemas.openxmlformats.org/officeDocument/2006/relationships/table" Target="../tables/table256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0.bin"/><Relationship Id="rId6" Type="http://schemas.openxmlformats.org/officeDocument/2006/relationships/table" Target="../tables/table255.xml"/><Relationship Id="rId5" Type="http://schemas.openxmlformats.org/officeDocument/2006/relationships/table" Target="../tables/table254.xml"/><Relationship Id="rId4" Type="http://schemas.openxmlformats.org/officeDocument/2006/relationships/table" Target="../tables/table253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7.xml"/><Relationship Id="rId7" Type="http://schemas.openxmlformats.org/officeDocument/2006/relationships/table" Target="../tables/table2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6" Type="http://schemas.openxmlformats.org/officeDocument/2006/relationships/table" Target="../tables/table260.xml"/><Relationship Id="rId5" Type="http://schemas.openxmlformats.org/officeDocument/2006/relationships/table" Target="../tables/table259.xml"/><Relationship Id="rId4" Type="http://schemas.openxmlformats.org/officeDocument/2006/relationships/table" Target="../tables/table258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3.xml"/><Relationship Id="rId1" Type="http://schemas.openxmlformats.org/officeDocument/2006/relationships/table" Target="../tables/table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5:D54"/>
  <sheetViews>
    <sheetView workbookViewId="0"/>
  </sheetViews>
  <sheetFormatPr baseColWidth="10" defaultRowHeight="14.4" x14ac:dyDescent="0.3"/>
  <sheetData>
    <row r="5" spans="3:4" ht="26.4" x14ac:dyDescent="0.3">
      <c r="C5" s="140" t="s">
        <v>194</v>
      </c>
      <c r="D5" s="141">
        <v>0.95108999999999999</v>
      </c>
    </row>
    <row r="6" spans="3:4" ht="26.4" x14ac:dyDescent="0.3">
      <c r="C6" s="140" t="s">
        <v>200</v>
      </c>
      <c r="D6" s="141">
        <v>0.24657000000000001</v>
      </c>
    </row>
    <row r="7" spans="3:4" ht="26.4" x14ac:dyDescent="0.3">
      <c r="C7" s="140" t="s">
        <v>204</v>
      </c>
      <c r="D7" s="141">
        <v>0.90708999999999995</v>
      </c>
    </row>
    <row r="8" spans="3:4" x14ac:dyDescent="0.3">
      <c r="C8" s="140" t="s">
        <v>206</v>
      </c>
      <c r="D8" s="141">
        <v>0.74204999999999999</v>
      </c>
    </row>
    <row r="9" spans="3:4" ht="26.4" x14ac:dyDescent="0.3">
      <c r="C9" s="140" t="s">
        <v>208</v>
      </c>
      <c r="D9" s="141">
        <v>0.24657000000000001</v>
      </c>
    </row>
    <row r="10" spans="3:4" ht="26.4" x14ac:dyDescent="0.3">
      <c r="C10" s="140" t="s">
        <v>210</v>
      </c>
      <c r="D10" s="141">
        <v>0.1153</v>
      </c>
    </row>
    <row r="11" spans="3:4" ht="26.4" x14ac:dyDescent="0.3">
      <c r="C11" s="140" t="s">
        <v>212</v>
      </c>
      <c r="D11" s="141">
        <v>7.2720000000000007E-2</v>
      </c>
    </row>
    <row r="12" spans="3:4" x14ac:dyDescent="0.3">
      <c r="C12" s="140" t="s">
        <v>214</v>
      </c>
      <c r="D12" s="141">
        <v>2.0272999999999999</v>
      </c>
    </row>
    <row r="13" spans="3:4" x14ac:dyDescent="0.3">
      <c r="C13" s="140" t="s">
        <v>218</v>
      </c>
      <c r="D13" s="141">
        <v>2.6577999999999999</v>
      </c>
    </row>
    <row r="14" spans="3:4" ht="26.4" x14ac:dyDescent="0.3">
      <c r="C14" s="140" t="s">
        <v>220</v>
      </c>
      <c r="D14" s="141">
        <v>0.10559</v>
      </c>
    </row>
    <row r="15" spans="3:4" x14ac:dyDescent="0.3">
      <c r="C15" s="140" t="s">
        <v>222</v>
      </c>
      <c r="D15" s="141">
        <v>0.21121999999999999</v>
      </c>
    </row>
    <row r="16" spans="3:4" ht="26.4" x14ac:dyDescent="0.3">
      <c r="C16" s="140" t="s">
        <v>223</v>
      </c>
      <c r="D16" s="141">
        <v>1.22776</v>
      </c>
    </row>
    <row r="17" spans="3:4" ht="26.4" x14ac:dyDescent="0.3">
      <c r="C17" s="140" t="s">
        <v>224</v>
      </c>
      <c r="D17" s="141">
        <v>11.65213</v>
      </c>
    </row>
    <row r="18" spans="3:4" x14ac:dyDescent="0.3">
      <c r="C18" s="140" t="s">
        <v>226</v>
      </c>
      <c r="D18" s="141">
        <v>1.55183</v>
      </c>
    </row>
    <row r="19" spans="3:4" ht="26.4" x14ac:dyDescent="0.3">
      <c r="C19" s="140" t="s">
        <v>228</v>
      </c>
      <c r="D19" s="141">
        <v>0.85355000000000003</v>
      </c>
    </row>
    <row r="20" spans="3:4" x14ac:dyDescent="0.3">
      <c r="C20" s="140" t="s">
        <v>230</v>
      </c>
      <c r="D20" s="141">
        <v>5.28E-2</v>
      </c>
    </row>
    <row r="21" spans="3:4" x14ac:dyDescent="0.3">
      <c r="C21" s="140" t="s">
        <v>232</v>
      </c>
      <c r="D21" s="141">
        <v>1.4258999999999999</v>
      </c>
    </row>
    <row r="22" spans="3:4" x14ac:dyDescent="0.3">
      <c r="C22" s="140" t="s">
        <v>234</v>
      </c>
      <c r="D22" s="141">
        <v>1.6684000000000001</v>
      </c>
    </row>
    <row r="23" spans="3:4" x14ac:dyDescent="0.3">
      <c r="C23" s="140" t="s">
        <v>236</v>
      </c>
      <c r="D23" s="141">
        <v>2.64E-2</v>
      </c>
    </row>
    <row r="24" spans="3:4" x14ac:dyDescent="0.3">
      <c r="C24" s="140" t="s">
        <v>238</v>
      </c>
      <c r="D24" s="141">
        <v>0.10559</v>
      </c>
    </row>
    <row r="25" spans="3:4" x14ac:dyDescent="0.3">
      <c r="C25" s="140" t="s">
        <v>240</v>
      </c>
      <c r="D25" s="141">
        <v>2.9100000000000001E-2</v>
      </c>
    </row>
    <row r="26" spans="3:4" x14ac:dyDescent="0.3">
      <c r="C26" s="140" t="s">
        <v>241</v>
      </c>
      <c r="D26" s="141">
        <v>2.9584999999999999</v>
      </c>
    </row>
    <row r="27" spans="3:4" x14ac:dyDescent="0.3">
      <c r="C27" s="140" t="s">
        <v>243</v>
      </c>
      <c r="D27" s="141">
        <v>0.48935000000000001</v>
      </c>
    </row>
    <row r="28" spans="3:4" x14ac:dyDescent="0.3">
      <c r="C28" s="140" t="s">
        <v>245</v>
      </c>
      <c r="D28" s="141">
        <v>3.4439999999999998E-2</v>
      </c>
    </row>
    <row r="29" spans="3:4" x14ac:dyDescent="0.3">
      <c r="C29" s="140" t="s">
        <v>246</v>
      </c>
      <c r="D29" s="141">
        <v>2.9100000000000001E-2</v>
      </c>
    </row>
    <row r="30" spans="3:4" x14ac:dyDescent="0.3">
      <c r="C30" s="140" t="s">
        <v>247</v>
      </c>
      <c r="D30" s="141">
        <v>2.9584999999999999</v>
      </c>
    </row>
    <row r="31" spans="3:4" ht="26.4" x14ac:dyDescent="0.3">
      <c r="C31" s="140" t="s">
        <v>249</v>
      </c>
      <c r="D31" s="141">
        <v>0.22198999999999999</v>
      </c>
    </row>
    <row r="32" spans="3:4" x14ac:dyDescent="0.3">
      <c r="C32" s="140" t="s">
        <v>251</v>
      </c>
      <c r="D32" s="141">
        <v>0.10559</v>
      </c>
    </row>
    <row r="33" spans="3:4" x14ac:dyDescent="0.3">
      <c r="C33" s="140" t="s">
        <v>253</v>
      </c>
      <c r="D33" s="141">
        <v>0.73919000000000001</v>
      </c>
    </row>
    <row r="34" spans="3:4" x14ac:dyDescent="0.3">
      <c r="C34" s="140" t="s">
        <v>255</v>
      </c>
      <c r="D34" s="141">
        <v>0.73919000000000001</v>
      </c>
    </row>
    <row r="35" spans="3:4" x14ac:dyDescent="0.3">
      <c r="C35" s="140" t="s">
        <v>257</v>
      </c>
      <c r="D35" s="141">
        <v>1.5365800000000001</v>
      </c>
    </row>
    <row r="36" spans="3:4" x14ac:dyDescent="0.3">
      <c r="C36" s="140" t="s">
        <v>259</v>
      </c>
      <c r="D36" s="141">
        <v>5.8200000000000002E-2</v>
      </c>
    </row>
    <row r="37" spans="3:4" x14ac:dyDescent="0.3">
      <c r="C37" s="140" t="s">
        <v>260</v>
      </c>
      <c r="D37" s="141">
        <v>5.9540300000000004</v>
      </c>
    </row>
    <row r="38" spans="3:4" ht="26.4" x14ac:dyDescent="0.3">
      <c r="C38" s="140" t="s">
        <v>262</v>
      </c>
      <c r="D38" s="141">
        <v>0.10559</v>
      </c>
    </row>
    <row r="39" spans="3:4" ht="26.4" x14ac:dyDescent="0.3">
      <c r="C39" s="140" t="s">
        <v>264</v>
      </c>
      <c r="D39" s="141">
        <v>5.28E-2</v>
      </c>
    </row>
    <row r="40" spans="3:4" x14ac:dyDescent="0.3">
      <c r="C40" s="140" t="s">
        <v>267</v>
      </c>
      <c r="D40" s="141">
        <v>0.36958999999999997</v>
      </c>
    </row>
    <row r="41" spans="3:4" ht="26.4" x14ac:dyDescent="0.3">
      <c r="C41" s="140" t="s">
        <v>269</v>
      </c>
      <c r="D41" s="141">
        <v>0.95221999999999996</v>
      </c>
    </row>
    <row r="42" spans="3:4" x14ac:dyDescent="0.3">
      <c r="C42" s="140" t="s">
        <v>271</v>
      </c>
      <c r="D42" s="141">
        <v>0.68638999999999994</v>
      </c>
    </row>
    <row r="43" spans="3:4" x14ac:dyDescent="0.3">
      <c r="C43" s="140" t="s">
        <v>273</v>
      </c>
      <c r="D43" s="141">
        <v>0.68638999999999994</v>
      </c>
    </row>
    <row r="44" spans="3:4" x14ac:dyDescent="0.3">
      <c r="C44" s="140" t="s">
        <v>275</v>
      </c>
      <c r="D44" s="141">
        <v>0.84475</v>
      </c>
    </row>
    <row r="45" spans="3:4" x14ac:dyDescent="0.3">
      <c r="C45" s="140" t="s">
        <v>277</v>
      </c>
      <c r="D45" s="141">
        <v>0.84475</v>
      </c>
    </row>
    <row r="46" spans="3:4" x14ac:dyDescent="0.3">
      <c r="C46" s="140" t="s">
        <v>279</v>
      </c>
      <c r="D46" s="141">
        <v>1.55183</v>
      </c>
    </row>
    <row r="47" spans="3:4" x14ac:dyDescent="0.3">
      <c r="C47" s="140" t="s">
        <v>281</v>
      </c>
      <c r="D47" s="141">
        <v>5.28E-2</v>
      </c>
    </row>
    <row r="48" spans="3:4" x14ac:dyDescent="0.3">
      <c r="C48" s="140" t="s">
        <v>283</v>
      </c>
      <c r="D48" s="141">
        <v>1.6684000000000001</v>
      </c>
    </row>
    <row r="49" spans="3:4" x14ac:dyDescent="0.3">
      <c r="C49" s="140" t="s">
        <v>285</v>
      </c>
      <c r="D49" s="141">
        <v>0.73919000000000001</v>
      </c>
    </row>
    <row r="50" spans="3:4" x14ac:dyDescent="0.3">
      <c r="C50" s="140" t="s">
        <v>287</v>
      </c>
      <c r="D50" s="141">
        <v>0.73919000000000001</v>
      </c>
    </row>
    <row r="51" spans="3:4" x14ac:dyDescent="0.3">
      <c r="C51" s="140" t="s">
        <v>289</v>
      </c>
      <c r="D51" s="141">
        <v>1.9890000000000001E-2</v>
      </c>
    </row>
    <row r="52" spans="3:4" x14ac:dyDescent="0.3">
      <c r="C52" s="140" t="s">
        <v>291</v>
      </c>
      <c r="D52" s="141">
        <v>0.92625999999999997</v>
      </c>
    </row>
    <row r="53" spans="3:4" x14ac:dyDescent="0.3">
      <c r="C53" s="140" t="s">
        <v>293</v>
      </c>
      <c r="D53" s="141">
        <v>0.46035999999999999</v>
      </c>
    </row>
    <row r="54" spans="3:4" ht="26.4" x14ac:dyDescent="0.3">
      <c r="C54" s="140" t="s">
        <v>294</v>
      </c>
      <c r="D54" s="141">
        <v>1.4432400000000001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AH470"/>
  <sheetViews>
    <sheetView tabSelected="1" topLeftCell="T1" zoomScale="71" workbookViewId="0">
      <selection activeCell="AG9" sqref="AG9"/>
    </sheetView>
  </sheetViews>
  <sheetFormatPr baseColWidth="10" defaultRowHeight="13.8" outlineLevelCol="1" x14ac:dyDescent="0.3"/>
  <cols>
    <col min="1" max="1" width="11.5546875" style="142"/>
    <col min="2" max="2" width="12.44140625" style="142" customWidth="1"/>
    <col min="3" max="3" width="31.109375" style="142" customWidth="1"/>
    <col min="4" max="4" width="15.5546875" style="142" customWidth="1"/>
    <col min="5" max="5" width="16.109375" style="143" customWidth="1"/>
    <col min="6" max="7" width="11.5546875" style="142" customWidth="1" outlineLevel="1"/>
    <col min="8" max="8" width="17.44140625" style="142" customWidth="1" outlineLevel="1"/>
    <col min="9" max="9" width="11.5546875" style="142" customWidth="1" outlineLevel="1"/>
    <col min="10" max="10" width="21.109375" style="142" customWidth="1" outlineLevel="1"/>
    <col min="11" max="21" width="11.5546875" style="142" customWidth="1" outlineLevel="1"/>
    <col min="22" max="22" width="37.109375" style="142" customWidth="1" outlineLevel="1"/>
    <col min="23" max="23" width="21.109375" style="142" customWidth="1"/>
    <col min="24" max="24" width="11.5546875" style="142" customWidth="1"/>
    <col min="25" max="25" width="16.5546875" style="142" customWidth="1"/>
    <col min="26" max="26" width="14.21875" style="142" customWidth="1"/>
    <col min="27" max="27" width="15.21875" style="142" customWidth="1"/>
    <col min="28" max="28" width="12.77734375" style="142" customWidth="1"/>
    <col min="29" max="30" width="11.5546875" style="142"/>
    <col min="31" max="35" width="11.5546875" style="142" customWidth="1"/>
    <col min="36" max="36" width="10.33203125" style="142" customWidth="1"/>
    <col min="37" max="16384" width="11.5546875" style="142"/>
  </cols>
  <sheetData>
    <row r="1" spans="2:30" ht="91.8" customHeight="1" x14ac:dyDescent="0.3"/>
    <row r="2" spans="2:30" s="151" customFormat="1" ht="27.6" x14ac:dyDescent="0.3">
      <c r="B2" s="170" t="s">
        <v>181</v>
      </c>
      <c r="C2" s="170" t="s">
        <v>182</v>
      </c>
      <c r="D2" s="170" t="s">
        <v>1203</v>
      </c>
      <c r="E2" s="170" t="s">
        <v>1202</v>
      </c>
      <c r="F2" s="151" t="s">
        <v>334</v>
      </c>
      <c r="G2" s="152" t="s">
        <v>183</v>
      </c>
      <c r="H2" s="151" t="s">
        <v>184</v>
      </c>
      <c r="I2" s="151" t="s">
        <v>185</v>
      </c>
      <c r="J2" s="151" t="s">
        <v>186</v>
      </c>
      <c r="K2" s="151" t="s">
        <v>187</v>
      </c>
      <c r="L2" s="151" t="s">
        <v>188</v>
      </c>
      <c r="M2" s="151" t="s">
        <v>189</v>
      </c>
      <c r="N2" s="151" t="s">
        <v>190</v>
      </c>
      <c r="O2" s="151" t="s">
        <v>191</v>
      </c>
      <c r="P2" s="151" t="s">
        <v>8</v>
      </c>
      <c r="Q2" s="151" t="s">
        <v>147</v>
      </c>
      <c r="R2" s="151" t="s">
        <v>351</v>
      </c>
      <c r="S2" s="151" t="s">
        <v>306</v>
      </c>
      <c r="T2" s="151" t="s">
        <v>193</v>
      </c>
      <c r="U2" s="151" t="s">
        <v>325</v>
      </c>
      <c r="V2" s="151" t="s">
        <v>330</v>
      </c>
      <c r="W2" s="151" t="s">
        <v>1214</v>
      </c>
      <c r="X2" s="151" t="s">
        <v>1216</v>
      </c>
      <c r="Y2" s="151" t="s">
        <v>1215</v>
      </c>
      <c r="Z2" s="151" t="s">
        <v>335</v>
      </c>
      <c r="AA2" s="151" t="s">
        <v>336</v>
      </c>
      <c r="AB2" s="151" t="s">
        <v>337</v>
      </c>
      <c r="AC2" s="151" t="s">
        <v>338</v>
      </c>
      <c r="AD2" s="151" t="s">
        <v>339</v>
      </c>
    </row>
    <row r="3" spans="2:30" x14ac:dyDescent="0.3">
      <c r="B3" s="172" t="s">
        <v>200</v>
      </c>
      <c r="C3" s="145" t="s">
        <v>201</v>
      </c>
      <c r="D3" s="145" t="s">
        <v>1204</v>
      </c>
      <c r="E3" s="145">
        <v>1</v>
      </c>
      <c r="F3" s="142" t="s">
        <v>202</v>
      </c>
      <c r="G3" s="149">
        <v>1124286</v>
      </c>
      <c r="H3" s="142" t="s">
        <v>202</v>
      </c>
      <c r="I3" s="142" t="s">
        <v>202</v>
      </c>
      <c r="J3" s="142" t="s">
        <v>196</v>
      </c>
      <c r="K3" s="142" t="s">
        <v>203</v>
      </c>
      <c r="L3" s="142">
        <v>1</v>
      </c>
      <c r="M3" s="142">
        <v>2</v>
      </c>
      <c r="N3" s="142">
        <v>40</v>
      </c>
      <c r="O3" s="150" t="s">
        <v>195</v>
      </c>
      <c r="P3" s="142" t="s">
        <v>198</v>
      </c>
      <c r="Q3" s="142" t="s">
        <v>199</v>
      </c>
      <c r="S3" s="142" t="s">
        <v>195</v>
      </c>
      <c r="T3" s="142" t="s">
        <v>327</v>
      </c>
      <c r="U3" s="142">
        <v>2</v>
      </c>
      <c r="W3" s="148">
        <v>200</v>
      </c>
      <c r="X3" s="148">
        <f>IFERROR(Datos[[#This Row],[ARIBA PRECIO POR MILLAR (Dólares)]]/1000*Datos[[#This Row],[DEMANDA ANUAL]],"")</f>
        <v>224857.2</v>
      </c>
      <c r="Y3" s="153">
        <f>IFERROR((Datos[[#This Row],[INGRESO PRECIO ARIBA]]-Datos[[#This Row],[Costos Totales (Norwork)]])/Datos[[#This Row],[INGRESO PRECIO ARIBA]],"")</f>
        <v>4.7171260999737952E-2</v>
      </c>
      <c r="Z3" s="148">
        <f>IFERROR(IF(Datos[[#This Row],[CON ETIQUETA]]="No",VALORHOJA(Datos[[#This Row],[NP]],$B$44),VALORHOJA(Datos[[#This Row],[NP]],$D$44)),"")</f>
        <v>272.2367825715034</v>
      </c>
      <c r="AA3" s="148">
        <f>IFERROR(IF(Datos[[#This Row],[Precio / Millar (Norwork)]]&lt;&gt;"",PRODUCT(Datos[[#This Row],[Precio / Millar (Norwork)]]/1000,Datos[[#This Row],[DEMANDA ANUAL]]),""),"")</f>
        <v>306072.00333018531</v>
      </c>
      <c r="AB3" s="155">
        <f>IFERROR(IF(Datos[[#This Row],[CON ETIQUETA]]="No",VALORHOJA(Datos[[#This Row],[NP]],$B$63)/VALORHOJA(Datos[[#This Row],[NP]],$B$42),VALORHOJA(Datos[[#This Row],[NP]],$D$63)/VALORHOJA(Datos[[#This Row],[NP]],$D$42)),"")</f>
        <v>214250.40233112974</v>
      </c>
      <c r="AC3" s="148">
        <f>IFERROR(IF(Datos[[#This Row],[Precio / Millar (Norwork)]]&lt;&gt;"",SUM(Datos[[#This Row],[Ingresos Totales (Norwork)]],-Datos[[#This Row],[Costos Totales (Norwork)]]),""),"")</f>
        <v>91821.600999055576</v>
      </c>
      <c r="AD3" s="153">
        <f>IFERROR(Datos[[#This Row],[Beneficio (Norwork)]]/Datos[[#This Row],[Ingresos Totales (Norwork)]],"")</f>
        <v>0.29999999999999993</v>
      </c>
    </row>
    <row r="4" spans="2:30" x14ac:dyDescent="0.3">
      <c r="B4" s="173" t="s">
        <v>236</v>
      </c>
      <c r="C4" s="145" t="s">
        <v>237</v>
      </c>
      <c r="D4" s="145" t="s">
        <v>1204</v>
      </c>
      <c r="E4" s="145">
        <v>1</v>
      </c>
      <c r="F4" s="142" t="s">
        <v>202</v>
      </c>
      <c r="G4" s="149">
        <v>1052718</v>
      </c>
      <c r="H4" s="142" t="s">
        <v>202</v>
      </c>
      <c r="I4" s="142" t="s">
        <v>202</v>
      </c>
      <c r="J4" s="142" t="s">
        <v>207</v>
      </c>
      <c r="K4" s="142" t="s">
        <v>203</v>
      </c>
      <c r="L4" s="142">
        <v>1</v>
      </c>
      <c r="M4" s="142">
        <v>2</v>
      </c>
      <c r="N4" s="142">
        <v>2</v>
      </c>
      <c r="O4" s="142" t="s">
        <v>202</v>
      </c>
      <c r="P4" s="142" t="s">
        <v>198</v>
      </c>
      <c r="Q4" s="142" t="s">
        <v>199</v>
      </c>
      <c r="S4" s="142" t="s">
        <v>195</v>
      </c>
      <c r="T4" s="142" t="s">
        <v>326</v>
      </c>
      <c r="U4" s="142">
        <v>1</v>
      </c>
      <c r="W4" s="148">
        <v>18</v>
      </c>
      <c r="X4" s="148">
        <f>IFERROR(Datos[[#This Row],[ARIBA PRECIO POR MILLAR (Dólares)]]/1000*Datos[[#This Row],[DEMANDA ANUAL]],"")</f>
        <v>18948.923999999999</v>
      </c>
      <c r="Y4" s="153">
        <f>IFERROR((Datos[[#This Row],[INGRESO PRECIO ARIBA]]-Datos[[#This Row],[Costos Totales (Norwork)]])/Datos[[#This Row],[INGRESO PRECIO ARIBA]],"")</f>
        <v>0.26223893862816272</v>
      </c>
      <c r="Z4" s="148">
        <f>IFERROR(IF(Datos[[#This Row],[CON ETIQUETA]]="No",VALORHOJA(Datos[[#This Row],[NP]],$B$44),VALORHOJA(Datos[[#This Row],[NP]],$D$44)),"")</f>
        <v>18.970998720990099</v>
      </c>
      <c r="AA4" s="148">
        <f>IFERROR(IF(Datos[[#This Row],[Precio / Millar (Norwork)]]&lt;&gt;"",PRODUCT(Datos[[#This Row],[Precio / Millar (Norwork)]]/1000,Datos[[#This Row],[DEMANDA ANUAL]]),""),"")</f>
        <v>19971.111831563256</v>
      </c>
      <c r="AB4" s="155">
        <f>IFERROR(IF(Datos[[#This Row],[CON ETIQUETA]]="No",VALORHOJA(Datos[[#This Row],[NP]],$B$63)/VALORHOJA(Datos[[#This Row],[NP]],$B$42),VALORHOJA(Datos[[#This Row],[NP]],$D$63)/VALORHOJA(Datos[[#This Row],[NP]],$D$42)),"")</f>
        <v>13979.778282094279</v>
      </c>
      <c r="AC4" s="148">
        <f>IFERROR(IF(Datos[[#This Row],[Precio / Millar (Norwork)]]&lt;&gt;"",SUM(Datos[[#This Row],[Ingresos Totales (Norwork)]],-Datos[[#This Row],[Costos Totales (Norwork)]]),""),"")</f>
        <v>5991.3335494689763</v>
      </c>
      <c r="AD4" s="153">
        <f>IFERROR(Datos[[#This Row],[Beneficio (Norwork)]]/Datos[[#This Row],[Ingresos Totales (Norwork)]],"")</f>
        <v>0.3</v>
      </c>
    </row>
    <row r="5" spans="2:30" x14ac:dyDescent="0.3">
      <c r="B5" s="174" t="s">
        <v>210</v>
      </c>
      <c r="C5" s="145" t="s">
        <v>211</v>
      </c>
      <c r="D5" s="145" t="s">
        <v>1204</v>
      </c>
      <c r="E5" s="145">
        <v>1</v>
      </c>
      <c r="F5" s="145" t="s">
        <v>202</v>
      </c>
      <c r="G5" s="149">
        <v>659475</v>
      </c>
      <c r="H5" s="145" t="s">
        <v>202</v>
      </c>
      <c r="I5" s="145" t="s">
        <v>202</v>
      </c>
      <c r="J5" s="145" t="s">
        <v>346</v>
      </c>
      <c r="K5" s="145" t="s">
        <v>203</v>
      </c>
      <c r="L5" s="145">
        <v>1</v>
      </c>
      <c r="M5" s="145">
        <v>2</v>
      </c>
      <c r="N5" s="145">
        <v>16</v>
      </c>
      <c r="O5" s="145" t="s">
        <v>195</v>
      </c>
      <c r="P5" s="145" t="s">
        <v>198</v>
      </c>
      <c r="Q5" s="145"/>
      <c r="R5" s="145"/>
      <c r="S5" s="142" t="s">
        <v>195</v>
      </c>
      <c r="T5" s="145" t="s">
        <v>1207</v>
      </c>
      <c r="U5" s="145">
        <v>1</v>
      </c>
      <c r="V5" s="145"/>
      <c r="W5" s="148">
        <v>55</v>
      </c>
      <c r="X5" s="148">
        <f>IFERROR(Datos[[#This Row],[ARIBA PRECIO POR MILLAR (Dólares)]]/1000*Datos[[#This Row],[DEMANDA ANUAL]],"")</f>
        <v>36271.125</v>
      </c>
      <c r="Y5" s="153">
        <f>IFERROR((Datos[[#This Row],[INGRESO PRECIO ARIBA]]-Datos[[#This Row],[Costos Totales (Norwork)]])/Datos[[#This Row],[INGRESO PRECIO ARIBA]],"")</f>
        <v>0.3241802818177314</v>
      </c>
      <c r="Z5" s="148">
        <f>IFERROR(IF(Datos[[#This Row],[CON ETIQUETA]]="No",VALORHOJA(Datos[[#This Row],[NP]],$B$44),VALORHOJA(Datos[[#This Row],[NP]],$D$44)),"")</f>
        <v>67.581971818226862</v>
      </c>
      <c r="AA5" s="148">
        <f>IFERROR(IF(Datos[[#This Row],[Precio / Millar (Norwork)]]&lt;&gt;"",PRODUCT(Datos[[#This Row],[Precio / Millar (Norwork)]]/1000,Datos[[#This Row],[DEMANDA ANUAL]]),""),"")</f>
        <v>44568.620864825163</v>
      </c>
      <c r="AB5" s="155">
        <f>IFERROR(IF(Datos[[#This Row],[CON ETIQUETA]]="No",VALORHOJA(Datos[[#This Row],[NP]],$B$63)/VALORHOJA(Datos[[#This Row],[NP]],$B$42),VALORHOJA(Datos[[#This Row],[NP]],$D$63)/VALORHOJA(Datos[[#This Row],[NP]],$D$42)),"")</f>
        <v>24512.741475653838</v>
      </c>
      <c r="AC5" s="148">
        <f>IFERROR(IF(Datos[[#This Row],[Precio / Millar (Norwork)]]&lt;&gt;"",SUM(Datos[[#This Row],[Ingresos Totales (Norwork)]],-Datos[[#This Row],[Costos Totales (Norwork)]]),""),"")</f>
        <v>20055.879389171325</v>
      </c>
      <c r="AD5" s="153">
        <f>IFERROR(Datos[[#This Row],[Beneficio (Norwork)]]/Datos[[#This Row],[Ingresos Totales (Norwork)]],"")</f>
        <v>0.45</v>
      </c>
    </row>
    <row r="6" spans="2:30" x14ac:dyDescent="0.3">
      <c r="B6" s="145" t="s">
        <v>378</v>
      </c>
      <c r="C6" s="176" t="s">
        <v>807</v>
      </c>
      <c r="D6" s="176" t="s">
        <v>1204</v>
      </c>
      <c r="E6" s="145">
        <v>2</v>
      </c>
      <c r="F6" s="148" t="s">
        <v>195</v>
      </c>
      <c r="G6" s="149">
        <v>651902</v>
      </c>
      <c r="H6" s="144"/>
      <c r="W6" s="148" t="s">
        <v>298</v>
      </c>
      <c r="X6" s="148" t="str">
        <f>IFERROR(Datos[[#This Row],[ARIBA PRECIO POR MILLAR (Dólares)]]/1000*Datos[[#This Row],[DEMANDA ANUAL]],"")</f>
        <v/>
      </c>
      <c r="Y6" s="153" t="str">
        <f>IFERROR((Datos[[#This Row],[INGRESO PRECIO ARIBA]]-Datos[[#This Row],[Costos Totales (Norwork)]])/Datos[[#This Row],[INGRESO PRECIO ARIBA]],"")</f>
        <v/>
      </c>
      <c r="Z6" s="148" t="str">
        <f>IFERROR(IF(Datos[[#This Row],[CON ETIQUETA]]="No",VALORHOJA(Datos[[#This Row],[NP]],$B$44),VALORHOJA(Datos[[#This Row],[NP]],$D$44)),"")</f>
        <v/>
      </c>
      <c r="AA6" s="148" t="str">
        <f>IFERROR(IF(Datos[[#This Row],[Precio / Millar (Norwork)]]&lt;&gt;"",PRODUCT(Datos[[#This Row],[Precio / Millar (Norwork)]]/1000,Datos[[#This Row],[DEMANDA ANUAL]]),""),"")</f>
        <v/>
      </c>
      <c r="AB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6" s="148" t="str">
        <f>IFERROR(IF(Datos[[#This Row],[Precio / Millar (Norwork)]]&lt;&gt;"",SUM(Datos[[#This Row],[Ingresos Totales (Norwork)]],-Datos[[#This Row],[Costos Totales (Norwork)]]),""),"")</f>
        <v/>
      </c>
      <c r="AD6" s="153" t="str">
        <f>IFERROR(Datos[[#This Row],[Beneficio (Norwork)]]/Datos[[#This Row],[Ingresos Totales (Norwork)]],"")</f>
        <v/>
      </c>
    </row>
    <row r="7" spans="2:30" x14ac:dyDescent="0.3">
      <c r="B7" s="174" t="s">
        <v>212</v>
      </c>
      <c r="C7" s="145" t="s">
        <v>213</v>
      </c>
      <c r="D7" s="145" t="s">
        <v>1204</v>
      </c>
      <c r="E7" s="145">
        <v>1</v>
      </c>
      <c r="F7" s="145" t="s">
        <v>202</v>
      </c>
      <c r="G7" s="149">
        <v>648001</v>
      </c>
      <c r="H7" s="145" t="s">
        <v>202</v>
      </c>
      <c r="I7" s="145" t="s">
        <v>202</v>
      </c>
      <c r="J7" s="145" t="s">
        <v>290</v>
      </c>
      <c r="K7" s="145" t="s">
        <v>203</v>
      </c>
      <c r="L7" s="145">
        <v>1</v>
      </c>
      <c r="M7" s="145">
        <v>2</v>
      </c>
      <c r="N7" s="145">
        <v>12</v>
      </c>
      <c r="O7" s="145" t="s">
        <v>195</v>
      </c>
      <c r="P7" s="145" t="s">
        <v>198</v>
      </c>
      <c r="Q7" s="145"/>
      <c r="R7" s="145"/>
      <c r="S7" s="142" t="s">
        <v>195</v>
      </c>
      <c r="T7" s="145" t="s">
        <v>1206</v>
      </c>
      <c r="U7" s="145">
        <v>1</v>
      </c>
      <c r="V7" s="145"/>
      <c r="W7" s="148">
        <v>55</v>
      </c>
      <c r="X7" s="148">
        <f>IFERROR(Datos[[#This Row],[ARIBA PRECIO POR MILLAR (Dólares)]]/1000*Datos[[#This Row],[DEMANDA ANUAL]],"")</f>
        <v>35640.055</v>
      </c>
      <c r="Y7" s="153">
        <f>IFERROR((Datos[[#This Row],[INGRESO PRECIO ARIBA]]-Datos[[#This Row],[Costos Totales (Norwork)]])/Datos[[#This Row],[INGRESO PRECIO ARIBA]],"")</f>
        <v>-5.1922535638541732E-2</v>
      </c>
      <c r="Z7" s="148">
        <f>IFERROR(IF(Datos[[#This Row],[CON ETIQUETA]]="No",VALORHOJA(Datos[[#This Row],[NP]],$B$44),VALORHOJA(Datos[[#This Row],[NP]],$D$44)),"")</f>
        <v>82.651056371599722</v>
      </c>
      <c r="AA7" s="148">
        <f>IFERROR(IF(Datos[[#This Row],[Precio / Millar (Norwork)]]&lt;&gt;"",PRODUCT(Datos[[#This Row],[Precio / Millar (Norwork)]]/1000,Datos[[#This Row],[DEMANDA ANUAL]]),""),"")</f>
        <v>53557.967179852996</v>
      </c>
      <c r="AB7" s="155">
        <f>IFERROR(IF(Datos[[#This Row],[CON ETIQUETA]]="No",VALORHOJA(Datos[[#This Row],[NP]],$B$63)/VALORHOJA(Datos[[#This Row],[NP]],$B$42),VALORHOJA(Datos[[#This Row],[NP]],$D$63)/VALORHOJA(Datos[[#This Row],[NP]],$D$42)),"")</f>
        <v>37490.577025897088</v>
      </c>
      <c r="AC7" s="148">
        <f>IFERROR(IF(Datos[[#This Row],[Precio / Millar (Norwork)]]&lt;&gt;"",SUM(Datos[[#This Row],[Ingresos Totales (Norwork)]],-Datos[[#This Row],[Costos Totales (Norwork)]]),""),"")</f>
        <v>16067.390153955908</v>
      </c>
      <c r="AD7" s="153">
        <f>IFERROR(Datos[[#This Row],[Beneficio (Norwork)]]/Datos[[#This Row],[Ingresos Totales (Norwork)]],"")</f>
        <v>0.30000000000000016</v>
      </c>
    </row>
    <row r="8" spans="2:30" ht="14.4" x14ac:dyDescent="0.3">
      <c r="B8" s="180" t="s">
        <v>385</v>
      </c>
      <c r="C8" s="176" t="s">
        <v>813</v>
      </c>
      <c r="D8" s="176" t="s">
        <v>1205</v>
      </c>
      <c r="E8" s="145">
        <v>1</v>
      </c>
      <c r="F8" s="148" t="s">
        <v>202</v>
      </c>
      <c r="G8" s="149">
        <v>646440</v>
      </c>
      <c r="H8" s="144" t="s">
        <v>202</v>
      </c>
      <c r="I8" s="142" t="s">
        <v>202</v>
      </c>
      <c r="J8" s="142" t="s">
        <v>290</v>
      </c>
      <c r="K8" s="142" t="s">
        <v>203</v>
      </c>
      <c r="L8" s="142">
        <v>1</v>
      </c>
      <c r="M8" s="142">
        <v>2</v>
      </c>
      <c r="N8" s="142">
        <v>2</v>
      </c>
      <c r="O8" s="142" t="s">
        <v>195</v>
      </c>
      <c r="P8" s="142" t="s">
        <v>198</v>
      </c>
      <c r="Q8" s="142" t="s">
        <v>199</v>
      </c>
      <c r="S8" s="142" t="s">
        <v>195</v>
      </c>
      <c r="T8" s="142" t="s">
        <v>1206</v>
      </c>
      <c r="U8" s="142">
        <v>2</v>
      </c>
      <c r="W8" s="148" t="s">
        <v>298</v>
      </c>
      <c r="X8" s="148" t="str">
        <f>IFERROR(Datos[[#This Row],[ARIBA PRECIO POR MILLAR (Dólares)]]/1000*Datos[[#This Row],[DEMANDA ANUAL]],"")</f>
        <v/>
      </c>
      <c r="Y8" s="153" t="str">
        <f>IFERROR((Datos[[#This Row],[INGRESO PRECIO ARIBA]]-Datos[[#This Row],[Costos Totales (Norwork)]])/Datos[[#This Row],[INGRESO PRECIO ARIBA]],"")</f>
        <v/>
      </c>
      <c r="Z8" s="148">
        <f>IFERROR(IF(Datos[[#This Row],[CON ETIQUETA]]="No",VALORHOJA(Datos[[#This Row],[NP]],$B$44),VALORHOJA(Datos[[#This Row],[NP]],$D$44)),"")</f>
        <v>32.722577051259996</v>
      </c>
      <c r="AA8" s="148">
        <f>IFERROR(IF(Datos[[#This Row],[Precio / Millar (Norwork)]]&lt;&gt;"",PRODUCT(Datos[[#This Row],[Precio / Millar (Norwork)]]/1000,Datos[[#This Row],[DEMANDA ANUAL]]),""),"")</f>
        <v>21153.182709016513</v>
      </c>
      <c r="AB8" s="155">
        <f>IFERROR(IF(Datos[[#This Row],[CON ETIQUETA]]="No",VALORHOJA(Datos[[#This Row],[NP]],$B$63)/VALORHOJA(Datos[[#This Row],[NP]],$B$42),VALORHOJA(Datos[[#This Row],[NP]],$D$63)/VALORHOJA(Datos[[#This Row],[NP]],$D$42)),"")</f>
        <v>14807.227896311559</v>
      </c>
      <c r="AC8" s="148">
        <f>IFERROR(IF(Datos[[#This Row],[Precio / Millar (Norwork)]]&lt;&gt;"",SUM(Datos[[#This Row],[Ingresos Totales (Norwork)]],-Datos[[#This Row],[Costos Totales (Norwork)]]),""),"")</f>
        <v>6345.9548127049547</v>
      </c>
      <c r="AD8" s="153">
        <f>IFERROR(Datos[[#This Row],[Beneficio (Norwork)]]/Datos[[#This Row],[Ingresos Totales (Norwork)]],"")</f>
        <v>0.30000000000000004</v>
      </c>
    </row>
    <row r="9" spans="2:30" x14ac:dyDescent="0.3">
      <c r="B9" s="172" t="s">
        <v>208</v>
      </c>
      <c r="C9" s="145" t="s">
        <v>209</v>
      </c>
      <c r="D9" s="145" t="s">
        <v>1204</v>
      </c>
      <c r="E9" s="145">
        <v>1</v>
      </c>
      <c r="F9" s="145" t="s">
        <v>202</v>
      </c>
      <c r="G9" s="149">
        <v>468076</v>
      </c>
      <c r="H9" s="145" t="s">
        <v>202</v>
      </c>
      <c r="I9" s="145" t="s">
        <v>202</v>
      </c>
      <c r="J9" s="145" t="s">
        <v>196</v>
      </c>
      <c r="K9" s="145" t="s">
        <v>203</v>
      </c>
      <c r="L9" s="145">
        <v>1</v>
      </c>
      <c r="M9" s="145">
        <v>2</v>
      </c>
      <c r="N9" s="145">
        <v>40</v>
      </c>
      <c r="O9" s="145" t="s">
        <v>195</v>
      </c>
      <c r="P9" s="145" t="s">
        <v>342</v>
      </c>
      <c r="Q9" s="145"/>
      <c r="R9" s="145"/>
      <c r="S9" s="142" t="s">
        <v>195</v>
      </c>
      <c r="T9" s="142" t="s">
        <v>327</v>
      </c>
      <c r="U9" s="142">
        <v>2</v>
      </c>
      <c r="V9" s="145"/>
      <c r="W9" s="148">
        <v>210</v>
      </c>
      <c r="X9" s="148">
        <f>IFERROR(Datos[[#This Row],[ARIBA PRECIO POR MILLAR (Dólares)]]/1000*Datos[[#This Row],[DEMANDA ANUAL]],"")</f>
        <v>98295.959999999992</v>
      </c>
      <c r="Y9" s="153">
        <f>IFERROR((Datos[[#This Row],[INGRESO PRECIO ARIBA]]-Datos[[#This Row],[Costos Totales (Norwork)]])/Datos[[#This Row],[INGRESO PRECIO ARIBA]],"")</f>
        <v>8.3276083216447735E-2</v>
      </c>
      <c r="Z9" s="148">
        <f>IFERROR(IF(Datos[[#This Row],[CON ETIQUETA]]="No",VALORHOJA(Datos[[#This Row],[NP]],$B$44),VALORHOJA(Datos[[#This Row],[NP]],$D$44)),"")</f>
        <v>290.58418494271086</v>
      </c>
      <c r="AA9" s="148">
        <f>IFERROR(IF(Datos[[#This Row],[Precio / Millar (Norwork)]]&lt;&gt;"",PRODUCT(Datos[[#This Row],[Precio / Millar (Norwork)]]/1000,Datos[[#This Row],[DEMANDA ANUAL]]),""),"")</f>
        <v>136015.48295124434</v>
      </c>
      <c r="AB9" s="155">
        <f>IFERROR(IF(Datos[[#This Row],[CON ETIQUETA]]="No",VALORHOJA(Datos[[#This Row],[NP]],$B$63)/VALORHOJA(Datos[[#This Row],[NP]],$B$42),VALORHOJA(Datos[[#This Row],[NP]],$D$63)/VALORHOJA(Datos[[#This Row],[NP]],$D$42)),"")</f>
        <v>90110.257455199375</v>
      </c>
      <c r="AC9" s="148">
        <f>IFERROR(IF(Datos[[#This Row],[Precio / Millar (Norwork)]]&lt;&gt;"",SUM(Datos[[#This Row],[Ingresos Totales (Norwork)]],-Datos[[#This Row],[Costos Totales (Norwork)]]),""),"")</f>
        <v>45905.225496044965</v>
      </c>
      <c r="AD9" s="153">
        <f>IFERROR(Datos[[#This Row],[Beneficio (Norwork)]]/Datos[[#This Row],[Ingresos Totales (Norwork)]],"")</f>
        <v>0.33750000000000002</v>
      </c>
    </row>
    <row r="10" spans="2:30" x14ac:dyDescent="0.3">
      <c r="B10" s="173" t="s">
        <v>230</v>
      </c>
      <c r="C10" s="145" t="s">
        <v>231</v>
      </c>
      <c r="D10" s="145" t="s">
        <v>1204</v>
      </c>
      <c r="E10" s="145">
        <v>1</v>
      </c>
      <c r="F10" s="142" t="s">
        <v>202</v>
      </c>
      <c r="G10" s="149">
        <v>410761</v>
      </c>
      <c r="H10" s="142" t="s">
        <v>202</v>
      </c>
      <c r="I10" s="142" t="s">
        <v>202</v>
      </c>
      <c r="J10" s="142" t="s">
        <v>207</v>
      </c>
      <c r="K10" s="142" t="s">
        <v>203</v>
      </c>
      <c r="L10" s="142">
        <v>1</v>
      </c>
      <c r="M10" s="142">
        <v>2</v>
      </c>
      <c r="N10" s="142">
        <v>4</v>
      </c>
      <c r="O10" s="142" t="s">
        <v>195</v>
      </c>
      <c r="P10" s="142" t="s">
        <v>198</v>
      </c>
      <c r="Q10" s="142" t="s">
        <v>199</v>
      </c>
      <c r="S10" s="142" t="s">
        <v>195</v>
      </c>
      <c r="T10" s="142" t="s">
        <v>326</v>
      </c>
      <c r="U10" s="142">
        <v>3</v>
      </c>
      <c r="W10" s="148">
        <v>35</v>
      </c>
      <c r="X10" s="148">
        <f>IFERROR(Datos[[#This Row],[ARIBA PRECIO POR MILLAR (Dólares)]]/1000*Datos[[#This Row],[DEMANDA ANUAL]],"")</f>
        <v>14376.635000000002</v>
      </c>
      <c r="Y10" s="153">
        <f>IFERROR((Datos[[#This Row],[INGRESO PRECIO ARIBA]]-Datos[[#This Row],[Costos Totales (Norwork)]])/Datos[[#This Row],[INGRESO PRECIO ARIBA]],"")</f>
        <v>-0.20990143691412111</v>
      </c>
      <c r="Z10" s="148">
        <f>IFERROR(IF(Datos[[#This Row],[CON ETIQUETA]]="No",VALORHOJA(Datos[[#This Row],[NP]],$B$44),VALORHOJA(Datos[[#This Row],[NP]],$D$44)),"")</f>
        <v>60.49507184570605</v>
      </c>
      <c r="AA10" s="148">
        <f>IFERROR(IF(Datos[[#This Row],[Precio / Millar (Norwork)]]&lt;&gt;"",PRODUCT(Datos[[#This Row],[Precio / Millar (Norwork)]]/1000,Datos[[#This Row],[DEMANDA ANUAL]]),""),"")</f>
        <v>24849.016206414064</v>
      </c>
      <c r="AB10" s="155">
        <f>IFERROR(IF(Datos[[#This Row],[CON ETIQUETA]]="No",VALORHOJA(Datos[[#This Row],[NP]],$B$63)/VALORHOJA(Datos[[#This Row],[NP]],$B$42),VALORHOJA(Datos[[#This Row],[NP]],$D$63)/VALORHOJA(Datos[[#This Row],[NP]],$D$42)),"")</f>
        <v>17394.311344489848</v>
      </c>
      <c r="AC10" s="148">
        <f>IFERROR(IF(Datos[[#This Row],[Precio / Millar (Norwork)]]&lt;&gt;"",SUM(Datos[[#This Row],[Ingresos Totales (Norwork)]],-Datos[[#This Row],[Costos Totales (Norwork)]]),""),"")</f>
        <v>7454.7048619242159</v>
      </c>
      <c r="AD10" s="153">
        <f>IFERROR(Datos[[#This Row],[Beneficio (Norwork)]]/Datos[[#This Row],[Ingresos Totales (Norwork)]],"")</f>
        <v>0.29999999999999988</v>
      </c>
    </row>
    <row r="11" spans="2:30" x14ac:dyDescent="0.3">
      <c r="B11" s="173" t="s">
        <v>220</v>
      </c>
      <c r="C11" s="145" t="s">
        <v>221</v>
      </c>
      <c r="D11" s="145" t="s">
        <v>1204</v>
      </c>
      <c r="E11" s="145">
        <v>1</v>
      </c>
      <c r="F11" s="145" t="s">
        <v>202</v>
      </c>
      <c r="G11" s="149">
        <v>385077</v>
      </c>
      <c r="H11" s="145" t="s">
        <v>202</v>
      </c>
      <c r="I11" s="145" t="s">
        <v>202</v>
      </c>
      <c r="J11" s="145" t="s">
        <v>207</v>
      </c>
      <c r="K11" s="145" t="s">
        <v>203</v>
      </c>
      <c r="L11" s="145">
        <v>1</v>
      </c>
      <c r="M11" s="145">
        <v>2</v>
      </c>
      <c r="N11" s="145">
        <v>8</v>
      </c>
      <c r="O11" s="145" t="s">
        <v>195</v>
      </c>
      <c r="P11" s="145" t="s">
        <v>198</v>
      </c>
      <c r="Q11" s="145"/>
      <c r="R11" s="145"/>
      <c r="S11" s="142" t="s">
        <v>195</v>
      </c>
      <c r="T11" s="145" t="s">
        <v>326</v>
      </c>
      <c r="U11" s="145">
        <v>4</v>
      </c>
      <c r="V11" s="145"/>
      <c r="W11" s="148">
        <v>70</v>
      </c>
      <c r="X11" s="148">
        <f>IFERROR(Datos[[#This Row],[ARIBA PRECIO POR MILLAR (Dólares)]]/1000*Datos[[#This Row],[DEMANDA ANUAL]],"")</f>
        <v>26955.390000000003</v>
      </c>
      <c r="Y11" s="153">
        <f>IFERROR((Datos[[#This Row],[INGRESO PRECIO ARIBA]]-Datos[[#This Row],[Costos Totales (Norwork)]])/Datos[[#This Row],[INGRESO PRECIO ARIBA]],"")</f>
        <v>-2.7647526031815715E-2</v>
      </c>
      <c r="Z11" s="148">
        <f>IFERROR(IF(Datos[[#This Row],[CON ETIQUETA]]="No",VALORHOJA(Datos[[#This Row],[NP]],$B$44),VALORHOJA(Datos[[#This Row],[NP]],$D$44)),"")</f>
        <v>102.76475260318158</v>
      </c>
      <c r="AA11" s="148">
        <f>IFERROR(IF(Datos[[#This Row],[Precio / Millar (Norwork)]]&lt;&gt;"",PRODUCT(Datos[[#This Row],[Precio / Millar (Norwork)]]/1000,Datos[[#This Row],[DEMANDA ANUAL]]),""),"")</f>
        <v>39572.342638175352</v>
      </c>
      <c r="AB11" s="155">
        <f>IFERROR(IF(Datos[[#This Row],[CON ETIQUETA]]="No",VALORHOJA(Datos[[#This Row],[NP]],$B$63)/VALORHOJA(Datos[[#This Row],[NP]],$B$42),VALORHOJA(Datos[[#This Row],[NP]],$D$63)/VALORHOJA(Datos[[#This Row],[NP]],$D$42)),"")</f>
        <v>27700.639846722748</v>
      </c>
      <c r="AC11" s="148">
        <f>IFERROR(IF(Datos[[#This Row],[Precio / Millar (Norwork)]]&lt;&gt;"",SUM(Datos[[#This Row],[Ingresos Totales (Norwork)]],-Datos[[#This Row],[Costos Totales (Norwork)]]),""),"")</f>
        <v>11871.702791452604</v>
      </c>
      <c r="AD11" s="153">
        <f>IFERROR(Datos[[#This Row],[Beneficio (Norwork)]]/Datos[[#This Row],[Ingresos Totales (Norwork)]],"")</f>
        <v>0.3</v>
      </c>
    </row>
    <row r="12" spans="2:30" x14ac:dyDescent="0.3">
      <c r="B12" s="173" t="s">
        <v>238</v>
      </c>
      <c r="C12" s="145" t="s">
        <v>239</v>
      </c>
      <c r="D12" s="145" t="s">
        <v>1204</v>
      </c>
      <c r="E12" s="145">
        <v>1</v>
      </c>
      <c r="F12" s="142" t="s">
        <v>202</v>
      </c>
      <c r="G12" s="149">
        <v>280277</v>
      </c>
      <c r="H12" s="142" t="s">
        <v>202</v>
      </c>
      <c r="I12" s="142" t="s">
        <v>202</v>
      </c>
      <c r="J12" s="142" t="s">
        <v>207</v>
      </c>
      <c r="K12" s="142" t="s">
        <v>203</v>
      </c>
      <c r="L12" s="142">
        <v>1</v>
      </c>
      <c r="M12" s="142">
        <v>2</v>
      </c>
      <c r="N12" s="142">
        <v>8</v>
      </c>
      <c r="O12" s="142" t="s">
        <v>195</v>
      </c>
      <c r="P12" s="142" t="s">
        <v>198</v>
      </c>
      <c r="Q12" s="142" t="s">
        <v>199</v>
      </c>
      <c r="S12" s="142" t="s">
        <v>195</v>
      </c>
      <c r="T12" s="142" t="s">
        <v>326</v>
      </c>
      <c r="U12" s="142">
        <v>4</v>
      </c>
      <c r="W12" s="148">
        <v>78</v>
      </c>
      <c r="X12" s="148">
        <f>IFERROR(Datos[[#This Row],[ARIBA PRECIO POR MILLAR (Dólares)]]/1000*Datos[[#This Row],[DEMANDA ANUAL]],"")</f>
        <v>21861.606</v>
      </c>
      <c r="Y12" s="153">
        <f>IFERROR((Datos[[#This Row],[INGRESO PRECIO ARIBA]]-Datos[[#This Row],[Costos Totales (Norwork)]])/Datos[[#This Row],[INGRESO PRECIO ARIBA]],"")</f>
        <v>7.7459009990318115E-2</v>
      </c>
      <c r="Z12" s="148">
        <f>IFERROR(IF(Datos[[#This Row],[CON ETIQUETA]]="No",VALORHOJA(Datos[[#This Row],[NP]],$B$44),VALORHOJA(Datos[[#This Row],[NP]],$D$44)),"")</f>
        <v>102.79742460107883</v>
      </c>
      <c r="AA12" s="148">
        <f>IFERROR(IF(Datos[[#This Row],[Precio / Millar (Norwork)]]&lt;&gt;"",PRODUCT(Datos[[#This Row],[Precio / Millar (Norwork)]]/1000,Datos[[#This Row],[DEMANDA ANUAL]]),""),"")</f>
        <v>28811.753774916571</v>
      </c>
      <c r="AB12" s="155">
        <f>IFERROR(IF(Datos[[#This Row],[CON ETIQUETA]]="No",VALORHOJA(Datos[[#This Row],[NP]],$B$63)/VALORHOJA(Datos[[#This Row],[NP]],$B$42),VALORHOJA(Datos[[#This Row],[NP]],$D$63)/VALORHOJA(Datos[[#This Row],[NP]],$D$42)),"")</f>
        <v>20168.227642441601</v>
      </c>
      <c r="AC12" s="148">
        <f>IFERROR(IF(Datos[[#This Row],[Precio / Millar (Norwork)]]&lt;&gt;"",SUM(Datos[[#This Row],[Ingresos Totales (Norwork)]],-Datos[[#This Row],[Costos Totales (Norwork)]]),""),"")</f>
        <v>8643.5261324749699</v>
      </c>
      <c r="AD12" s="153">
        <f>IFERROR(Datos[[#This Row],[Beneficio (Norwork)]]/Datos[[#This Row],[Ingresos Totales (Norwork)]],"")</f>
        <v>0.29999999999999993</v>
      </c>
    </row>
    <row r="13" spans="2:30" x14ac:dyDescent="0.3">
      <c r="B13" s="173" t="s">
        <v>281</v>
      </c>
      <c r="C13" s="145" t="s">
        <v>282</v>
      </c>
      <c r="D13" s="176" t="s">
        <v>1204</v>
      </c>
      <c r="E13" s="145">
        <v>2</v>
      </c>
      <c r="F13" s="142" t="s">
        <v>202</v>
      </c>
      <c r="G13" s="149">
        <v>250430</v>
      </c>
      <c r="H13" s="142" t="s">
        <v>202</v>
      </c>
      <c r="I13" s="142" t="s">
        <v>202</v>
      </c>
      <c r="J13" s="142" t="s">
        <v>207</v>
      </c>
      <c r="K13" s="142" t="s">
        <v>203</v>
      </c>
      <c r="L13" s="142">
        <v>1</v>
      </c>
      <c r="M13" s="142">
        <v>2</v>
      </c>
      <c r="N13" s="142">
        <v>4</v>
      </c>
      <c r="O13" s="142" t="s">
        <v>195</v>
      </c>
      <c r="P13" s="142" t="s">
        <v>198</v>
      </c>
      <c r="Q13" s="142" t="s">
        <v>199</v>
      </c>
      <c r="T13" s="142" t="s">
        <v>326</v>
      </c>
      <c r="U13" s="142">
        <v>3</v>
      </c>
      <c r="W13" s="148">
        <v>42</v>
      </c>
      <c r="X13" s="148">
        <f>IFERROR(Datos[[#This Row],[ARIBA PRECIO POR MILLAR (Dólares)]]/1000*Datos[[#This Row],[DEMANDA ANUAL]],"")</f>
        <v>10518.060000000001</v>
      </c>
      <c r="Y13" s="153">
        <f>IFERROR((Datos[[#This Row],[INGRESO PRECIO ARIBA]]-Datos[[#This Row],[Costos Totales (Norwork)]])/Datos[[#This Row],[INGRESO PRECIO ARIBA]],"")</f>
        <v>-4.2420094931839243E-2</v>
      </c>
      <c r="Z13" s="148">
        <f>IFERROR(IF(Datos[[#This Row],[CON ETIQUETA]]="No",VALORHOJA(Datos[[#This Row],[NP]],$B$44),VALORHOJA(Datos[[#This Row],[NP]],$D$44)),"")</f>
        <v>62.545205695910361</v>
      </c>
      <c r="AA13" s="148">
        <f>IFERROR(IF(Datos[[#This Row],[Precio / Millar (Norwork)]]&lt;&gt;"",PRODUCT(Datos[[#This Row],[Precio / Millar (Norwork)]]/1000,Datos[[#This Row],[DEMANDA ANUAL]]),""),"")</f>
        <v>15663.195862426832</v>
      </c>
      <c r="AB13" s="155">
        <f>IFERROR(IF(Datos[[#This Row],[CON ETIQUETA]]="No",VALORHOJA(Datos[[#This Row],[NP]],$B$63)/VALORHOJA(Datos[[#This Row],[NP]],$B$42),VALORHOJA(Datos[[#This Row],[NP]],$D$63)/VALORHOJA(Datos[[#This Row],[NP]],$D$42)),"")</f>
        <v>10964.237103698782</v>
      </c>
      <c r="AC13" s="148">
        <f>IFERROR(IF(Datos[[#This Row],[Precio / Millar (Norwork)]]&lt;&gt;"",SUM(Datos[[#This Row],[Ingresos Totales (Norwork)]],-Datos[[#This Row],[Costos Totales (Norwork)]]),""),"")</f>
        <v>4698.9587587280494</v>
      </c>
      <c r="AD13" s="153">
        <f>IFERROR(Datos[[#This Row],[Beneficio (Norwork)]]/Datos[[#This Row],[Ingresos Totales (Norwork)]],"")</f>
        <v>0.3</v>
      </c>
    </row>
    <row r="14" spans="2:30" x14ac:dyDescent="0.3">
      <c r="B14" s="174" t="s">
        <v>264</v>
      </c>
      <c r="C14" s="145" t="s">
        <v>265</v>
      </c>
      <c r="D14" s="145" t="s">
        <v>1204</v>
      </c>
      <c r="E14" s="145">
        <v>3</v>
      </c>
      <c r="F14" s="142" t="s">
        <v>202</v>
      </c>
      <c r="G14" s="149">
        <v>206832</v>
      </c>
      <c r="H14" s="142" t="s">
        <v>202</v>
      </c>
      <c r="I14" s="142" t="s">
        <v>202</v>
      </c>
      <c r="J14" s="142" t="s">
        <v>266</v>
      </c>
      <c r="K14" s="142" t="s">
        <v>203</v>
      </c>
      <c r="L14" s="142">
        <v>1</v>
      </c>
      <c r="M14" s="142">
        <v>2</v>
      </c>
      <c r="N14" s="142">
        <v>2</v>
      </c>
      <c r="O14" s="142" t="s">
        <v>202</v>
      </c>
      <c r="P14" s="142" t="s">
        <v>198</v>
      </c>
      <c r="Q14" s="142" t="s">
        <v>199</v>
      </c>
      <c r="S14" s="142" t="s">
        <v>195</v>
      </c>
      <c r="T14" s="142" t="s">
        <v>329</v>
      </c>
      <c r="U14" s="142">
        <v>1</v>
      </c>
      <c r="W14" s="148">
        <v>44</v>
      </c>
      <c r="X14" s="148">
        <f>IFERROR(Datos[[#This Row],[ARIBA PRECIO POR MILLAR (Dólares)]]/1000*Datos[[#This Row],[DEMANDA ANUAL]],"")</f>
        <v>9100.6080000000002</v>
      </c>
      <c r="Y14" s="153">
        <f>IFERROR((Datos[[#This Row],[INGRESO PRECIO ARIBA]]-Datos[[#This Row],[Costos Totales (Norwork)]])/Datos[[#This Row],[INGRESO PRECIO ARIBA]],"")</f>
        <v>0.32265201804238047</v>
      </c>
      <c r="Z14" s="148">
        <f>IFERROR(IF(Datos[[#This Row],[CON ETIQUETA]]="No",VALORHOJA(Datos[[#This Row],[NP]],$B$44),VALORHOJA(Datos[[#This Row],[NP]],$D$44)),"")</f>
        <v>42.576158865907509</v>
      </c>
      <c r="AA14" s="148">
        <f>IFERROR(IF(Datos[[#This Row],[Precio / Millar (Norwork)]]&lt;&gt;"",PRODUCT(Datos[[#This Row],[Precio / Millar (Norwork)]]/1000,Datos[[#This Row],[DEMANDA ANUAL]]),""),"")</f>
        <v>8806.1120905533826</v>
      </c>
      <c r="AB14" s="155">
        <f>IFERROR(IF(Datos[[#This Row],[CON ETIQUETA]]="No",VALORHOJA(Datos[[#This Row],[NP]],$B$63)/VALORHOJA(Datos[[#This Row],[NP]],$B$42),VALORHOJA(Datos[[#This Row],[NP]],$D$63)/VALORHOJA(Datos[[#This Row],[NP]],$D$42)),"")</f>
        <v>6164.278463387368</v>
      </c>
      <c r="AC14" s="148">
        <f>IFERROR(IF(Datos[[#This Row],[Precio / Millar (Norwork)]]&lt;&gt;"",SUM(Datos[[#This Row],[Ingresos Totales (Norwork)]],-Datos[[#This Row],[Costos Totales (Norwork)]]),""),"")</f>
        <v>2641.8336271660146</v>
      </c>
      <c r="AD14" s="153">
        <f>IFERROR(Datos[[#This Row],[Beneficio (Norwork)]]/Datos[[#This Row],[Ingresos Totales (Norwork)]],"")</f>
        <v>0.3</v>
      </c>
    </row>
    <row r="15" spans="2:30" ht="14.4" x14ac:dyDescent="0.3">
      <c r="B15" s="180" t="s">
        <v>383</v>
      </c>
      <c r="C15" s="176" t="s">
        <v>811</v>
      </c>
      <c r="D15" s="145" t="s">
        <v>1204</v>
      </c>
      <c r="E15" s="145">
        <v>3</v>
      </c>
      <c r="F15" s="148" t="s">
        <v>202</v>
      </c>
      <c r="G15" s="149">
        <v>184306</v>
      </c>
      <c r="H15" s="142" t="s">
        <v>202</v>
      </c>
      <c r="I15" s="142" t="s">
        <v>202</v>
      </c>
      <c r="J15" s="142" t="s">
        <v>207</v>
      </c>
      <c r="K15" s="142" t="s">
        <v>203</v>
      </c>
      <c r="L15" s="142">
        <v>1</v>
      </c>
      <c r="M15" s="142">
        <v>2</v>
      </c>
      <c r="N15" s="142">
        <v>4</v>
      </c>
      <c r="O15" s="142" t="s">
        <v>195</v>
      </c>
      <c r="P15" s="142" t="s">
        <v>198</v>
      </c>
      <c r="Q15" s="142" t="s">
        <v>199</v>
      </c>
      <c r="T15" s="142" t="s">
        <v>326</v>
      </c>
      <c r="U15" s="142">
        <v>3</v>
      </c>
      <c r="W15" s="148" t="s">
        <v>298</v>
      </c>
      <c r="X15" s="148" t="str">
        <f>IFERROR(Datos[[#This Row],[ARIBA PRECIO POR MILLAR (Dólares)]]/1000*Datos[[#This Row],[DEMANDA ANUAL]],"")</f>
        <v/>
      </c>
      <c r="Y15" s="153" t="str">
        <f>IFERROR((Datos[[#This Row],[INGRESO PRECIO ARIBA]]-Datos[[#This Row],[Costos Totales (Norwork)]])/Datos[[#This Row],[INGRESO PRECIO ARIBA]],"")</f>
        <v/>
      </c>
      <c r="Z15" s="148">
        <f>IFERROR(IF(Datos[[#This Row],[CON ETIQUETA]]="No",VALORHOJA(Datos[[#This Row],[NP]],$B$44),VALORHOJA(Datos[[#This Row],[NP]],$D$44)),"")</f>
        <v>62.653363427847495</v>
      </c>
      <c r="AA15" s="148">
        <f>IFERROR(IF(Datos[[#This Row],[Precio / Millar (Norwork)]]&lt;&gt;"",PRODUCT(Datos[[#This Row],[Precio / Millar (Norwork)]]/1000,Datos[[#This Row],[DEMANDA ANUAL]]),""),"")</f>
        <v>11547.39079993286</v>
      </c>
      <c r="AB15" s="155">
        <f>IFERROR(IF(Datos[[#This Row],[CON ETIQUETA]]="No",VALORHOJA(Datos[[#This Row],[NP]],$B$63)/VALORHOJA(Datos[[#This Row],[NP]],$B$42),VALORHOJA(Datos[[#This Row],[NP]],$D$63)/VALORHOJA(Datos[[#This Row],[NP]],$D$42)),"")</f>
        <v>8083.173559953003</v>
      </c>
      <c r="AC15" s="148">
        <f>IFERROR(IF(Datos[[#This Row],[Precio / Millar (Norwork)]]&lt;&gt;"",SUM(Datos[[#This Row],[Ingresos Totales (Norwork)]],-Datos[[#This Row],[Costos Totales (Norwork)]]),""),"")</f>
        <v>3464.2172399798574</v>
      </c>
      <c r="AD15" s="153">
        <f>IFERROR(Datos[[#This Row],[Beneficio (Norwork)]]/Datos[[#This Row],[Ingresos Totales (Norwork)]],"")</f>
        <v>0.29999999999999993</v>
      </c>
    </row>
    <row r="16" spans="2:30" x14ac:dyDescent="0.3">
      <c r="B16" s="145" t="s">
        <v>357</v>
      </c>
      <c r="C16" s="145" t="s">
        <v>786</v>
      </c>
      <c r="D16" s="145"/>
      <c r="E16" s="145"/>
      <c r="F16" s="142" t="s">
        <v>202</v>
      </c>
      <c r="G16" s="149">
        <v>178098</v>
      </c>
      <c r="H16" s="147" t="s">
        <v>202</v>
      </c>
      <c r="I16" s="142" t="s">
        <v>202</v>
      </c>
      <c r="J16" s="142" t="s">
        <v>207</v>
      </c>
      <c r="K16" s="142" t="s">
        <v>203</v>
      </c>
      <c r="L16" s="142">
        <v>1</v>
      </c>
      <c r="M16" s="142">
        <v>2</v>
      </c>
      <c r="N16" s="142">
        <v>2</v>
      </c>
      <c r="O16" s="142" t="s">
        <v>202</v>
      </c>
      <c r="P16" s="142" t="s">
        <v>198</v>
      </c>
      <c r="Q16" s="142" t="s">
        <v>199</v>
      </c>
      <c r="W16" s="148" t="s">
        <v>298</v>
      </c>
      <c r="X16" s="148" t="str">
        <f>IFERROR(Datos[[#This Row],[ARIBA PRECIO POR MILLAR (Dólares)]]/1000*Datos[[#This Row],[DEMANDA ANUAL]],"")</f>
        <v/>
      </c>
      <c r="Y16" s="153" t="str">
        <f>IFERROR((Datos[[#This Row],[INGRESO PRECIO ARIBA]]-Datos[[#This Row],[Costos Totales (Norwork)]])/Datos[[#This Row],[INGRESO PRECIO ARIBA]],"")</f>
        <v/>
      </c>
      <c r="Z16" s="148" t="str">
        <f>IFERROR(IF(Datos[[#This Row],[CON ETIQUETA]]="No",VALORHOJA(Datos[[#This Row],[NP]],$B$44),VALORHOJA(Datos[[#This Row],[NP]],$D$44)),"")</f>
        <v/>
      </c>
      <c r="AA16" s="148" t="str">
        <f>IFERROR(IF(Datos[[#This Row],[Precio / Millar (Norwork)]]&lt;&gt;"",PRODUCT(Datos[[#This Row],[Precio / Millar (Norwork)]]/1000,Datos[[#This Row],[DEMANDA ANUAL]]),""),"")</f>
        <v/>
      </c>
      <c r="AB1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6" s="148" t="str">
        <f>IFERROR(IF(Datos[[#This Row],[Precio / Millar (Norwork)]]&lt;&gt;"",SUM(Datos[[#This Row],[Ingresos Totales (Norwork)]],-Datos[[#This Row],[Costos Totales (Norwork)]]),""),"")</f>
        <v/>
      </c>
      <c r="AD16" s="153" t="str">
        <f>IFERROR(Datos[[#This Row],[Beneficio (Norwork)]]/Datos[[#This Row],[Ingresos Totales (Norwork)]],"")</f>
        <v/>
      </c>
    </row>
    <row r="17" spans="2:30" x14ac:dyDescent="0.3">
      <c r="B17" s="145" t="s">
        <v>403</v>
      </c>
      <c r="C17" s="176" t="s">
        <v>831</v>
      </c>
      <c r="D17" s="176"/>
      <c r="E17" s="145"/>
      <c r="F17" s="148" t="s">
        <v>195</v>
      </c>
      <c r="G17" s="149">
        <v>158882</v>
      </c>
      <c r="H17" s="144"/>
      <c r="W17" s="148" t="s">
        <v>298</v>
      </c>
      <c r="X17" s="148" t="str">
        <f>IFERROR(Datos[[#This Row],[ARIBA PRECIO POR MILLAR (Dólares)]]/1000*Datos[[#This Row],[DEMANDA ANUAL]],"")</f>
        <v/>
      </c>
      <c r="Y17" s="153" t="str">
        <f>IFERROR((Datos[[#This Row],[INGRESO PRECIO ARIBA]]-Datos[[#This Row],[Costos Totales (Norwork)]])/Datos[[#This Row],[INGRESO PRECIO ARIBA]],"")</f>
        <v/>
      </c>
      <c r="Z17" s="148" t="str">
        <f>IFERROR(IF(Datos[[#This Row],[CON ETIQUETA]]="No",VALORHOJA(Datos[[#This Row],[NP]],$B$44),VALORHOJA(Datos[[#This Row],[NP]],$D$44)),"")</f>
        <v/>
      </c>
      <c r="AA17" s="148" t="str">
        <f>IFERROR(IF(Datos[[#This Row],[Precio / Millar (Norwork)]]&lt;&gt;"",PRODUCT(Datos[[#This Row],[Precio / Millar (Norwork)]]/1000,Datos[[#This Row],[DEMANDA ANUAL]]),""),"")</f>
        <v/>
      </c>
      <c r="AB1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7" s="148" t="str">
        <f>IFERROR(IF(Datos[[#This Row],[Precio / Millar (Norwork)]]&lt;&gt;"",SUM(Datos[[#This Row],[Ingresos Totales (Norwork)]],-Datos[[#This Row],[Costos Totales (Norwork)]]),""),"")</f>
        <v/>
      </c>
      <c r="AD17" s="153" t="str">
        <f>IFERROR(Datos[[#This Row],[Beneficio (Norwork)]]/Datos[[#This Row],[Ingresos Totales (Norwork)]],"")</f>
        <v/>
      </c>
    </row>
    <row r="18" spans="2:30" x14ac:dyDescent="0.3">
      <c r="B18" s="173" t="s">
        <v>262</v>
      </c>
      <c r="C18" s="145" t="s">
        <v>263</v>
      </c>
      <c r="D18" s="176" t="s">
        <v>1204</v>
      </c>
      <c r="E18" s="145">
        <v>2</v>
      </c>
      <c r="F18" s="142" t="s">
        <v>202</v>
      </c>
      <c r="G18" s="149">
        <v>138116</v>
      </c>
      <c r="H18" s="142" t="s">
        <v>202</v>
      </c>
      <c r="I18" s="142" t="s">
        <v>202</v>
      </c>
      <c r="J18" s="142" t="s">
        <v>207</v>
      </c>
      <c r="K18" s="142" t="s">
        <v>203</v>
      </c>
      <c r="L18" s="142">
        <v>1</v>
      </c>
      <c r="M18" s="142">
        <v>2</v>
      </c>
      <c r="N18" s="142">
        <v>8</v>
      </c>
      <c r="O18" s="142" t="s">
        <v>195</v>
      </c>
      <c r="P18" s="142" t="s">
        <v>198</v>
      </c>
      <c r="Q18" s="142" t="s">
        <v>199</v>
      </c>
      <c r="T18" s="142" t="s">
        <v>326</v>
      </c>
      <c r="U18" s="142">
        <v>4</v>
      </c>
      <c r="W18" s="148">
        <v>82</v>
      </c>
      <c r="X18" s="148">
        <f>IFERROR(Datos[[#This Row],[ARIBA PRECIO POR MILLAR (Dólares)]]/1000*Datos[[#This Row],[DEMANDA ANUAL]],"")</f>
        <v>11325.512000000001</v>
      </c>
      <c r="Y18" s="153">
        <f>IFERROR((Datos[[#This Row],[INGRESO PRECIO ARIBA]]-Datos[[#This Row],[Costos Totales (Norwork)]])/Datos[[#This Row],[INGRESO PRECIO ARIBA]],"")</f>
        <v>9.7085006930591217E-2</v>
      </c>
      <c r="Z18" s="148">
        <f>IFERROR(IF(Datos[[#This Row],[CON ETIQUETA]]="No",VALORHOJA(Datos[[#This Row],[NP]],$B$44),VALORHOJA(Datos[[#This Row],[NP]],$D$44)),"")</f>
        <v>105.7700420452736</v>
      </c>
      <c r="AA18" s="148">
        <f>IFERROR(IF(Datos[[#This Row],[Precio / Millar (Norwork)]]&lt;&gt;"",PRODUCT(Datos[[#This Row],[Precio / Millar (Norwork)]]/1000,Datos[[#This Row],[DEMANDA ANUAL]]),""),"")</f>
        <v>14608.535127125009</v>
      </c>
      <c r="AB18" s="155">
        <f>IFERROR(IF(Datos[[#This Row],[CON ETIQUETA]]="No",VALORHOJA(Datos[[#This Row],[NP]],$B$63)/VALORHOJA(Datos[[#This Row],[NP]],$B$42),VALORHOJA(Datos[[#This Row],[NP]],$D$63)/VALORHOJA(Datos[[#This Row],[NP]],$D$42)),"")</f>
        <v>10225.974588987507</v>
      </c>
      <c r="AC18" s="148">
        <f>IFERROR(IF(Datos[[#This Row],[Precio / Millar (Norwork)]]&lt;&gt;"",SUM(Datos[[#This Row],[Ingresos Totales (Norwork)]],-Datos[[#This Row],[Costos Totales (Norwork)]]),""),"")</f>
        <v>4382.5605381375026</v>
      </c>
      <c r="AD18" s="153">
        <f>IFERROR(Datos[[#This Row],[Beneficio (Norwork)]]/Datos[[#This Row],[Ingresos Totales (Norwork)]],"")</f>
        <v>0.3</v>
      </c>
    </row>
    <row r="19" spans="2:30" x14ac:dyDescent="0.3">
      <c r="B19" s="145" t="s">
        <v>389</v>
      </c>
      <c r="C19" s="176" t="s">
        <v>817</v>
      </c>
      <c r="D19" s="176"/>
      <c r="E19" s="145"/>
      <c r="F19" s="142" t="s">
        <v>202</v>
      </c>
      <c r="G19" s="149">
        <v>128448</v>
      </c>
      <c r="H19" s="142" t="s">
        <v>202</v>
      </c>
      <c r="I19" s="142" t="s">
        <v>202</v>
      </c>
      <c r="J19" s="142" t="s">
        <v>266</v>
      </c>
      <c r="K19" s="142" t="s">
        <v>203</v>
      </c>
      <c r="L19" s="142">
        <v>1</v>
      </c>
      <c r="M19" s="142">
        <v>2</v>
      </c>
      <c r="N19" s="142">
        <v>2</v>
      </c>
      <c r="O19" s="142" t="s">
        <v>202</v>
      </c>
      <c r="P19" s="142" t="s">
        <v>198</v>
      </c>
      <c r="Q19" s="142" t="s">
        <v>199</v>
      </c>
      <c r="W19" s="148" t="s">
        <v>298</v>
      </c>
      <c r="X19" s="148" t="str">
        <f>IFERROR(Datos[[#This Row],[ARIBA PRECIO POR MILLAR (Dólares)]]/1000*Datos[[#This Row],[DEMANDA ANUAL]],"")</f>
        <v/>
      </c>
      <c r="Y19" s="153" t="str">
        <f>IFERROR((Datos[[#This Row],[INGRESO PRECIO ARIBA]]-Datos[[#This Row],[Costos Totales (Norwork)]])/Datos[[#This Row],[INGRESO PRECIO ARIBA]],"")</f>
        <v/>
      </c>
      <c r="Z19" s="148" t="str">
        <f>IFERROR(IF(Datos[[#This Row],[CON ETIQUETA]]="No",VALORHOJA(Datos[[#This Row],[NP]],$B$44),VALORHOJA(Datos[[#This Row],[NP]],$D$44)),"")</f>
        <v/>
      </c>
      <c r="AA19" s="148" t="str">
        <f>IFERROR(IF(Datos[[#This Row],[Precio / Millar (Norwork)]]&lt;&gt;"",PRODUCT(Datos[[#This Row],[Precio / Millar (Norwork)]]/1000,Datos[[#This Row],[DEMANDA ANUAL]]),""),"")</f>
        <v/>
      </c>
      <c r="AB1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9" s="148" t="str">
        <f>IFERROR(IF(Datos[[#This Row],[Precio / Millar (Norwork)]]&lt;&gt;"",SUM(Datos[[#This Row],[Ingresos Totales (Norwork)]],-Datos[[#This Row],[Costos Totales (Norwork)]]),""),"")</f>
        <v/>
      </c>
      <c r="AD19" s="153" t="str">
        <f>IFERROR(Datos[[#This Row],[Beneficio (Norwork)]]/Datos[[#This Row],[Ingresos Totales (Norwork)]],"")</f>
        <v/>
      </c>
    </row>
    <row r="20" spans="2:30" x14ac:dyDescent="0.3">
      <c r="B20" s="145" t="s">
        <v>394</v>
      </c>
      <c r="C20" s="176" t="s">
        <v>822</v>
      </c>
      <c r="D20" s="176"/>
      <c r="E20" s="145"/>
      <c r="F20" s="142" t="s">
        <v>202</v>
      </c>
      <c r="G20" s="149">
        <v>122292</v>
      </c>
      <c r="H20" s="144" t="s">
        <v>202</v>
      </c>
      <c r="I20" s="142" t="s">
        <v>202</v>
      </c>
      <c r="J20" s="142" t="s">
        <v>290</v>
      </c>
      <c r="K20" s="142" t="s">
        <v>203</v>
      </c>
      <c r="L20" s="142">
        <v>4</v>
      </c>
      <c r="M20" s="142">
        <v>2</v>
      </c>
      <c r="N20" s="142">
        <v>2</v>
      </c>
      <c r="O20" s="142" t="s">
        <v>202</v>
      </c>
      <c r="P20" s="142" t="s">
        <v>1212</v>
      </c>
      <c r="Q20" s="142" t="s">
        <v>1213</v>
      </c>
      <c r="W20" s="148" t="s">
        <v>298</v>
      </c>
      <c r="X20" s="148" t="str">
        <f>IFERROR(Datos[[#This Row],[ARIBA PRECIO POR MILLAR (Dólares)]]/1000*Datos[[#This Row],[DEMANDA ANUAL]],"")</f>
        <v/>
      </c>
      <c r="Y20" s="153" t="str">
        <f>IFERROR((Datos[[#This Row],[INGRESO PRECIO ARIBA]]-Datos[[#This Row],[Costos Totales (Norwork)]])/Datos[[#This Row],[INGRESO PRECIO ARIBA]],"")</f>
        <v/>
      </c>
      <c r="Z20" s="148" t="str">
        <f>IFERROR(IF(Datos[[#This Row],[CON ETIQUETA]]="No",VALORHOJA(Datos[[#This Row],[NP]],$B$44),VALORHOJA(Datos[[#This Row],[NP]],$D$44)),"")</f>
        <v/>
      </c>
      <c r="AA20" s="148" t="str">
        <f>IFERROR(IF(Datos[[#This Row],[Precio / Millar (Norwork)]]&lt;&gt;"",PRODUCT(Datos[[#This Row],[Precio / Millar (Norwork)]]/1000,Datos[[#This Row],[DEMANDA ANUAL]]),""),"")</f>
        <v/>
      </c>
      <c r="AB2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0" s="148" t="str">
        <f>IFERROR(IF(Datos[[#This Row],[Precio / Millar (Norwork)]]&lt;&gt;"",SUM(Datos[[#This Row],[Ingresos Totales (Norwork)]],-Datos[[#This Row],[Costos Totales (Norwork)]]),""),"")</f>
        <v/>
      </c>
      <c r="AD20" s="153" t="str">
        <f>IFERROR(Datos[[#This Row],[Beneficio (Norwork)]]/Datos[[#This Row],[Ingresos Totales (Norwork)]],"")</f>
        <v/>
      </c>
    </row>
    <row r="21" spans="2:30" x14ac:dyDescent="0.3">
      <c r="B21" s="145" t="s">
        <v>412</v>
      </c>
      <c r="C21" s="145" t="s">
        <v>840</v>
      </c>
      <c r="D21" s="145"/>
      <c r="E21" s="145"/>
      <c r="F21" s="142" t="s">
        <v>202</v>
      </c>
      <c r="G21" s="149">
        <v>121444</v>
      </c>
      <c r="H21" s="144" t="s">
        <v>202</v>
      </c>
      <c r="I21" s="142" t="s">
        <v>202</v>
      </c>
      <c r="J21" s="142" t="s">
        <v>207</v>
      </c>
      <c r="K21" s="142" t="s">
        <v>203</v>
      </c>
      <c r="L21" s="142">
        <v>2</v>
      </c>
      <c r="M21" s="142">
        <v>2</v>
      </c>
      <c r="N21" s="142">
        <v>2</v>
      </c>
      <c r="O21" s="142" t="s">
        <v>202</v>
      </c>
      <c r="P21" s="142" t="s">
        <v>198</v>
      </c>
      <c r="Q21" s="142" t="s">
        <v>199</v>
      </c>
      <c r="W21" s="148" t="s">
        <v>298</v>
      </c>
      <c r="X21" s="148" t="str">
        <f>IFERROR(Datos[[#This Row],[ARIBA PRECIO POR MILLAR (Dólares)]]/1000*Datos[[#This Row],[DEMANDA ANUAL]],"")</f>
        <v/>
      </c>
      <c r="Y21" s="153" t="str">
        <f>IFERROR((Datos[[#This Row],[INGRESO PRECIO ARIBA]]-Datos[[#This Row],[Costos Totales (Norwork)]])/Datos[[#This Row],[INGRESO PRECIO ARIBA]],"")</f>
        <v/>
      </c>
      <c r="Z21" s="148" t="str">
        <f>IFERROR(IF(Datos[[#This Row],[CON ETIQUETA]]="No",VALORHOJA(Datos[[#This Row],[NP]],$B$44),VALORHOJA(Datos[[#This Row],[NP]],$D$44)),"")</f>
        <v/>
      </c>
      <c r="AA21" s="148" t="str">
        <f>IFERROR(IF(Datos[[#This Row],[Precio / Millar (Norwork)]]&lt;&gt;"",PRODUCT(Datos[[#This Row],[Precio / Millar (Norwork)]]/1000,Datos[[#This Row],[DEMANDA ANUAL]]),""),"")</f>
        <v/>
      </c>
      <c r="AB2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1" s="148" t="str">
        <f>IFERROR(IF(Datos[[#This Row],[Precio / Millar (Norwork)]]&lt;&gt;"",SUM(Datos[[#This Row],[Ingresos Totales (Norwork)]],-Datos[[#This Row],[Costos Totales (Norwork)]]),""),"")</f>
        <v/>
      </c>
      <c r="AD21" s="153" t="str">
        <f>IFERROR(Datos[[#This Row],[Beneficio (Norwork)]]/Datos[[#This Row],[Ingresos Totales (Norwork)]],"")</f>
        <v/>
      </c>
    </row>
    <row r="22" spans="2:30" x14ac:dyDescent="0.3">
      <c r="B22" s="173" t="s">
        <v>251</v>
      </c>
      <c r="C22" s="145" t="s">
        <v>252</v>
      </c>
      <c r="D22" s="176" t="s">
        <v>1204</v>
      </c>
      <c r="E22" s="145">
        <v>2</v>
      </c>
      <c r="F22" s="142" t="s">
        <v>202</v>
      </c>
      <c r="G22" s="149">
        <v>119600</v>
      </c>
      <c r="H22" s="142" t="s">
        <v>202</v>
      </c>
      <c r="I22" s="142" t="s">
        <v>202</v>
      </c>
      <c r="J22" s="142" t="s">
        <v>207</v>
      </c>
      <c r="K22" s="142" t="s">
        <v>197</v>
      </c>
      <c r="L22" s="142">
        <v>1</v>
      </c>
      <c r="M22" s="142">
        <v>2</v>
      </c>
      <c r="N22" s="142">
        <v>8</v>
      </c>
      <c r="O22" s="142" t="s">
        <v>195</v>
      </c>
      <c r="P22" s="142" t="s">
        <v>198</v>
      </c>
      <c r="Q22" s="142" t="s">
        <v>199</v>
      </c>
      <c r="T22" s="142" t="s">
        <v>326</v>
      </c>
      <c r="U22" s="142">
        <v>4</v>
      </c>
      <c r="W22" s="148">
        <v>82</v>
      </c>
      <c r="X22" s="148">
        <f>IFERROR(Datos[[#This Row],[ARIBA PRECIO POR MILLAR (Dólares)]]/1000*Datos[[#This Row],[DEMANDA ANUAL]],"")</f>
        <v>9807.2000000000007</v>
      </c>
      <c r="Y22" s="153">
        <f>IFERROR((Datos[[#This Row],[INGRESO PRECIO ARIBA]]-Datos[[#This Row],[Costos Totales (Norwork)]])/Datos[[#This Row],[INGRESO PRECIO ARIBA]],"")</f>
        <v>9.3151598952098236E-2</v>
      </c>
      <c r="Z22" s="148">
        <f>IFERROR(IF(Datos[[#This Row],[CON ETIQUETA]]="No",VALORHOJA(Datos[[#This Row],[NP]],$B$44),VALORHOJA(Datos[[#This Row],[NP]],$D$44)),"")</f>
        <v>106.23081269418277</v>
      </c>
      <c r="AA22" s="148">
        <f>IFERROR(IF(Datos[[#This Row],[Precio / Millar (Norwork)]]&lt;&gt;"",PRODUCT(Datos[[#This Row],[Precio / Millar (Norwork)]]/1000,Datos[[#This Row],[DEMANDA ANUAL]]),""),"")</f>
        <v>12705.205198224259</v>
      </c>
      <c r="AB22" s="155">
        <f>IFERROR(IF(Datos[[#This Row],[CON ETIQUETA]]="No",VALORHOJA(Datos[[#This Row],[NP]],$B$63)/VALORHOJA(Datos[[#This Row],[NP]],$B$42),VALORHOJA(Datos[[#This Row],[NP]],$D$63)/VALORHOJA(Datos[[#This Row],[NP]],$D$42)),"")</f>
        <v>8893.6436387569829</v>
      </c>
      <c r="AC22" s="148">
        <f>IFERROR(IF(Datos[[#This Row],[Precio / Millar (Norwork)]]&lt;&gt;"",SUM(Datos[[#This Row],[Ingresos Totales (Norwork)]],-Datos[[#This Row],[Costos Totales (Norwork)]]),""),"")</f>
        <v>3811.5615594672763</v>
      </c>
      <c r="AD22" s="153">
        <f>IFERROR(Datos[[#This Row],[Beneficio (Norwork)]]/Datos[[#This Row],[Ingresos Totales (Norwork)]],"")</f>
        <v>0.29999999999999988</v>
      </c>
    </row>
    <row r="23" spans="2:30" x14ac:dyDescent="0.3">
      <c r="B23" s="145" t="s">
        <v>453</v>
      </c>
      <c r="C23" s="176" t="s">
        <v>880</v>
      </c>
      <c r="D23" s="176"/>
      <c r="E23" s="145"/>
      <c r="F23" s="153"/>
      <c r="G23" s="149">
        <v>108858</v>
      </c>
      <c r="H23" s="144"/>
      <c r="W23" s="148" t="s">
        <v>298</v>
      </c>
      <c r="X23" s="148" t="str">
        <f>IFERROR(Datos[[#This Row],[ARIBA PRECIO POR MILLAR (Dólares)]]/1000*Datos[[#This Row],[DEMANDA ANUAL]],"")</f>
        <v/>
      </c>
      <c r="Y23" s="153" t="str">
        <f>IFERROR((Datos[[#This Row],[INGRESO PRECIO ARIBA]]-Datos[[#This Row],[Costos Totales (Norwork)]])/Datos[[#This Row],[INGRESO PRECIO ARIBA]],"")</f>
        <v/>
      </c>
      <c r="Z23" s="148" t="str">
        <f>IFERROR(IF(Datos[[#This Row],[CON ETIQUETA]]="No",VALORHOJA(Datos[[#This Row],[NP]],$B$44),VALORHOJA(Datos[[#This Row],[NP]],$D$44)),"")</f>
        <v/>
      </c>
      <c r="AA23" s="148" t="str">
        <f>IFERROR(IF(Datos[[#This Row],[Precio / Millar (Norwork)]]&lt;&gt;"",PRODUCT(Datos[[#This Row],[Precio / Millar (Norwork)]]/1000,Datos[[#This Row],[DEMANDA ANUAL]]),""),"")</f>
        <v/>
      </c>
      <c r="AB2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3" s="148" t="str">
        <f>IFERROR(IF(Datos[[#This Row],[Precio / Millar (Norwork)]]&lt;&gt;"",SUM(Datos[[#This Row],[Ingresos Totales (Norwork)]],-Datos[[#This Row],[Costos Totales (Norwork)]]),""),"")</f>
        <v/>
      </c>
      <c r="AD23" s="153" t="str">
        <f>IFERROR(Datos[[#This Row],[Beneficio (Norwork)]]/Datos[[#This Row],[Ingresos Totales (Norwork)]],"")</f>
        <v/>
      </c>
    </row>
    <row r="24" spans="2:30" x14ac:dyDescent="0.3">
      <c r="B24" s="145" t="s">
        <v>353</v>
      </c>
      <c r="C24" s="145" t="s">
        <v>782</v>
      </c>
      <c r="D24" s="145"/>
      <c r="E24" s="145"/>
      <c r="F24" s="145"/>
      <c r="G24" s="146">
        <v>102383</v>
      </c>
      <c r="H24" s="146"/>
      <c r="I24" s="147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8" t="s">
        <v>298</v>
      </c>
      <c r="X24" s="148" t="str">
        <f>IFERROR(Datos[[#This Row],[ARIBA PRECIO POR MILLAR (Dólares)]]/1000*Datos[[#This Row],[DEMANDA ANUAL]],"")</f>
        <v/>
      </c>
      <c r="Y24" s="168" t="str">
        <f>IFERROR((Datos[[#This Row],[INGRESO PRECIO ARIBA]]-Datos[[#This Row],[Costos Totales (Norwork)]])/Datos[[#This Row],[INGRESO PRECIO ARIBA]],"")</f>
        <v/>
      </c>
      <c r="Z24" s="148" t="str">
        <f>IFERROR(IF(Datos[[#This Row],[CON ETIQUETA]]="No",VALORHOJA(Datos[[#This Row],[NP]],$B$44),VALORHOJA(Datos[[#This Row],[NP]],$D$44)),"")</f>
        <v/>
      </c>
      <c r="AA24" s="148" t="str">
        <f>IFERROR(IF(Datos[[#This Row],[Precio / Millar (Norwork)]]&lt;&gt;"",PRODUCT(Datos[[#This Row],[Precio / Millar (Norwork)]]/1000,Datos[[#This Row],[DEMANDA ANUAL]]),""),"")</f>
        <v/>
      </c>
      <c r="AB2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4" s="148" t="str">
        <f>IFERROR(IF(Datos[[#This Row],[Precio / Millar (Norwork)]]&lt;&gt;"",SUM(Datos[[#This Row],[Ingresos Totales (Norwork)]],-Datos[[#This Row],[Costos Totales (Norwork)]]),""),"")</f>
        <v/>
      </c>
      <c r="AD24" s="153" t="str">
        <f>IFERROR(Datos[[#This Row],[Beneficio (Norwork)]]/Datos[[#This Row],[Ingresos Totales (Norwork)]],"")</f>
        <v/>
      </c>
    </row>
    <row r="25" spans="2:30" ht="14.4" x14ac:dyDescent="0.3">
      <c r="B25" s="180" t="s">
        <v>381</v>
      </c>
      <c r="C25" s="176" t="s">
        <v>790</v>
      </c>
      <c r="D25" s="145" t="s">
        <v>1204</v>
      </c>
      <c r="E25" s="145">
        <v>3</v>
      </c>
      <c r="F25" s="148" t="s">
        <v>202</v>
      </c>
      <c r="G25" s="149">
        <v>93802</v>
      </c>
      <c r="H25" s="142" t="s">
        <v>202</v>
      </c>
      <c r="I25" s="142" t="s">
        <v>202</v>
      </c>
      <c r="J25" s="142" t="s">
        <v>207</v>
      </c>
      <c r="K25" s="142" t="s">
        <v>203</v>
      </c>
      <c r="L25" s="142">
        <v>1</v>
      </c>
      <c r="M25" s="142">
        <v>2</v>
      </c>
      <c r="N25" s="142">
        <v>8</v>
      </c>
      <c r="O25" s="142" t="s">
        <v>195</v>
      </c>
      <c r="P25" s="142" t="s">
        <v>198</v>
      </c>
      <c r="Q25" s="142" t="s">
        <v>199</v>
      </c>
      <c r="T25" s="142" t="s">
        <v>326</v>
      </c>
      <c r="U25" s="142">
        <v>4</v>
      </c>
      <c r="W25" s="148" t="s">
        <v>298</v>
      </c>
      <c r="X25" s="148" t="str">
        <f>IFERROR(Datos[[#This Row],[ARIBA PRECIO POR MILLAR (Dólares)]]/1000*Datos[[#This Row],[DEMANDA ANUAL]],"")</f>
        <v/>
      </c>
      <c r="Y25" s="153" t="str">
        <f>IFERROR((Datos[[#This Row],[INGRESO PRECIO ARIBA]]-Datos[[#This Row],[Costos Totales (Norwork)]])/Datos[[#This Row],[INGRESO PRECIO ARIBA]],"")</f>
        <v/>
      </c>
      <c r="Z25" s="148">
        <f>IFERROR(IF(Datos[[#This Row],[CON ETIQUETA]]="No",VALORHOJA(Datos[[#This Row],[NP]],$B$44),VALORHOJA(Datos[[#This Row],[NP]],$D$44)),"")</f>
        <v>106.63687646675443</v>
      </c>
      <c r="AA25" s="148">
        <f>IFERROR(IF(Datos[[#This Row],[Precio / Millar (Norwork)]]&lt;&gt;"",PRODUCT(Datos[[#This Row],[Precio / Millar (Norwork)]]/1000,Datos[[#This Row],[DEMANDA ANUAL]]),""),"")</f>
        <v>10002.752286334498</v>
      </c>
      <c r="AB25" s="155">
        <f>IFERROR(IF(Datos[[#This Row],[CON ETIQUETA]]="No",VALORHOJA(Datos[[#This Row],[NP]],$B$63)/VALORHOJA(Datos[[#This Row],[NP]],$B$42),VALORHOJA(Datos[[#This Row],[NP]],$D$63)/VALORHOJA(Datos[[#This Row],[NP]],$D$42)),"")</f>
        <v>7001.9266004341498</v>
      </c>
      <c r="AC25" s="148">
        <f>IFERROR(IF(Datos[[#This Row],[Precio / Millar (Norwork)]]&lt;&gt;"",SUM(Datos[[#This Row],[Ingresos Totales (Norwork)]],-Datos[[#This Row],[Costos Totales (Norwork)]]),""),"")</f>
        <v>3000.8256859003486</v>
      </c>
      <c r="AD25" s="153">
        <f>IFERROR(Datos[[#This Row],[Beneficio (Norwork)]]/Datos[[#This Row],[Ingresos Totales (Norwork)]],"")</f>
        <v>0.29999999999999993</v>
      </c>
    </row>
    <row r="26" spans="2:30" ht="14.4" x14ac:dyDescent="0.3">
      <c r="B26" s="180" t="s">
        <v>384</v>
      </c>
      <c r="C26" s="176" t="s">
        <v>812</v>
      </c>
      <c r="D26" s="145" t="s">
        <v>1204</v>
      </c>
      <c r="E26" s="145">
        <v>3</v>
      </c>
      <c r="F26" s="148" t="s">
        <v>202</v>
      </c>
      <c r="G26" s="149">
        <v>91316</v>
      </c>
      <c r="H26" s="142" t="s">
        <v>202</v>
      </c>
      <c r="I26" s="142" t="s">
        <v>202</v>
      </c>
      <c r="J26" s="142" t="s">
        <v>207</v>
      </c>
      <c r="K26" s="142" t="s">
        <v>203</v>
      </c>
      <c r="L26" s="142">
        <v>1</v>
      </c>
      <c r="M26" s="142">
        <v>2</v>
      </c>
      <c r="N26" s="142">
        <v>8</v>
      </c>
      <c r="O26" s="142" t="s">
        <v>195</v>
      </c>
      <c r="P26" s="142" t="s">
        <v>198</v>
      </c>
      <c r="Q26" s="142" t="s">
        <v>199</v>
      </c>
      <c r="T26" s="142" t="s">
        <v>326</v>
      </c>
      <c r="U26" s="142">
        <v>4</v>
      </c>
      <c r="W26" s="148" t="s">
        <v>298</v>
      </c>
      <c r="X26" s="148" t="str">
        <f>IFERROR(Datos[[#This Row],[ARIBA PRECIO POR MILLAR (Dólares)]]/1000*Datos[[#This Row],[DEMANDA ANUAL]],"")</f>
        <v/>
      </c>
      <c r="Y26" s="153" t="str">
        <f>IFERROR((Datos[[#This Row],[INGRESO PRECIO ARIBA]]-Datos[[#This Row],[Costos Totales (Norwork)]])/Datos[[#This Row],[INGRESO PRECIO ARIBA]],"")</f>
        <v/>
      </c>
      <c r="Z26" s="148">
        <f>IFERROR(IF(Datos[[#This Row],[CON ETIQUETA]]="No",VALORHOJA(Datos[[#This Row],[NP]],$B$44),VALORHOJA(Datos[[#This Row],[NP]],$D$44)),"")</f>
        <v>106.94409577539888</v>
      </c>
      <c r="AA26" s="148">
        <f>IFERROR(IF(Datos[[#This Row],[Precio / Millar (Norwork)]]&lt;&gt;"",PRODUCT(Datos[[#This Row],[Precio / Millar (Norwork)]]/1000,Datos[[#This Row],[DEMANDA ANUAL]]),""),"")</f>
        <v>9765.7070498263238</v>
      </c>
      <c r="AB26" s="155">
        <f>IFERROR(IF(Datos[[#This Row],[CON ETIQUETA]]="No",VALORHOJA(Datos[[#This Row],[NP]],$B$63)/VALORHOJA(Datos[[#This Row],[NP]],$B$42),VALORHOJA(Datos[[#This Row],[NP]],$D$63)/VALORHOJA(Datos[[#This Row],[NP]],$D$42)),"")</f>
        <v>6835.9949348784266</v>
      </c>
      <c r="AC26" s="148">
        <f>IFERROR(IF(Datos[[#This Row],[Precio / Millar (Norwork)]]&lt;&gt;"",SUM(Datos[[#This Row],[Ingresos Totales (Norwork)]],-Datos[[#This Row],[Costos Totales (Norwork)]]),""),"")</f>
        <v>2929.7121149478971</v>
      </c>
      <c r="AD26" s="153">
        <f>IFERROR(Datos[[#This Row],[Beneficio (Norwork)]]/Datos[[#This Row],[Ingresos Totales (Norwork)]],"")</f>
        <v>0.3</v>
      </c>
    </row>
    <row r="27" spans="2:30" x14ac:dyDescent="0.3">
      <c r="B27" s="145" t="s">
        <v>405</v>
      </c>
      <c r="C27" s="145" t="s">
        <v>833</v>
      </c>
      <c r="D27" s="145"/>
      <c r="E27" s="145"/>
      <c r="G27" s="149">
        <v>76109</v>
      </c>
      <c r="H27" s="144"/>
      <c r="W27" s="148" t="s">
        <v>298</v>
      </c>
      <c r="X27" s="148" t="str">
        <f>IFERROR(Datos[[#This Row],[ARIBA PRECIO POR MILLAR (Dólares)]]/1000*Datos[[#This Row],[DEMANDA ANUAL]],"")</f>
        <v/>
      </c>
      <c r="Y27" s="153" t="str">
        <f>IFERROR((Datos[[#This Row],[INGRESO PRECIO ARIBA]]-Datos[[#This Row],[Costos Totales (Norwork)]])/Datos[[#This Row],[INGRESO PRECIO ARIBA]],"")</f>
        <v/>
      </c>
      <c r="Z27" s="148" t="str">
        <f>IFERROR(IF(Datos[[#This Row],[CON ETIQUETA]]="No",VALORHOJA(Datos[[#This Row],[NP]],$B$44),VALORHOJA(Datos[[#This Row],[NP]],$D$44)),"")</f>
        <v/>
      </c>
      <c r="AA27" s="148" t="str">
        <f>IFERROR(IF(Datos[[#This Row],[Precio / Millar (Norwork)]]&lt;&gt;"",PRODUCT(Datos[[#This Row],[Precio / Millar (Norwork)]]/1000,Datos[[#This Row],[DEMANDA ANUAL]]),""),"")</f>
        <v/>
      </c>
      <c r="AB2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7" s="148" t="str">
        <f>IFERROR(IF(Datos[[#This Row],[Precio / Millar (Norwork)]]&lt;&gt;"",SUM(Datos[[#This Row],[Ingresos Totales (Norwork)]],-Datos[[#This Row],[Costos Totales (Norwork)]]),""),"")</f>
        <v/>
      </c>
      <c r="AD27" s="153" t="str">
        <f>IFERROR(Datos[[#This Row],[Beneficio (Norwork)]]/Datos[[#This Row],[Ingresos Totales (Norwork)]],"")</f>
        <v/>
      </c>
    </row>
    <row r="28" spans="2:30" ht="14.4" x14ac:dyDescent="0.3">
      <c r="B28" s="180" t="s">
        <v>380</v>
      </c>
      <c r="C28" s="176" t="s">
        <v>809</v>
      </c>
      <c r="D28" s="176" t="s">
        <v>1204</v>
      </c>
      <c r="E28" s="145">
        <v>2</v>
      </c>
      <c r="F28" s="142" t="s">
        <v>202</v>
      </c>
      <c r="G28" s="149">
        <v>70105</v>
      </c>
      <c r="H28" s="142" t="s">
        <v>202</v>
      </c>
      <c r="I28" s="142" t="s">
        <v>202</v>
      </c>
      <c r="J28" s="142" t="s">
        <v>207</v>
      </c>
      <c r="K28" s="142" t="s">
        <v>203</v>
      </c>
      <c r="L28" s="142">
        <v>1</v>
      </c>
      <c r="M28" s="142">
        <v>2</v>
      </c>
      <c r="N28" s="142">
        <v>12</v>
      </c>
      <c r="O28" s="142" t="s">
        <v>195</v>
      </c>
      <c r="P28" s="142" t="s">
        <v>198</v>
      </c>
      <c r="Q28" s="142" t="s">
        <v>199</v>
      </c>
      <c r="T28" s="142" t="s">
        <v>326</v>
      </c>
      <c r="U28" s="142">
        <v>14</v>
      </c>
      <c r="W28" s="148" t="s">
        <v>298</v>
      </c>
      <c r="X28" s="148" t="str">
        <f>IFERROR(Datos[[#This Row],[ARIBA PRECIO POR MILLAR (Dólares)]]/1000*Datos[[#This Row],[DEMANDA ANUAL]],"")</f>
        <v/>
      </c>
      <c r="Y28" s="153" t="str">
        <f>IFERROR((Datos[[#This Row],[INGRESO PRECIO ARIBA]]-Datos[[#This Row],[Costos Totales (Norwork)]])/Datos[[#This Row],[INGRESO PRECIO ARIBA]],"")</f>
        <v/>
      </c>
      <c r="Z28" s="148">
        <f>IFERROR(IF(Datos[[#This Row],[CON ETIQUETA]]="No",VALORHOJA(Datos[[#This Row],[NP]],$B$44),VALORHOJA(Datos[[#This Row],[NP]],$D$44)),"")</f>
        <v>136.78936503807304</v>
      </c>
      <c r="AA28" s="148">
        <f>IFERROR(IF(Datos[[#This Row],[Precio / Millar (Norwork)]]&lt;&gt;"",PRODUCT(Datos[[#This Row],[Precio / Millar (Norwork)]]/1000,Datos[[#This Row],[DEMANDA ANUAL]]),""),"")</f>
        <v>9589.6184359941108</v>
      </c>
      <c r="AB28" s="155">
        <f>IFERROR(IF(Datos[[#This Row],[CON ETIQUETA]]="No",VALORHOJA(Datos[[#This Row],[NP]],$B$63)/VALORHOJA(Datos[[#This Row],[NP]],$B$42),VALORHOJA(Datos[[#This Row],[NP]],$D$63)/VALORHOJA(Datos[[#This Row],[NP]],$D$42)),"")</f>
        <v>6712.7329051958768</v>
      </c>
      <c r="AC28" s="148">
        <f>IFERROR(IF(Datos[[#This Row],[Precio / Millar (Norwork)]]&lt;&gt;"",SUM(Datos[[#This Row],[Ingresos Totales (Norwork)]],-Datos[[#This Row],[Costos Totales (Norwork)]]),""),"")</f>
        <v>2876.885530798234</v>
      </c>
      <c r="AD28" s="153">
        <f>IFERROR(Datos[[#This Row],[Beneficio (Norwork)]]/Datos[[#This Row],[Ingresos Totales (Norwork)]],"")</f>
        <v>0.3000000000000001</v>
      </c>
    </row>
    <row r="29" spans="2:30" x14ac:dyDescent="0.3">
      <c r="B29" s="145" t="s">
        <v>408</v>
      </c>
      <c r="C29" s="145" t="s">
        <v>836</v>
      </c>
      <c r="D29" s="145"/>
      <c r="E29" s="145"/>
      <c r="G29" s="149">
        <v>67696</v>
      </c>
      <c r="H29" s="144"/>
      <c r="W29" s="148" t="s">
        <v>298</v>
      </c>
      <c r="X29" s="148" t="str">
        <f>IFERROR(Datos[[#This Row],[ARIBA PRECIO POR MILLAR (Dólares)]]/1000*Datos[[#This Row],[DEMANDA ANUAL]],"")</f>
        <v/>
      </c>
      <c r="Y29" s="153" t="str">
        <f>IFERROR((Datos[[#This Row],[INGRESO PRECIO ARIBA]]-Datos[[#This Row],[Costos Totales (Norwork)]])/Datos[[#This Row],[INGRESO PRECIO ARIBA]],"")</f>
        <v/>
      </c>
      <c r="Z29" s="148" t="str">
        <f>IFERROR(IF(Datos[[#This Row],[CON ETIQUETA]]="No",VALORHOJA(Datos[[#This Row],[NP]],$B$44),VALORHOJA(Datos[[#This Row],[NP]],$D$44)),"")</f>
        <v/>
      </c>
      <c r="AA29" s="148" t="str">
        <f>IFERROR(IF(Datos[[#This Row],[Precio / Millar (Norwork)]]&lt;&gt;"",PRODUCT(Datos[[#This Row],[Precio / Millar (Norwork)]]/1000,Datos[[#This Row],[DEMANDA ANUAL]]),""),"")</f>
        <v/>
      </c>
      <c r="AB2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9" s="148" t="str">
        <f>IFERROR(IF(Datos[[#This Row],[Precio / Millar (Norwork)]]&lt;&gt;"",SUM(Datos[[#This Row],[Ingresos Totales (Norwork)]],-Datos[[#This Row],[Costos Totales (Norwork)]]),""),"")</f>
        <v/>
      </c>
      <c r="AD29" s="153" t="str">
        <f>IFERROR(Datos[[#This Row],[Beneficio (Norwork)]]/Datos[[#This Row],[Ingresos Totales (Norwork)]],"")</f>
        <v/>
      </c>
    </row>
    <row r="30" spans="2:30" x14ac:dyDescent="0.3">
      <c r="B30" s="145" t="s">
        <v>445</v>
      </c>
      <c r="C30" s="176" t="s">
        <v>872</v>
      </c>
      <c r="D30" s="176"/>
      <c r="E30" s="145"/>
      <c r="F30" s="153"/>
      <c r="G30" s="149">
        <v>56760</v>
      </c>
      <c r="H30" s="144"/>
      <c r="W30" s="148" t="s">
        <v>298</v>
      </c>
      <c r="X30" s="148" t="str">
        <f>IFERROR(Datos[[#This Row],[ARIBA PRECIO POR MILLAR (Dólares)]]/1000*Datos[[#This Row],[DEMANDA ANUAL]],"")</f>
        <v/>
      </c>
      <c r="Y30" s="153" t="str">
        <f>IFERROR((Datos[[#This Row],[INGRESO PRECIO ARIBA]]-Datos[[#This Row],[Costos Totales (Norwork)]])/Datos[[#This Row],[INGRESO PRECIO ARIBA]],"")</f>
        <v/>
      </c>
      <c r="Z30" s="148" t="str">
        <f>IFERROR(IF(Datos[[#This Row],[CON ETIQUETA]]="No",VALORHOJA(Datos[[#This Row],[NP]],$B$44),VALORHOJA(Datos[[#This Row],[NP]],$D$44)),"")</f>
        <v/>
      </c>
      <c r="AA30" s="148" t="str">
        <f>IFERROR(IF(Datos[[#This Row],[Precio / Millar (Norwork)]]&lt;&gt;"",PRODUCT(Datos[[#This Row],[Precio / Millar (Norwork)]]/1000,Datos[[#This Row],[DEMANDA ANUAL]]),""),"")</f>
        <v/>
      </c>
      <c r="AB3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0" s="148" t="str">
        <f>IFERROR(IF(Datos[[#This Row],[Precio / Millar (Norwork)]]&lt;&gt;"",SUM(Datos[[#This Row],[Ingresos Totales (Norwork)]],-Datos[[#This Row],[Costos Totales (Norwork)]]),""),"")</f>
        <v/>
      </c>
      <c r="AD30" s="153" t="str">
        <f>IFERROR(Datos[[#This Row],[Beneficio (Norwork)]]/Datos[[#This Row],[Ingresos Totales (Norwork)]],"")</f>
        <v/>
      </c>
    </row>
    <row r="31" spans="2:30" x14ac:dyDescent="0.3">
      <c r="B31" s="173" t="s">
        <v>369</v>
      </c>
      <c r="C31" s="176" t="s">
        <v>798</v>
      </c>
      <c r="D31" s="176" t="s">
        <v>1205</v>
      </c>
      <c r="E31" s="145">
        <v>1</v>
      </c>
      <c r="F31" s="148" t="s">
        <v>202</v>
      </c>
      <c r="G31" s="149">
        <v>55714</v>
      </c>
      <c r="H31" s="142" t="s">
        <v>202</v>
      </c>
      <c r="I31" s="142" t="s">
        <v>202</v>
      </c>
      <c r="J31" s="142" t="s">
        <v>207</v>
      </c>
      <c r="K31" s="142" t="s">
        <v>203</v>
      </c>
      <c r="L31" s="142">
        <v>1</v>
      </c>
      <c r="M31" s="142">
        <v>2</v>
      </c>
      <c r="N31" s="142">
        <v>12</v>
      </c>
      <c r="O31" s="142" t="s">
        <v>195</v>
      </c>
      <c r="P31" s="142" t="s">
        <v>198</v>
      </c>
      <c r="Q31" s="142" t="s">
        <v>199</v>
      </c>
      <c r="S31" s="142" t="s">
        <v>195</v>
      </c>
      <c r="T31" s="142" t="s">
        <v>326</v>
      </c>
      <c r="U31" s="142">
        <v>14</v>
      </c>
      <c r="W31" s="148" t="s">
        <v>298</v>
      </c>
      <c r="X31" s="148" t="str">
        <f>IFERROR(Datos[[#This Row],[ARIBA PRECIO POR MILLAR (Dólares)]]/1000*Datos[[#This Row],[DEMANDA ANUAL]],"")</f>
        <v/>
      </c>
      <c r="Y31" s="153" t="str">
        <f>IFERROR((Datos[[#This Row],[INGRESO PRECIO ARIBA]]-Datos[[#This Row],[Costos Totales (Norwork)]])/Datos[[#This Row],[INGRESO PRECIO ARIBA]],"")</f>
        <v/>
      </c>
      <c r="Z31" s="148">
        <f>IFERROR(IF(Datos[[#This Row],[CON ETIQUETA]]="No",VALORHOJA(Datos[[#This Row],[NP]],$B$44),VALORHOJA(Datos[[#This Row],[NP]],$D$44)),"")</f>
        <v>136.94733103817424</v>
      </c>
      <c r="AA31" s="148">
        <f>IFERROR(IF(Datos[[#This Row],[Precio / Millar (Norwork)]]&lt;&gt;"",PRODUCT(Datos[[#This Row],[Precio / Millar (Norwork)]]/1000,Datos[[#This Row],[DEMANDA ANUAL]]),""),"")</f>
        <v>7629.8836014608396</v>
      </c>
      <c r="AB31" s="155">
        <f>IFERROR(IF(Datos[[#This Row],[CON ETIQUETA]]="No",VALORHOJA(Datos[[#This Row],[NP]],$B$63)/VALORHOJA(Datos[[#This Row],[NP]],$B$42),VALORHOJA(Datos[[#This Row],[NP]],$D$63)/VALORHOJA(Datos[[#This Row],[NP]],$D$42)),"")</f>
        <v>5340.9185210225878</v>
      </c>
      <c r="AC31" s="148">
        <f>IFERROR(IF(Datos[[#This Row],[Precio / Millar (Norwork)]]&lt;&gt;"",SUM(Datos[[#This Row],[Ingresos Totales (Norwork)]],-Datos[[#This Row],[Costos Totales (Norwork)]]),""),"")</f>
        <v>2288.9650804382518</v>
      </c>
      <c r="AD31" s="153">
        <f>IFERROR(Datos[[#This Row],[Beneficio (Norwork)]]/Datos[[#This Row],[Ingresos Totales (Norwork)]],"")</f>
        <v>0.3</v>
      </c>
    </row>
    <row r="32" spans="2:30" x14ac:dyDescent="0.3">
      <c r="B32" s="173" t="s">
        <v>370</v>
      </c>
      <c r="C32" s="176" t="s">
        <v>799</v>
      </c>
      <c r="D32" s="176" t="s">
        <v>1205</v>
      </c>
      <c r="E32" s="145">
        <v>1</v>
      </c>
      <c r="F32" s="148" t="s">
        <v>202</v>
      </c>
      <c r="G32" s="149">
        <v>55714</v>
      </c>
      <c r="H32" s="142" t="s">
        <v>202</v>
      </c>
      <c r="I32" s="142" t="s">
        <v>202</v>
      </c>
      <c r="J32" s="142" t="s">
        <v>207</v>
      </c>
      <c r="K32" s="142" t="s">
        <v>203</v>
      </c>
      <c r="L32" s="142">
        <v>1</v>
      </c>
      <c r="M32" s="142">
        <v>2</v>
      </c>
      <c r="N32" s="142">
        <v>12</v>
      </c>
      <c r="O32" s="142" t="s">
        <v>195</v>
      </c>
      <c r="P32" s="142" t="s">
        <v>198</v>
      </c>
      <c r="Q32" s="142" t="s">
        <v>199</v>
      </c>
      <c r="S32" s="142" t="s">
        <v>195</v>
      </c>
      <c r="T32" s="142" t="s">
        <v>326</v>
      </c>
      <c r="U32" s="142">
        <v>14</v>
      </c>
      <c r="W32" s="148" t="s">
        <v>298</v>
      </c>
      <c r="X32" s="148" t="str">
        <f>IFERROR(Datos[[#This Row],[ARIBA PRECIO POR MILLAR (Dólares)]]/1000*Datos[[#This Row],[DEMANDA ANUAL]],"")</f>
        <v/>
      </c>
      <c r="Y32" s="153" t="str">
        <f>IFERROR((Datos[[#This Row],[INGRESO PRECIO ARIBA]]-Datos[[#This Row],[Costos Totales (Norwork)]])/Datos[[#This Row],[INGRESO PRECIO ARIBA]],"")</f>
        <v/>
      </c>
      <c r="Z32" s="148">
        <f>IFERROR(IF(Datos[[#This Row],[CON ETIQUETA]]="No",VALORHOJA(Datos[[#This Row],[NP]],$B$44),VALORHOJA(Datos[[#This Row],[NP]],$D$44)),"")</f>
        <v>136.94733103817424</v>
      </c>
      <c r="AA32" s="148">
        <f>IFERROR(IF(Datos[[#This Row],[Precio / Millar (Norwork)]]&lt;&gt;"",PRODUCT(Datos[[#This Row],[Precio / Millar (Norwork)]]/1000,Datos[[#This Row],[DEMANDA ANUAL]]),""),"")</f>
        <v>7629.8836014608396</v>
      </c>
      <c r="AB32" s="155">
        <f>IFERROR(IF(Datos[[#This Row],[CON ETIQUETA]]="No",VALORHOJA(Datos[[#This Row],[NP]],$B$63)/VALORHOJA(Datos[[#This Row],[NP]],$B$42),VALORHOJA(Datos[[#This Row],[NP]],$D$63)/VALORHOJA(Datos[[#This Row],[NP]],$D$42)),"")</f>
        <v>5340.9185210225878</v>
      </c>
      <c r="AC32" s="148">
        <f>IFERROR(IF(Datos[[#This Row],[Precio / Millar (Norwork)]]&lt;&gt;"",SUM(Datos[[#This Row],[Ingresos Totales (Norwork)]],-Datos[[#This Row],[Costos Totales (Norwork)]]),""),"")</f>
        <v>2288.9650804382518</v>
      </c>
      <c r="AD32" s="153">
        <f>IFERROR(Datos[[#This Row],[Beneficio (Norwork)]]/Datos[[#This Row],[Ingresos Totales (Norwork)]],"")</f>
        <v>0.3</v>
      </c>
    </row>
    <row r="33" spans="2:34" x14ac:dyDescent="0.3">
      <c r="B33" s="145" t="s">
        <v>420</v>
      </c>
      <c r="C33" s="145" t="s">
        <v>848</v>
      </c>
      <c r="D33" s="145"/>
      <c r="E33" s="145"/>
      <c r="G33" s="149">
        <v>52960</v>
      </c>
      <c r="H33" s="144"/>
      <c r="W33" s="148" t="s">
        <v>298</v>
      </c>
      <c r="X33" s="148" t="str">
        <f>IFERROR(Datos[[#This Row],[ARIBA PRECIO POR MILLAR (Dólares)]]/1000*Datos[[#This Row],[DEMANDA ANUAL]],"")</f>
        <v/>
      </c>
      <c r="Y33" s="153" t="str">
        <f>IFERROR((Datos[[#This Row],[INGRESO PRECIO ARIBA]]-Datos[[#This Row],[Costos Totales (Norwork)]])/Datos[[#This Row],[INGRESO PRECIO ARIBA]],"")</f>
        <v/>
      </c>
      <c r="Z33" s="148" t="str">
        <f>IFERROR(IF(Datos[[#This Row],[CON ETIQUETA]]="No",VALORHOJA(Datos[[#This Row],[NP]],$B$44),VALORHOJA(Datos[[#This Row],[NP]],$D$44)),"")</f>
        <v/>
      </c>
      <c r="AA33" s="148" t="str">
        <f>IFERROR(IF(Datos[[#This Row],[Precio / Millar (Norwork)]]&lt;&gt;"",PRODUCT(Datos[[#This Row],[Precio / Millar (Norwork)]]/1000,Datos[[#This Row],[DEMANDA ANUAL]]),""),"")</f>
        <v/>
      </c>
      <c r="AB3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3" s="148" t="str">
        <f>IFERROR(IF(Datos[[#This Row],[Precio / Millar (Norwork)]]&lt;&gt;"",SUM(Datos[[#This Row],[Ingresos Totales (Norwork)]],-Datos[[#This Row],[Costos Totales (Norwork)]]),""),"")</f>
        <v/>
      </c>
      <c r="AD33" s="153" t="str">
        <f>IFERROR(Datos[[#This Row],[Beneficio (Norwork)]]/Datos[[#This Row],[Ingresos Totales (Norwork)]],"")</f>
        <v/>
      </c>
    </row>
    <row r="34" spans="2:34" x14ac:dyDescent="0.3">
      <c r="B34" s="145" t="s">
        <v>479</v>
      </c>
      <c r="C34" s="145" t="s">
        <v>906</v>
      </c>
      <c r="D34" s="145"/>
      <c r="E34" s="145"/>
      <c r="G34" s="149">
        <v>51352</v>
      </c>
      <c r="H34" s="144"/>
      <c r="W34" s="148" t="s">
        <v>298</v>
      </c>
      <c r="X34" s="148" t="str">
        <f>IFERROR(Datos[[#This Row],[ARIBA PRECIO POR MILLAR (Dólares)]]/1000*Datos[[#This Row],[DEMANDA ANUAL]],"")</f>
        <v/>
      </c>
      <c r="Y34" s="153" t="str">
        <f>IFERROR((Datos[[#This Row],[INGRESO PRECIO ARIBA]]-Datos[[#This Row],[Costos Totales (Norwork)]])/Datos[[#This Row],[INGRESO PRECIO ARIBA]],"")</f>
        <v/>
      </c>
      <c r="Z34" s="148" t="str">
        <f>IFERROR(IF(Datos[[#This Row],[CON ETIQUETA]]="No",VALORHOJA(Datos[[#This Row],[NP]],$B$44),VALORHOJA(Datos[[#This Row],[NP]],$D$44)),"")</f>
        <v/>
      </c>
      <c r="AA34" s="148" t="str">
        <f>IFERROR(IF(Datos[[#This Row],[Precio / Millar (Norwork)]]&lt;&gt;"",PRODUCT(Datos[[#This Row],[Precio / Millar (Norwork)]]/1000,Datos[[#This Row],[DEMANDA ANUAL]]),""),"")</f>
        <v/>
      </c>
      <c r="AB3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4" s="148" t="str">
        <f>IFERROR(IF(Datos[[#This Row],[Precio / Millar (Norwork)]]&lt;&gt;"",SUM(Datos[[#This Row],[Ingresos Totales (Norwork)]],-Datos[[#This Row],[Costos Totales (Norwork)]]),""),"")</f>
        <v/>
      </c>
      <c r="AD34" s="153" t="str">
        <f>IFERROR(Datos[[#This Row],[Beneficio (Norwork)]]/Datos[[#This Row],[Ingresos Totales (Norwork)]],"")</f>
        <v/>
      </c>
    </row>
    <row r="35" spans="2:34" x14ac:dyDescent="0.3">
      <c r="B35" s="145" t="s">
        <v>425</v>
      </c>
      <c r="C35" s="145" t="s">
        <v>853</v>
      </c>
      <c r="D35" s="145"/>
      <c r="E35" s="145"/>
      <c r="G35" s="149">
        <v>47546</v>
      </c>
      <c r="H35" s="144"/>
      <c r="W35" s="148" t="s">
        <v>298</v>
      </c>
      <c r="X35" s="148" t="str">
        <f>IFERROR(Datos[[#This Row],[ARIBA PRECIO POR MILLAR (Dólares)]]/1000*Datos[[#This Row],[DEMANDA ANUAL]],"")</f>
        <v/>
      </c>
      <c r="Y35" s="153" t="str">
        <f>IFERROR((Datos[[#This Row],[INGRESO PRECIO ARIBA]]-Datos[[#This Row],[Costos Totales (Norwork)]])/Datos[[#This Row],[INGRESO PRECIO ARIBA]],"")</f>
        <v/>
      </c>
      <c r="Z35" s="148" t="str">
        <f>IFERROR(IF(Datos[[#This Row],[CON ETIQUETA]]="No",VALORHOJA(Datos[[#This Row],[NP]],$B$44),VALORHOJA(Datos[[#This Row],[NP]],$D$44)),"")</f>
        <v/>
      </c>
      <c r="AA35" s="148" t="str">
        <f>IFERROR(IF(Datos[[#This Row],[Precio / Millar (Norwork)]]&lt;&gt;"",PRODUCT(Datos[[#This Row],[Precio / Millar (Norwork)]]/1000,Datos[[#This Row],[DEMANDA ANUAL]]),""),"")</f>
        <v/>
      </c>
      <c r="AB3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5" s="148" t="str">
        <f>IFERROR(IF(Datos[[#This Row],[Precio / Millar (Norwork)]]&lt;&gt;"",SUM(Datos[[#This Row],[Ingresos Totales (Norwork)]],-Datos[[#This Row],[Costos Totales (Norwork)]]),""),"")</f>
        <v/>
      </c>
      <c r="AD35" s="153" t="str">
        <f>IFERROR(Datos[[#This Row],[Beneficio (Norwork)]]/Datos[[#This Row],[Ingresos Totales (Norwork)]],"")</f>
        <v/>
      </c>
    </row>
    <row r="36" spans="2:34" x14ac:dyDescent="0.3">
      <c r="B36" s="145" t="s">
        <v>427</v>
      </c>
      <c r="C36" s="176" t="s">
        <v>855</v>
      </c>
      <c r="D36" s="176"/>
      <c r="E36" s="145"/>
      <c r="F36" s="153"/>
      <c r="G36" s="149">
        <v>45792</v>
      </c>
      <c r="H36" s="144"/>
      <c r="W36" s="148" t="s">
        <v>298</v>
      </c>
      <c r="X36" s="148" t="str">
        <f>IFERROR(Datos[[#This Row],[ARIBA PRECIO POR MILLAR (Dólares)]]/1000*Datos[[#This Row],[DEMANDA ANUAL]],"")</f>
        <v/>
      </c>
      <c r="Y36" s="153" t="str">
        <f>IFERROR((Datos[[#This Row],[INGRESO PRECIO ARIBA]]-Datos[[#This Row],[Costos Totales (Norwork)]])/Datos[[#This Row],[INGRESO PRECIO ARIBA]],"")</f>
        <v/>
      </c>
      <c r="Z36" s="148" t="str">
        <f>IFERROR(IF(Datos[[#This Row],[CON ETIQUETA]]="No",VALORHOJA(Datos[[#This Row],[NP]],$B$44),VALORHOJA(Datos[[#This Row],[NP]],$D$44)),"")</f>
        <v/>
      </c>
      <c r="AA36" s="148" t="str">
        <f>IFERROR(IF(Datos[[#This Row],[Precio / Millar (Norwork)]]&lt;&gt;"",PRODUCT(Datos[[#This Row],[Precio / Millar (Norwork)]]/1000,Datos[[#This Row],[DEMANDA ANUAL]]),""),"")</f>
        <v/>
      </c>
      <c r="AB3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6" s="148" t="str">
        <f>IFERROR(IF(Datos[[#This Row],[Precio / Millar (Norwork)]]&lt;&gt;"",SUM(Datos[[#This Row],[Ingresos Totales (Norwork)]],-Datos[[#This Row],[Costos Totales (Norwork)]]),""),"")</f>
        <v/>
      </c>
      <c r="AD36" s="153" t="str">
        <f>IFERROR(Datos[[#This Row],[Beneficio (Norwork)]]/Datos[[#This Row],[Ingresos Totales (Norwork)]],"")</f>
        <v/>
      </c>
    </row>
    <row r="37" spans="2:34" x14ac:dyDescent="0.3">
      <c r="B37" s="145" t="s">
        <v>400</v>
      </c>
      <c r="C37" s="176" t="s">
        <v>828</v>
      </c>
      <c r="D37" s="176"/>
      <c r="E37" s="145"/>
      <c r="F37" s="148"/>
      <c r="G37" s="149">
        <v>42240</v>
      </c>
      <c r="H37" s="144"/>
      <c r="W37" s="148" t="s">
        <v>298</v>
      </c>
      <c r="X37" s="148" t="str">
        <f>IFERROR(Datos[[#This Row],[ARIBA PRECIO POR MILLAR (Dólares)]]/1000*Datos[[#This Row],[DEMANDA ANUAL]],"")</f>
        <v/>
      </c>
      <c r="Y37" s="153" t="str">
        <f>IFERROR((Datos[[#This Row],[INGRESO PRECIO ARIBA]]-Datos[[#This Row],[Costos Totales (Norwork)]])/Datos[[#This Row],[INGRESO PRECIO ARIBA]],"")</f>
        <v/>
      </c>
      <c r="Z37" s="148" t="str">
        <f>IFERROR(IF(Datos[[#This Row],[CON ETIQUETA]]="No",VALORHOJA(Datos[[#This Row],[NP]],$B$44),VALORHOJA(Datos[[#This Row],[NP]],$D$44)),"")</f>
        <v/>
      </c>
      <c r="AA37" s="148" t="str">
        <f>IFERROR(IF(Datos[[#This Row],[Precio / Millar (Norwork)]]&lt;&gt;"",PRODUCT(Datos[[#This Row],[Precio / Millar (Norwork)]]/1000,Datos[[#This Row],[DEMANDA ANUAL]]),""),"")</f>
        <v/>
      </c>
      <c r="AB3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7" s="148" t="str">
        <f>IFERROR(IF(Datos[[#This Row],[Precio / Millar (Norwork)]]&lt;&gt;"",SUM(Datos[[#This Row],[Ingresos Totales (Norwork)]],-Datos[[#This Row],[Costos Totales (Norwork)]]),""),"")</f>
        <v/>
      </c>
      <c r="AD37" s="153" t="str">
        <f>IFERROR(Datos[[#This Row],[Beneficio (Norwork)]]/Datos[[#This Row],[Ingresos Totales (Norwork)]],"")</f>
        <v/>
      </c>
    </row>
    <row r="38" spans="2:34" x14ac:dyDescent="0.3">
      <c r="B38" s="171" t="s">
        <v>228</v>
      </c>
      <c r="C38" s="175" t="s">
        <v>229</v>
      </c>
      <c r="D38" s="145" t="s">
        <v>1204</v>
      </c>
      <c r="E38" s="145">
        <v>1</v>
      </c>
      <c r="F38" s="145" t="s">
        <v>202</v>
      </c>
      <c r="G38" s="149">
        <v>41900</v>
      </c>
      <c r="H38" s="145" t="s">
        <v>202</v>
      </c>
      <c r="I38" s="142" t="s">
        <v>195</v>
      </c>
      <c r="J38" s="145" t="s">
        <v>196</v>
      </c>
      <c r="K38" s="145" t="s">
        <v>203</v>
      </c>
      <c r="L38" s="145">
        <v>1</v>
      </c>
      <c r="M38" s="145">
        <v>2</v>
      </c>
      <c r="N38" s="145">
        <v>64</v>
      </c>
      <c r="O38" s="145" t="s">
        <v>195</v>
      </c>
      <c r="P38" s="145" t="s">
        <v>198</v>
      </c>
      <c r="Q38" s="145"/>
      <c r="R38" s="145"/>
      <c r="S38" s="142" t="s">
        <v>195</v>
      </c>
      <c r="T38" s="145" t="s">
        <v>327</v>
      </c>
      <c r="U38" s="145">
        <v>6</v>
      </c>
      <c r="V38" s="145"/>
      <c r="W38" s="148">
        <v>380</v>
      </c>
      <c r="X38" s="148">
        <f>IFERROR(Datos[[#This Row],[ARIBA PRECIO POR MILLAR (Dólares)]]/1000*Datos[[#This Row],[DEMANDA ANUAL]],"")</f>
        <v>15922</v>
      </c>
      <c r="Y38" s="153">
        <f>IFERROR((Datos[[#This Row],[INGRESO PRECIO ARIBA]]-Datos[[#This Row],[Costos Totales (Norwork)]])/Datos[[#This Row],[INGRESO PRECIO ARIBA]],"")</f>
        <v>-0.17399555802023089</v>
      </c>
      <c r="Z38" s="148">
        <f>IFERROR(IF(Datos[[#This Row],[CON ETIQUETA]]="No",VALORHOJA(Datos[[#This Row],[NP]],$B$44),VALORHOJA(Datos[[#This Row],[NP]],$D$44)),"")</f>
        <v>637.31187435383947</v>
      </c>
      <c r="AA38" s="148">
        <f>IFERROR(IF(Datos[[#This Row],[Precio / Millar (Norwork)]]&lt;&gt;"",PRODUCT(Datos[[#This Row],[Precio / Millar (Norwork)]]/1000,Datos[[#This Row],[DEMANDA ANUAL]]),""),"")</f>
        <v>26703.367535425874</v>
      </c>
      <c r="AB38" s="155">
        <f>IFERROR(IF(Datos[[#This Row],[CON ETIQUETA]]="No",VALORHOJA(Datos[[#This Row],[NP]],$B$63)/VALORHOJA(Datos[[#This Row],[NP]],$B$42),VALORHOJA(Datos[[#This Row],[NP]],$D$63)/VALORHOJA(Datos[[#This Row],[NP]],$D$42)),"")</f>
        <v>18692.357274798116</v>
      </c>
      <c r="AC38" s="148">
        <f>IFERROR(IF(Datos[[#This Row],[Precio / Millar (Norwork)]]&lt;&gt;"",SUM(Datos[[#This Row],[Ingresos Totales (Norwork)]],-Datos[[#This Row],[Costos Totales (Norwork)]]),""),"")</f>
        <v>8011.0102606277578</v>
      </c>
      <c r="AD38" s="153">
        <f>IFERROR(Datos[[#This Row],[Beneficio (Norwork)]]/Datos[[#This Row],[Ingresos Totales (Norwork)]],"")</f>
        <v>0.29999999999999982</v>
      </c>
    </row>
    <row r="39" spans="2:34" x14ac:dyDescent="0.3">
      <c r="B39" s="145" t="s">
        <v>391</v>
      </c>
      <c r="C39" s="176" t="s">
        <v>819</v>
      </c>
      <c r="D39" s="176"/>
      <c r="E39" s="145"/>
      <c r="F39" s="148"/>
      <c r="G39" s="149">
        <v>40520</v>
      </c>
      <c r="H39" s="144"/>
      <c r="W39" s="148" t="s">
        <v>298</v>
      </c>
      <c r="X39" s="148" t="str">
        <f>IFERROR(Datos[[#This Row],[ARIBA PRECIO POR MILLAR (Dólares)]]/1000*Datos[[#This Row],[DEMANDA ANUAL]],"")</f>
        <v/>
      </c>
      <c r="Y39" s="153" t="str">
        <f>IFERROR((Datos[[#This Row],[INGRESO PRECIO ARIBA]]-Datos[[#This Row],[Costos Totales (Norwork)]])/Datos[[#This Row],[INGRESO PRECIO ARIBA]],"")</f>
        <v/>
      </c>
      <c r="Z39" s="148" t="str">
        <f>IFERROR(IF(Datos[[#This Row],[CON ETIQUETA]]="No",VALORHOJA(Datos[[#This Row],[NP]],$B$44),VALORHOJA(Datos[[#This Row],[NP]],$D$44)),"")</f>
        <v/>
      </c>
      <c r="AA39" s="148" t="str">
        <f>IFERROR(IF(Datos[[#This Row],[Precio / Millar (Norwork)]]&lt;&gt;"",PRODUCT(Datos[[#This Row],[Precio / Millar (Norwork)]]/1000,Datos[[#This Row],[DEMANDA ANUAL]]),""),"")</f>
        <v/>
      </c>
      <c r="AB3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9" s="148" t="str">
        <f>IFERROR(IF(Datos[[#This Row],[Precio / Millar (Norwork)]]&lt;&gt;"",SUM(Datos[[#This Row],[Ingresos Totales (Norwork)]],-Datos[[#This Row],[Costos Totales (Norwork)]]),""),"")</f>
        <v/>
      </c>
      <c r="AD39" s="153" t="str">
        <f>IFERROR(Datos[[#This Row],[Beneficio (Norwork)]]/Datos[[#This Row],[Ingresos Totales (Norwork)]],"")</f>
        <v/>
      </c>
    </row>
    <row r="40" spans="2:34" x14ac:dyDescent="0.3">
      <c r="B40" s="173" t="s">
        <v>267</v>
      </c>
      <c r="C40" s="145" t="s">
        <v>268</v>
      </c>
      <c r="D40" s="145" t="s">
        <v>1205</v>
      </c>
      <c r="E40" s="145">
        <v>1</v>
      </c>
      <c r="F40" s="142" t="s">
        <v>202</v>
      </c>
      <c r="G40" s="149">
        <v>39446</v>
      </c>
      <c r="H40" s="142" t="s">
        <v>202</v>
      </c>
      <c r="I40" s="142" t="s">
        <v>202</v>
      </c>
      <c r="J40" s="142" t="s">
        <v>207</v>
      </c>
      <c r="K40" s="142" t="s">
        <v>203</v>
      </c>
      <c r="L40" s="142">
        <v>1</v>
      </c>
      <c r="M40" s="142">
        <v>2</v>
      </c>
      <c r="N40" s="142">
        <v>28</v>
      </c>
      <c r="O40" s="142" t="s">
        <v>195</v>
      </c>
      <c r="P40" s="142" t="s">
        <v>198</v>
      </c>
      <c r="Q40" s="142" t="s">
        <v>199</v>
      </c>
      <c r="S40" s="142" t="s">
        <v>195</v>
      </c>
      <c r="T40" s="142" t="s">
        <v>326</v>
      </c>
      <c r="U40" s="142">
        <v>6</v>
      </c>
      <c r="W40" s="148">
        <v>260</v>
      </c>
      <c r="X40" s="148">
        <f>IFERROR(Datos[[#This Row],[ARIBA PRECIO POR MILLAR (Dólares)]]/1000*Datos[[#This Row],[DEMANDA ANUAL]],"")</f>
        <v>10255.960000000001</v>
      </c>
      <c r="Y40" s="153">
        <f>IFERROR((Datos[[#This Row],[INGRESO PRECIO ARIBA]]-Datos[[#This Row],[Costos Totales (Norwork)]])/Datos[[#This Row],[INGRESO PRECIO ARIBA]],"")</f>
        <v>0.21508672960692188</v>
      </c>
      <c r="Z40" s="148">
        <f>IFERROR(IF(Datos[[#This Row],[CON ETIQUETA]]="No",VALORHOJA(Datos[[#This Row],[NP]],$B$44),VALORHOJA(Datos[[#This Row],[NP]],$D$44)),"")</f>
        <v>291.53921471742899</v>
      </c>
      <c r="AA40" s="148">
        <f>IFERROR(IF(Datos[[#This Row],[Precio / Millar (Norwork)]]&lt;&gt;"",PRODUCT(Datos[[#This Row],[Precio / Millar (Norwork)]]/1000,Datos[[#This Row],[DEMANDA ANUAL]]),""),"")</f>
        <v>11500.055863743704</v>
      </c>
      <c r="AB40" s="155">
        <f>IFERROR(IF(Datos[[#This Row],[CON ETIQUETA]]="No",VALORHOJA(Datos[[#This Row],[NP]],$B$63)/VALORHOJA(Datos[[#This Row],[NP]],$B$42),VALORHOJA(Datos[[#This Row],[NP]],$D$63)/VALORHOJA(Datos[[#This Row],[NP]],$D$42)),"")</f>
        <v>8050.0391046205941</v>
      </c>
      <c r="AC40" s="148">
        <f>IFERROR(IF(Datos[[#This Row],[Precio / Millar (Norwork)]]&lt;&gt;"",SUM(Datos[[#This Row],[Ingresos Totales (Norwork)]],-Datos[[#This Row],[Costos Totales (Norwork)]]),""),"")</f>
        <v>3450.0167591231102</v>
      </c>
      <c r="AD40" s="153">
        <f>IFERROR(Datos[[#This Row],[Beneficio (Norwork)]]/Datos[[#This Row],[Ingresos Totales (Norwork)]],"")</f>
        <v>0.29999999999999988</v>
      </c>
    </row>
    <row r="41" spans="2:34" ht="14.4" x14ac:dyDescent="0.3">
      <c r="B41" s="180" t="s">
        <v>371</v>
      </c>
      <c r="C41" s="176" t="s">
        <v>800</v>
      </c>
      <c r="D41" s="176" t="s">
        <v>1205</v>
      </c>
      <c r="E41" s="145">
        <v>1</v>
      </c>
      <c r="F41" s="148" t="s">
        <v>202</v>
      </c>
      <c r="G41" s="149">
        <v>39446</v>
      </c>
      <c r="H41" s="142" t="s">
        <v>202</v>
      </c>
      <c r="I41" s="142" t="s">
        <v>202</v>
      </c>
      <c r="J41" s="142" t="s">
        <v>266</v>
      </c>
      <c r="K41" s="142" t="s">
        <v>203</v>
      </c>
      <c r="L41" s="142">
        <v>1</v>
      </c>
      <c r="M41" s="142">
        <v>2</v>
      </c>
      <c r="N41" s="142">
        <v>2</v>
      </c>
      <c r="O41" s="142" t="s">
        <v>195</v>
      </c>
      <c r="P41" s="142" t="s">
        <v>198</v>
      </c>
      <c r="Q41" s="142" t="s">
        <v>199</v>
      </c>
      <c r="S41" s="142" t="s">
        <v>195</v>
      </c>
      <c r="T41" s="142" t="s">
        <v>329</v>
      </c>
      <c r="U41" s="142">
        <v>1</v>
      </c>
      <c r="W41" s="148" t="s">
        <v>298</v>
      </c>
      <c r="X41" s="148" t="str">
        <f>IFERROR(Datos[[#This Row],[ARIBA PRECIO POR MILLAR (Dólares)]]/1000*Datos[[#This Row],[DEMANDA ANUAL]],"")</f>
        <v/>
      </c>
      <c r="Y41" s="153" t="str">
        <f>IFERROR((Datos[[#This Row],[INGRESO PRECIO ARIBA]]-Datos[[#This Row],[Costos Totales (Norwork)]])/Datos[[#This Row],[INGRESO PRECIO ARIBA]],"")</f>
        <v/>
      </c>
      <c r="Z41" s="148">
        <f>IFERROR(IF(Datos[[#This Row],[CON ETIQUETA]]="No",VALORHOJA(Datos[[#This Row],[NP]],$B$44),VALORHOJA(Datos[[#This Row],[NP]],$D$44)),"")</f>
        <v>45.445230727294657</v>
      </c>
      <c r="AA41" s="148">
        <f>IFERROR(IF(Datos[[#This Row],[Precio / Millar (Norwork)]]&lt;&gt;"",PRODUCT(Datos[[#This Row],[Precio / Millar (Norwork)]]/1000,Datos[[#This Row],[DEMANDA ANUAL]]),""),"")</f>
        <v>1792.6325712688651</v>
      </c>
      <c r="AB41" s="155">
        <f>IFERROR(IF(Datos[[#This Row],[CON ETIQUETA]]="No",VALORHOJA(Datos[[#This Row],[NP]],$B$63)/VALORHOJA(Datos[[#This Row],[NP]],$B$42),VALORHOJA(Datos[[#This Row],[NP]],$D$63)/VALORHOJA(Datos[[#This Row],[NP]],$D$42)),"")</f>
        <v>1254.8427998882055</v>
      </c>
      <c r="AC41" s="148">
        <f>IFERROR(IF(Datos[[#This Row],[Precio / Millar (Norwork)]]&lt;&gt;"",SUM(Datos[[#This Row],[Ingresos Totales (Norwork)]],-Datos[[#This Row],[Costos Totales (Norwork)]]),""),"")</f>
        <v>537.78977138065966</v>
      </c>
      <c r="AD41" s="153">
        <f>IFERROR(Datos[[#This Row],[Beneficio (Norwork)]]/Datos[[#This Row],[Ingresos Totales (Norwork)]],"")</f>
        <v>0.30000000000000004</v>
      </c>
    </row>
    <row r="42" spans="2:34" s="145" customFormat="1" x14ac:dyDescent="0.3">
      <c r="B42" s="172" t="s">
        <v>249</v>
      </c>
      <c r="C42" s="145" t="s">
        <v>250</v>
      </c>
      <c r="F42" s="142" t="s">
        <v>202</v>
      </c>
      <c r="G42" s="149">
        <v>36568</v>
      </c>
      <c r="H42" s="142" t="s">
        <v>202</v>
      </c>
      <c r="I42" s="142" t="s">
        <v>202</v>
      </c>
      <c r="J42" s="142" t="s">
        <v>196</v>
      </c>
      <c r="K42" s="142" t="s">
        <v>203</v>
      </c>
      <c r="L42" s="142">
        <v>1</v>
      </c>
      <c r="M42" s="142">
        <v>2</v>
      </c>
      <c r="N42" s="142">
        <v>36</v>
      </c>
      <c r="O42" s="142" t="s">
        <v>195</v>
      </c>
      <c r="P42" s="142" t="s">
        <v>198</v>
      </c>
      <c r="Q42" s="142" t="s">
        <v>199</v>
      </c>
      <c r="R42" s="142"/>
      <c r="S42" s="142"/>
      <c r="T42" s="142" t="s">
        <v>327</v>
      </c>
      <c r="U42" s="142">
        <v>1</v>
      </c>
      <c r="V42" s="142"/>
      <c r="W42" s="148" t="s">
        <v>298</v>
      </c>
      <c r="X42" s="148" t="str">
        <f>IFERROR(Datos[[#This Row],[ARIBA PRECIO POR MILLAR (Dólares)]]/1000*Datos[[#This Row],[DEMANDA ANUAL]],"")</f>
        <v/>
      </c>
      <c r="Y42" s="153" t="str">
        <f>IFERROR((Datos[[#This Row],[INGRESO PRECIO ARIBA]]-Datos[[#This Row],[Costos Totales (Norwork)]])/Datos[[#This Row],[INGRESO PRECIO ARIBA]],"")</f>
        <v/>
      </c>
      <c r="Z42" s="148">
        <f>IFERROR(IF(Datos[[#This Row],[CON ETIQUETA]]="No",VALORHOJA(Datos[[#This Row],[NP]],$B$44),VALORHOJA(Datos[[#This Row],[NP]],$D$44)),"")</f>
        <v>161.88645686119131</v>
      </c>
      <c r="AA42" s="148">
        <f>IFERROR(IF(Datos[[#This Row],[Precio / Millar (Norwork)]]&lt;&gt;"",PRODUCT(Datos[[#This Row],[Precio / Millar (Norwork)]]/1000,Datos[[#This Row],[DEMANDA ANUAL]]),""),"")</f>
        <v>5919.8639545000433</v>
      </c>
      <c r="AB42" s="155">
        <f>IFERROR(IF(Datos[[#This Row],[CON ETIQUETA]]="No",VALORHOJA(Datos[[#This Row],[NP]],$B$63)/VALORHOJA(Datos[[#This Row],[NP]],$B$42),VALORHOJA(Datos[[#This Row],[NP]],$D$63)/VALORHOJA(Datos[[#This Row],[NP]],$D$42)),"")</f>
        <v>6174.46378462147</v>
      </c>
      <c r="AC42" s="148">
        <f>IFERROR(IF(Datos[[#This Row],[Precio / Millar (Norwork)]]&lt;&gt;"",SUM(Datos[[#This Row],[Ingresos Totales (Norwork)]],-Datos[[#This Row],[Costos Totales (Norwork)]]),""),"")</f>
        <v>-254.59983012142675</v>
      </c>
      <c r="AD42" s="153">
        <f>IFERROR(Datos[[#This Row],[Beneficio (Norwork)]]/Datos[[#This Row],[Ingresos Totales (Norwork)]],"")</f>
        <v>-4.3007716406707315E-2</v>
      </c>
    </row>
    <row r="43" spans="2:34" s="145" customFormat="1" x14ac:dyDescent="0.3">
      <c r="B43" s="145" t="s">
        <v>466</v>
      </c>
      <c r="C43" s="176" t="s">
        <v>893</v>
      </c>
      <c r="D43" s="176"/>
      <c r="F43" s="153"/>
      <c r="G43" s="149">
        <v>36112</v>
      </c>
      <c r="H43" s="144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8" t="s">
        <v>298</v>
      </c>
      <c r="X43" s="148" t="str">
        <f>IFERROR(Datos[[#This Row],[ARIBA PRECIO POR MILLAR (Dólares)]]/1000*Datos[[#This Row],[DEMANDA ANUAL]],"")</f>
        <v/>
      </c>
      <c r="Y43" s="153" t="str">
        <f>IFERROR((Datos[[#This Row],[INGRESO PRECIO ARIBA]]-Datos[[#This Row],[Costos Totales (Norwork)]])/Datos[[#This Row],[INGRESO PRECIO ARIBA]],"")</f>
        <v/>
      </c>
      <c r="Z43" s="148" t="str">
        <f>IFERROR(IF(Datos[[#This Row],[CON ETIQUETA]]="No",VALORHOJA(Datos[[#This Row],[NP]],$B$44),VALORHOJA(Datos[[#This Row],[NP]],$D$44)),"")</f>
        <v/>
      </c>
      <c r="AA43" s="148" t="str">
        <f>IFERROR(IF(Datos[[#This Row],[Precio / Millar (Norwork)]]&lt;&gt;"",PRODUCT(Datos[[#This Row],[Precio / Millar (Norwork)]]/1000,Datos[[#This Row],[DEMANDA ANUAL]]),""),"")</f>
        <v/>
      </c>
      <c r="AB4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3" s="148" t="str">
        <f>IFERROR(IF(Datos[[#This Row],[Precio / Millar (Norwork)]]&lt;&gt;"",SUM(Datos[[#This Row],[Ingresos Totales (Norwork)]],-Datos[[#This Row],[Costos Totales (Norwork)]]),""),"")</f>
        <v/>
      </c>
      <c r="AD43" s="153" t="str">
        <f>IFERROR(Datos[[#This Row],[Beneficio (Norwork)]]/Datos[[#This Row],[Ingresos Totales (Norwork)]],"")</f>
        <v/>
      </c>
      <c r="AE43" s="169"/>
    </row>
    <row r="44" spans="2:34" s="145" customFormat="1" x14ac:dyDescent="0.3">
      <c r="B44" s="145" t="s">
        <v>432</v>
      </c>
      <c r="C44" s="176" t="s">
        <v>817</v>
      </c>
      <c r="D44" s="176"/>
      <c r="F44" s="153"/>
      <c r="G44" s="149">
        <v>36108</v>
      </c>
      <c r="H44" s="144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8" t="s">
        <v>298</v>
      </c>
      <c r="X44" s="148" t="str">
        <f>IFERROR(Datos[[#This Row],[ARIBA PRECIO POR MILLAR (Dólares)]]/1000*Datos[[#This Row],[DEMANDA ANUAL]],"")</f>
        <v/>
      </c>
      <c r="Y44" s="153" t="str">
        <f>IFERROR((Datos[[#This Row],[INGRESO PRECIO ARIBA]]-Datos[[#This Row],[Costos Totales (Norwork)]])/Datos[[#This Row],[INGRESO PRECIO ARIBA]],"")</f>
        <v/>
      </c>
      <c r="Z44" s="148" t="str">
        <f>IFERROR(IF(Datos[[#This Row],[CON ETIQUETA]]="No",VALORHOJA(Datos[[#This Row],[NP]],$B$44),VALORHOJA(Datos[[#This Row],[NP]],$D$44)),"")</f>
        <v/>
      </c>
      <c r="AA44" s="148" t="str">
        <f>IFERROR(IF(Datos[[#This Row],[Precio / Millar (Norwork)]]&lt;&gt;"",PRODUCT(Datos[[#This Row],[Precio / Millar (Norwork)]]/1000,Datos[[#This Row],[DEMANDA ANUAL]]),""),"")</f>
        <v/>
      </c>
      <c r="AB4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4" s="148" t="str">
        <f>IFERROR(IF(Datos[[#This Row],[Precio / Millar (Norwork)]]&lt;&gt;"",SUM(Datos[[#This Row],[Ingresos Totales (Norwork)]],-Datos[[#This Row],[Costos Totales (Norwork)]]),""),"")</f>
        <v/>
      </c>
      <c r="AD44" s="153" t="str">
        <f>IFERROR(Datos[[#This Row],[Beneficio (Norwork)]]/Datos[[#This Row],[Ingresos Totales (Norwork)]],"")</f>
        <v/>
      </c>
      <c r="AE44" s="169"/>
    </row>
    <row r="45" spans="2:34" x14ac:dyDescent="0.3">
      <c r="B45" s="145" t="s">
        <v>434</v>
      </c>
      <c r="C45" s="176" t="s">
        <v>861</v>
      </c>
      <c r="D45" s="176"/>
      <c r="E45" s="145"/>
      <c r="F45" s="153"/>
      <c r="G45" s="149">
        <v>34800</v>
      </c>
      <c r="H45" s="144"/>
      <c r="W45" s="148" t="s">
        <v>298</v>
      </c>
      <c r="X45" s="148" t="str">
        <f>IFERROR(Datos[[#This Row],[ARIBA PRECIO POR MILLAR (Dólares)]]/1000*Datos[[#This Row],[DEMANDA ANUAL]],"")</f>
        <v/>
      </c>
      <c r="Y45" s="153" t="str">
        <f>IFERROR((Datos[[#This Row],[INGRESO PRECIO ARIBA]]-Datos[[#This Row],[Costos Totales (Norwork)]])/Datos[[#This Row],[INGRESO PRECIO ARIBA]],"")</f>
        <v/>
      </c>
      <c r="Z45" s="148" t="str">
        <f>IFERROR(IF(Datos[[#This Row],[CON ETIQUETA]]="No",VALORHOJA(Datos[[#This Row],[NP]],$B$44),VALORHOJA(Datos[[#This Row],[NP]],$D$44)),"")</f>
        <v/>
      </c>
      <c r="AA45" s="148" t="str">
        <f>IFERROR(IF(Datos[[#This Row],[Precio / Millar (Norwork)]]&lt;&gt;"",PRODUCT(Datos[[#This Row],[Precio / Millar (Norwork)]]/1000,Datos[[#This Row],[DEMANDA ANUAL]]),""),"")</f>
        <v/>
      </c>
      <c r="AB4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5" s="148" t="str">
        <f>IFERROR(IF(Datos[[#This Row],[Precio / Millar (Norwork)]]&lt;&gt;"",SUM(Datos[[#This Row],[Ingresos Totales (Norwork)]],-Datos[[#This Row],[Costos Totales (Norwork)]]),""),"")</f>
        <v/>
      </c>
      <c r="AD45" s="153" t="str">
        <f>IFERROR(Datos[[#This Row],[Beneficio (Norwork)]]/Datos[[#This Row],[Ingresos Totales (Norwork)]],"")</f>
        <v/>
      </c>
      <c r="AE45" s="169"/>
      <c r="AF45" s="145"/>
      <c r="AG45" s="145"/>
      <c r="AH45" s="145"/>
    </row>
    <row r="46" spans="2:34" x14ac:dyDescent="0.3">
      <c r="B46" s="145" t="s">
        <v>456</v>
      </c>
      <c r="C46" s="176" t="s">
        <v>883</v>
      </c>
      <c r="D46" s="176"/>
      <c r="E46" s="145"/>
      <c r="F46" s="153"/>
      <c r="G46" s="149">
        <v>33960</v>
      </c>
      <c r="H46" s="144"/>
      <c r="W46" s="148" t="s">
        <v>298</v>
      </c>
      <c r="X46" s="148" t="str">
        <f>IFERROR(Datos[[#This Row],[ARIBA PRECIO POR MILLAR (Dólares)]]/1000*Datos[[#This Row],[DEMANDA ANUAL]],"")</f>
        <v/>
      </c>
      <c r="Y46" s="153" t="str">
        <f>IFERROR((Datos[[#This Row],[INGRESO PRECIO ARIBA]]-Datos[[#This Row],[Costos Totales (Norwork)]])/Datos[[#This Row],[INGRESO PRECIO ARIBA]],"")</f>
        <v/>
      </c>
      <c r="Z46" s="148" t="str">
        <f>IFERROR(IF(Datos[[#This Row],[CON ETIQUETA]]="No",VALORHOJA(Datos[[#This Row],[NP]],$B$44),VALORHOJA(Datos[[#This Row],[NP]],$D$44)),"")</f>
        <v/>
      </c>
      <c r="AA46" s="148" t="str">
        <f>IFERROR(IF(Datos[[#This Row],[Precio / Millar (Norwork)]]&lt;&gt;"",PRODUCT(Datos[[#This Row],[Precio / Millar (Norwork)]]/1000,Datos[[#This Row],[DEMANDA ANUAL]]),""),"")</f>
        <v/>
      </c>
      <c r="AB4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6" s="148" t="str">
        <f>IFERROR(IF(Datos[[#This Row],[Precio / Millar (Norwork)]]&lt;&gt;"",SUM(Datos[[#This Row],[Ingresos Totales (Norwork)]],-Datos[[#This Row],[Costos Totales (Norwork)]]),""),"")</f>
        <v/>
      </c>
      <c r="AD46" s="153" t="str">
        <f>IFERROR(Datos[[#This Row],[Beneficio (Norwork)]]/Datos[[#This Row],[Ingresos Totales (Norwork)]],"")</f>
        <v/>
      </c>
    </row>
    <row r="47" spans="2:34" x14ac:dyDescent="0.3">
      <c r="B47" s="145" t="s">
        <v>415</v>
      </c>
      <c r="C47" s="145" t="s">
        <v>843</v>
      </c>
      <c r="D47" s="145"/>
      <c r="E47" s="145"/>
      <c r="G47" s="149">
        <v>32112</v>
      </c>
      <c r="H47" s="144"/>
      <c r="W47" s="148" t="s">
        <v>298</v>
      </c>
      <c r="X47" s="148" t="str">
        <f>IFERROR(Datos[[#This Row],[ARIBA PRECIO POR MILLAR (Dólares)]]/1000*Datos[[#This Row],[DEMANDA ANUAL]],"")</f>
        <v/>
      </c>
      <c r="Y47" s="153" t="str">
        <f>IFERROR((Datos[[#This Row],[INGRESO PRECIO ARIBA]]-Datos[[#This Row],[Costos Totales (Norwork)]])/Datos[[#This Row],[INGRESO PRECIO ARIBA]],"")</f>
        <v/>
      </c>
      <c r="Z47" s="148" t="str">
        <f>IFERROR(IF(Datos[[#This Row],[CON ETIQUETA]]="No",VALORHOJA(Datos[[#This Row],[NP]],$B$44),VALORHOJA(Datos[[#This Row],[NP]],$D$44)),"")</f>
        <v/>
      </c>
      <c r="AA47" s="148" t="str">
        <f>IFERROR(IF(Datos[[#This Row],[Precio / Millar (Norwork)]]&lt;&gt;"",PRODUCT(Datos[[#This Row],[Precio / Millar (Norwork)]]/1000,Datos[[#This Row],[DEMANDA ANUAL]]),""),"")</f>
        <v/>
      </c>
      <c r="AB4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7" s="148" t="str">
        <f>IFERROR(IF(Datos[[#This Row],[Precio / Millar (Norwork)]]&lt;&gt;"",SUM(Datos[[#This Row],[Ingresos Totales (Norwork)]],-Datos[[#This Row],[Costos Totales (Norwork)]]),""),"")</f>
        <v/>
      </c>
      <c r="AD47" s="153" t="str">
        <f>IFERROR(Datos[[#This Row],[Beneficio (Norwork)]]/Datos[[#This Row],[Ingresos Totales (Norwork)]],"")</f>
        <v/>
      </c>
    </row>
    <row r="48" spans="2:34" x14ac:dyDescent="0.3">
      <c r="B48" s="145" t="s">
        <v>428</v>
      </c>
      <c r="C48" s="176" t="s">
        <v>856</v>
      </c>
      <c r="D48" s="176"/>
      <c r="E48" s="145"/>
      <c r="F48" s="153"/>
      <c r="G48" s="149">
        <v>31640</v>
      </c>
      <c r="H48" s="144"/>
      <c r="W48" s="148" t="s">
        <v>298</v>
      </c>
      <c r="X48" s="148" t="str">
        <f>IFERROR(Datos[[#This Row],[ARIBA PRECIO POR MILLAR (Dólares)]]/1000*Datos[[#This Row],[DEMANDA ANUAL]],"")</f>
        <v/>
      </c>
      <c r="Y48" s="153" t="str">
        <f>IFERROR((Datos[[#This Row],[INGRESO PRECIO ARIBA]]-Datos[[#This Row],[Costos Totales (Norwork)]])/Datos[[#This Row],[INGRESO PRECIO ARIBA]],"")</f>
        <v/>
      </c>
      <c r="Z48" s="148" t="str">
        <f>IFERROR(IF(Datos[[#This Row],[CON ETIQUETA]]="No",VALORHOJA(Datos[[#This Row],[NP]],$B$44),VALORHOJA(Datos[[#This Row],[NP]],$D$44)),"")</f>
        <v/>
      </c>
      <c r="AA48" s="148" t="str">
        <f>IFERROR(IF(Datos[[#This Row],[Precio / Millar (Norwork)]]&lt;&gt;"",PRODUCT(Datos[[#This Row],[Precio / Millar (Norwork)]]/1000,Datos[[#This Row],[DEMANDA ANUAL]]),""),"")</f>
        <v/>
      </c>
      <c r="AB4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8" s="148" t="str">
        <f>IFERROR(IF(Datos[[#This Row],[Precio / Millar (Norwork)]]&lt;&gt;"",SUM(Datos[[#This Row],[Ingresos Totales (Norwork)]],-Datos[[#This Row],[Costos Totales (Norwork)]]),""),"")</f>
        <v/>
      </c>
      <c r="AD48" s="153" t="str">
        <f>IFERROR(Datos[[#This Row],[Beneficio (Norwork)]]/Datos[[#This Row],[Ingresos Totales (Norwork)]],"")</f>
        <v/>
      </c>
    </row>
    <row r="49" spans="2:30" x14ac:dyDescent="0.3">
      <c r="B49" s="145" t="s">
        <v>477</v>
      </c>
      <c r="C49" s="145" t="s">
        <v>904</v>
      </c>
      <c r="D49" s="145"/>
      <c r="E49" s="145"/>
      <c r="G49" s="149">
        <v>29800</v>
      </c>
      <c r="H49" s="144"/>
      <c r="W49" s="148" t="s">
        <v>298</v>
      </c>
      <c r="X49" s="148" t="str">
        <f>IFERROR(Datos[[#This Row],[ARIBA PRECIO POR MILLAR (Dólares)]]/1000*Datos[[#This Row],[DEMANDA ANUAL]],"")</f>
        <v/>
      </c>
      <c r="Y49" s="153" t="str">
        <f>IFERROR((Datos[[#This Row],[INGRESO PRECIO ARIBA]]-Datos[[#This Row],[Costos Totales (Norwork)]])/Datos[[#This Row],[INGRESO PRECIO ARIBA]],"")</f>
        <v/>
      </c>
      <c r="Z49" s="148" t="str">
        <f>IFERROR(IF(Datos[[#This Row],[CON ETIQUETA]]="No",VALORHOJA(Datos[[#This Row],[NP]],$B$44),VALORHOJA(Datos[[#This Row],[NP]],$D$44)),"")</f>
        <v/>
      </c>
      <c r="AA49" s="148" t="str">
        <f>IFERROR(IF(Datos[[#This Row],[Precio / Millar (Norwork)]]&lt;&gt;"",PRODUCT(Datos[[#This Row],[Precio / Millar (Norwork)]]/1000,Datos[[#This Row],[DEMANDA ANUAL]]),""),"")</f>
        <v/>
      </c>
      <c r="AB4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9" s="148" t="str">
        <f>IFERROR(IF(Datos[[#This Row],[Precio / Millar (Norwork)]]&lt;&gt;"",SUM(Datos[[#This Row],[Ingresos Totales (Norwork)]],-Datos[[#This Row],[Costos Totales (Norwork)]]),""),"")</f>
        <v/>
      </c>
      <c r="AD49" s="153" t="str">
        <f>IFERROR(Datos[[#This Row],[Beneficio (Norwork)]]/Datos[[#This Row],[Ingresos Totales (Norwork)]],"")</f>
        <v/>
      </c>
    </row>
    <row r="50" spans="2:30" x14ac:dyDescent="0.3">
      <c r="B50" s="145" t="s">
        <v>413</v>
      </c>
      <c r="C50" s="145" t="s">
        <v>841</v>
      </c>
      <c r="D50" s="145"/>
      <c r="E50" s="145"/>
      <c r="G50" s="149">
        <v>29680</v>
      </c>
      <c r="H50" s="144"/>
      <c r="W50" s="148" t="s">
        <v>298</v>
      </c>
      <c r="X50" s="148" t="str">
        <f>IFERROR(Datos[[#This Row],[ARIBA PRECIO POR MILLAR (Dólares)]]/1000*Datos[[#This Row],[DEMANDA ANUAL]],"")</f>
        <v/>
      </c>
      <c r="Y50" s="153" t="str">
        <f>IFERROR((Datos[[#This Row],[INGRESO PRECIO ARIBA]]-Datos[[#This Row],[Costos Totales (Norwork)]])/Datos[[#This Row],[INGRESO PRECIO ARIBA]],"")</f>
        <v/>
      </c>
      <c r="Z50" s="148" t="str">
        <f>IFERROR(IF(Datos[[#This Row],[CON ETIQUETA]]="No",VALORHOJA(Datos[[#This Row],[NP]],$B$44),VALORHOJA(Datos[[#This Row],[NP]],$D$44)),"")</f>
        <v/>
      </c>
      <c r="AA50" s="148" t="str">
        <f>IFERROR(IF(Datos[[#This Row],[Precio / Millar (Norwork)]]&lt;&gt;"",PRODUCT(Datos[[#This Row],[Precio / Millar (Norwork)]]/1000,Datos[[#This Row],[DEMANDA ANUAL]]),""),"")</f>
        <v/>
      </c>
      <c r="AB5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50" s="148" t="str">
        <f>IFERROR(IF(Datos[[#This Row],[Precio / Millar (Norwork)]]&lt;&gt;"",SUM(Datos[[#This Row],[Ingresos Totales (Norwork)]],-Datos[[#This Row],[Costos Totales (Norwork)]]),""),"")</f>
        <v/>
      </c>
      <c r="AD50" s="153" t="str">
        <f>IFERROR(Datos[[#This Row],[Beneficio (Norwork)]]/Datos[[#This Row],[Ingresos Totales (Norwork)]],"")</f>
        <v/>
      </c>
    </row>
    <row r="51" spans="2:30" x14ac:dyDescent="0.3">
      <c r="B51" s="145" t="s">
        <v>467</v>
      </c>
      <c r="C51" s="176" t="s">
        <v>894</v>
      </c>
      <c r="D51" s="176"/>
      <c r="E51" s="145"/>
      <c r="F51" s="153"/>
      <c r="G51" s="149">
        <v>27697</v>
      </c>
      <c r="H51" s="144"/>
      <c r="W51" s="148" t="s">
        <v>298</v>
      </c>
      <c r="X51" s="148" t="str">
        <f>IFERROR(Datos[[#This Row],[ARIBA PRECIO POR MILLAR (Dólares)]]/1000*Datos[[#This Row],[DEMANDA ANUAL]],"")</f>
        <v/>
      </c>
      <c r="Y51" s="153" t="str">
        <f>IFERROR((Datos[[#This Row],[INGRESO PRECIO ARIBA]]-Datos[[#This Row],[Costos Totales (Norwork)]])/Datos[[#This Row],[INGRESO PRECIO ARIBA]],"")</f>
        <v/>
      </c>
      <c r="Z51" s="148" t="str">
        <f>IFERROR(IF(Datos[[#This Row],[CON ETIQUETA]]="No",VALORHOJA(Datos[[#This Row],[NP]],$B$44),VALORHOJA(Datos[[#This Row],[NP]],$D$44)),"")</f>
        <v/>
      </c>
      <c r="AA51" s="148" t="str">
        <f>IFERROR(IF(Datos[[#This Row],[Precio / Millar (Norwork)]]&lt;&gt;"",PRODUCT(Datos[[#This Row],[Precio / Millar (Norwork)]]/1000,Datos[[#This Row],[DEMANDA ANUAL]]),""),"")</f>
        <v/>
      </c>
      <c r="AB5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51" s="148" t="str">
        <f>IFERROR(IF(Datos[[#This Row],[Precio / Millar (Norwork)]]&lt;&gt;"",SUM(Datos[[#This Row],[Ingresos Totales (Norwork)]],-Datos[[#This Row],[Costos Totales (Norwork)]]),""),"")</f>
        <v/>
      </c>
      <c r="AD51" s="153" t="str">
        <f>IFERROR(Datos[[#This Row],[Beneficio (Norwork)]]/Datos[[#This Row],[Ingresos Totales (Norwork)]],"")</f>
        <v/>
      </c>
    </row>
    <row r="52" spans="2:30" x14ac:dyDescent="0.3">
      <c r="B52" s="145" t="s">
        <v>419</v>
      </c>
      <c r="C52" s="145" t="s">
        <v>847</v>
      </c>
      <c r="D52" s="145"/>
      <c r="E52" s="145"/>
      <c r="G52" s="149">
        <v>27600</v>
      </c>
      <c r="H52" s="144"/>
      <c r="W52" s="148" t="s">
        <v>298</v>
      </c>
      <c r="X52" s="148" t="str">
        <f>IFERROR(Datos[[#This Row],[ARIBA PRECIO POR MILLAR (Dólares)]]/1000*Datos[[#This Row],[DEMANDA ANUAL]],"")</f>
        <v/>
      </c>
      <c r="Y52" s="153" t="str">
        <f>IFERROR((Datos[[#This Row],[INGRESO PRECIO ARIBA]]-Datos[[#This Row],[Costos Totales (Norwork)]])/Datos[[#This Row],[INGRESO PRECIO ARIBA]],"")</f>
        <v/>
      </c>
      <c r="Z52" s="148" t="str">
        <f>IFERROR(IF(Datos[[#This Row],[CON ETIQUETA]]="No",VALORHOJA(Datos[[#This Row],[NP]],$B$44),VALORHOJA(Datos[[#This Row],[NP]],$D$44)),"")</f>
        <v/>
      </c>
      <c r="AA52" s="148" t="str">
        <f>IFERROR(IF(Datos[[#This Row],[Precio / Millar (Norwork)]]&lt;&gt;"",PRODUCT(Datos[[#This Row],[Precio / Millar (Norwork)]]/1000,Datos[[#This Row],[DEMANDA ANUAL]]),""),"")</f>
        <v/>
      </c>
      <c r="AB5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52" s="148" t="str">
        <f>IFERROR(IF(Datos[[#This Row],[Precio / Millar (Norwork)]]&lt;&gt;"",SUM(Datos[[#This Row],[Ingresos Totales (Norwork)]],-Datos[[#This Row],[Costos Totales (Norwork)]]),""),"")</f>
        <v/>
      </c>
      <c r="AD52" s="153" t="str">
        <f>IFERROR(Datos[[#This Row],[Beneficio (Norwork)]]/Datos[[#This Row],[Ingresos Totales (Norwork)]],"")</f>
        <v/>
      </c>
    </row>
    <row r="53" spans="2:30" x14ac:dyDescent="0.3">
      <c r="B53" s="145" t="s">
        <v>451</v>
      </c>
      <c r="C53" s="176" t="s">
        <v>878</v>
      </c>
      <c r="D53" s="176"/>
      <c r="E53" s="145"/>
      <c r="F53" s="153"/>
      <c r="G53" s="149">
        <v>25720</v>
      </c>
      <c r="H53" s="144"/>
      <c r="W53" s="148" t="s">
        <v>298</v>
      </c>
      <c r="X53" s="148" t="str">
        <f>IFERROR(Datos[[#This Row],[ARIBA PRECIO POR MILLAR (Dólares)]]/1000*Datos[[#This Row],[DEMANDA ANUAL]],"")</f>
        <v/>
      </c>
      <c r="Y53" s="153" t="str">
        <f>IFERROR((Datos[[#This Row],[INGRESO PRECIO ARIBA]]-Datos[[#This Row],[Costos Totales (Norwork)]])/Datos[[#This Row],[INGRESO PRECIO ARIBA]],"")</f>
        <v/>
      </c>
      <c r="Z53" s="148" t="str">
        <f>IFERROR(IF(Datos[[#This Row],[CON ETIQUETA]]="No",VALORHOJA(Datos[[#This Row],[NP]],$B$44),VALORHOJA(Datos[[#This Row],[NP]],$D$44)),"")</f>
        <v/>
      </c>
      <c r="AA53" s="148" t="str">
        <f>IFERROR(IF(Datos[[#This Row],[Precio / Millar (Norwork)]]&lt;&gt;"",PRODUCT(Datos[[#This Row],[Precio / Millar (Norwork)]]/1000,Datos[[#This Row],[DEMANDA ANUAL]]),""),"")</f>
        <v/>
      </c>
      <c r="AB5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53" s="148" t="str">
        <f>IFERROR(IF(Datos[[#This Row],[Precio / Millar (Norwork)]]&lt;&gt;"",SUM(Datos[[#This Row],[Ingresos Totales (Norwork)]],-Datos[[#This Row],[Costos Totales (Norwork)]]),""),"")</f>
        <v/>
      </c>
      <c r="AD53" s="153" t="str">
        <f>IFERROR(Datos[[#This Row],[Beneficio (Norwork)]]/Datos[[#This Row],[Ingresos Totales (Norwork)]],"")</f>
        <v/>
      </c>
    </row>
    <row r="54" spans="2:30" x14ac:dyDescent="0.3">
      <c r="B54" s="154" t="s">
        <v>214</v>
      </c>
      <c r="C54" s="145" t="s">
        <v>215</v>
      </c>
      <c r="D54" s="145" t="s">
        <v>1209</v>
      </c>
      <c r="E54" s="145">
        <v>1</v>
      </c>
      <c r="F54" s="142" t="s">
        <v>202</v>
      </c>
      <c r="G54" s="149">
        <v>23798</v>
      </c>
      <c r="H54" s="142" t="s">
        <v>202</v>
      </c>
      <c r="I54" s="142" t="s">
        <v>202</v>
      </c>
      <c r="J54" s="142" t="s">
        <v>216</v>
      </c>
      <c r="K54" s="142" t="s">
        <v>203</v>
      </c>
      <c r="L54" s="142">
        <v>4</v>
      </c>
      <c r="M54" s="142">
        <v>2</v>
      </c>
      <c r="N54" s="142">
        <v>2</v>
      </c>
      <c r="O54" s="142" t="s">
        <v>202</v>
      </c>
      <c r="P54" s="142" t="s">
        <v>217</v>
      </c>
      <c r="S54" s="142" t="s">
        <v>195</v>
      </c>
      <c r="T54" s="142" t="s">
        <v>328</v>
      </c>
      <c r="U54" s="142">
        <v>1</v>
      </c>
      <c r="W54" s="148">
        <v>1400</v>
      </c>
      <c r="X54" s="148">
        <f>IFERROR(Datos[[#This Row],[ARIBA PRECIO POR MILLAR (Dólares)]]/1000*Datos[[#This Row],[DEMANDA ANUAL]],"")</f>
        <v>33317.199999999997</v>
      </c>
      <c r="Y54" s="153">
        <f>IFERROR((Datos[[#This Row],[INGRESO PRECIO ARIBA]]-Datos[[#This Row],[Costos Totales (Norwork)]])/Datos[[#This Row],[INGRESO PRECIO ARIBA]],"")</f>
        <v>0.33509266645294833</v>
      </c>
      <c r="Z54" s="148">
        <f>IFERROR(IF(Datos[[#This Row],[CON ETIQUETA]]="No",VALORHOJA(Datos[[#This Row],[NP]],$B$44),VALORHOJA(Datos[[#This Row],[NP]],$D$44)),"")</f>
        <v>1894.6916938243419</v>
      </c>
      <c r="AA54" s="148">
        <f>IFERROR(IF(Datos[[#This Row],[Precio / Millar (Norwork)]]&lt;&gt;"",PRODUCT(Datos[[#This Row],[Precio / Millar (Norwork)]]/1000,Datos[[#This Row],[DEMANDA ANUAL]]),""),"")</f>
        <v>45089.872929631689</v>
      </c>
      <c r="AB54" s="155">
        <f>IFERROR(IF(Datos[[#This Row],[CON ETIQUETA]]="No",VALORHOJA(Datos[[#This Row],[NP]],$B$63)/VALORHOJA(Datos[[#This Row],[NP]],$B$42),VALORHOJA(Datos[[#This Row],[NP]],$D$63)/VALORHOJA(Datos[[#This Row],[NP]],$D$42)),"")</f>
        <v>22152.850613253828</v>
      </c>
      <c r="AC54" s="148">
        <f>IFERROR(IF(Datos[[#This Row],[Precio / Millar (Norwork)]]&lt;&gt;"",SUM(Datos[[#This Row],[Ingresos Totales (Norwork)]],-Datos[[#This Row],[Costos Totales (Norwork)]]),""),"")</f>
        <v>22937.022316377861</v>
      </c>
      <c r="AD54" s="153">
        <f>IFERROR(Datos[[#This Row],[Beneficio (Norwork)]]/Datos[[#This Row],[Ingresos Totales (Norwork)]],"")</f>
        <v>0.5086956521739131</v>
      </c>
    </row>
    <row r="55" spans="2:30" x14ac:dyDescent="0.3">
      <c r="B55" s="173" t="s">
        <v>253</v>
      </c>
      <c r="C55" s="145" t="s">
        <v>254</v>
      </c>
      <c r="D55" s="145" t="s">
        <v>1210</v>
      </c>
      <c r="E55" s="145">
        <v>1</v>
      </c>
      <c r="F55" s="142" t="s">
        <v>202</v>
      </c>
      <c r="G55" s="149">
        <v>23786</v>
      </c>
      <c r="H55" s="142" t="s">
        <v>202</v>
      </c>
      <c r="I55" s="142" t="s">
        <v>202</v>
      </c>
      <c r="J55" s="142" t="s">
        <v>207</v>
      </c>
      <c r="K55" s="142" t="s">
        <v>203</v>
      </c>
      <c r="L55" s="142">
        <v>1</v>
      </c>
      <c r="M55" s="142">
        <v>2</v>
      </c>
      <c r="N55" s="142">
        <v>56</v>
      </c>
      <c r="O55" s="142" t="s">
        <v>195</v>
      </c>
      <c r="P55" s="142" t="s">
        <v>198</v>
      </c>
      <c r="Q55" s="142" t="s">
        <v>199</v>
      </c>
      <c r="S55" s="142" t="s">
        <v>195</v>
      </c>
      <c r="T55" s="142" t="s">
        <v>326</v>
      </c>
      <c r="U55" s="142">
        <v>8</v>
      </c>
      <c r="W55" s="148">
        <v>620</v>
      </c>
      <c r="X55" s="148">
        <f>IFERROR(Datos[[#This Row],[ARIBA PRECIO POR MILLAR (Dólares)]]/1000*Datos[[#This Row],[DEMANDA ANUAL]],"")</f>
        <v>14747.32</v>
      </c>
      <c r="Y55" s="153">
        <f>IFERROR((Datos[[#This Row],[INGRESO PRECIO ARIBA]]-Datos[[#This Row],[Costos Totales (Norwork)]])/Datos[[#This Row],[INGRESO PRECIO ARIBA]],"")</f>
        <v>0.36235125288081271</v>
      </c>
      <c r="Z55" s="148">
        <f>IFERROR(IF(Datos[[#This Row],[CON ETIQUETA]]="No",VALORHOJA(Datos[[#This Row],[NP]],$B$44),VALORHOJA(Datos[[#This Row],[NP]],$D$44)),"")</f>
        <v>564.77460459128019</v>
      </c>
      <c r="AA55" s="148">
        <f>IFERROR(IF(Datos[[#This Row],[Precio / Millar (Norwork)]]&lt;&gt;"",PRODUCT(Datos[[#This Row],[Precio / Millar (Norwork)]]/1000,Datos[[#This Row],[DEMANDA ANUAL]]),""),"")</f>
        <v>13433.72874480819</v>
      </c>
      <c r="AB55" s="155">
        <f>IFERROR(IF(Datos[[#This Row],[CON ETIQUETA]]="No",VALORHOJA(Datos[[#This Row],[NP]],$B$63)/VALORHOJA(Datos[[#This Row],[NP]],$B$42),VALORHOJA(Datos[[#This Row],[NP]],$D$63)/VALORHOJA(Datos[[#This Row],[NP]],$D$42)),"")</f>
        <v>9403.610121365733</v>
      </c>
      <c r="AC55" s="148">
        <f>IFERROR(IF(Datos[[#This Row],[Precio / Millar (Norwork)]]&lt;&gt;"",SUM(Datos[[#This Row],[Ingresos Totales (Norwork)]],-Datos[[#This Row],[Costos Totales (Norwork)]]),""),"")</f>
        <v>4030.1186234424567</v>
      </c>
      <c r="AD55" s="153">
        <f>IFERROR(Datos[[#This Row],[Beneficio (Norwork)]]/Datos[[#This Row],[Ingresos Totales (Norwork)]],"")</f>
        <v>0.3</v>
      </c>
    </row>
    <row r="56" spans="2:30" x14ac:dyDescent="0.3">
      <c r="B56" s="173" t="s">
        <v>255</v>
      </c>
      <c r="C56" s="145" t="s">
        <v>256</v>
      </c>
      <c r="D56" s="145" t="s">
        <v>1210</v>
      </c>
      <c r="E56" s="145">
        <v>1</v>
      </c>
      <c r="F56" s="142" t="s">
        <v>202</v>
      </c>
      <c r="G56" s="149">
        <v>23786</v>
      </c>
      <c r="H56" s="142" t="s">
        <v>202</v>
      </c>
      <c r="I56" s="142" t="s">
        <v>202</v>
      </c>
      <c r="J56" s="142" t="s">
        <v>207</v>
      </c>
      <c r="K56" s="142" t="s">
        <v>203</v>
      </c>
      <c r="L56" s="142">
        <v>1</v>
      </c>
      <c r="M56" s="142">
        <v>2</v>
      </c>
      <c r="N56" s="142">
        <v>56</v>
      </c>
      <c r="O56" s="142" t="s">
        <v>195</v>
      </c>
      <c r="P56" s="142" t="s">
        <v>198</v>
      </c>
      <c r="Q56" s="142" t="s">
        <v>199</v>
      </c>
      <c r="S56" s="142" t="s">
        <v>195</v>
      </c>
      <c r="T56" s="142" t="s">
        <v>326</v>
      </c>
      <c r="U56" s="142">
        <v>8</v>
      </c>
      <c r="W56" s="148">
        <v>620</v>
      </c>
      <c r="X56" s="148">
        <f>IFERROR(Datos[[#This Row],[ARIBA PRECIO POR MILLAR (Dólares)]]/1000*Datos[[#This Row],[DEMANDA ANUAL]],"")</f>
        <v>14747.32</v>
      </c>
      <c r="Y56" s="153">
        <f>IFERROR((Datos[[#This Row],[INGRESO PRECIO ARIBA]]-Datos[[#This Row],[Costos Totales (Norwork)]])/Datos[[#This Row],[INGRESO PRECIO ARIBA]],"")</f>
        <v>0.36235125288081271</v>
      </c>
      <c r="Z56" s="148">
        <f>IFERROR(IF(Datos[[#This Row],[CON ETIQUETA]]="No",VALORHOJA(Datos[[#This Row],[NP]],$B$44),VALORHOJA(Datos[[#This Row],[NP]],$D$44)),"")</f>
        <v>564.77460459128019</v>
      </c>
      <c r="AA56" s="148">
        <f>IFERROR(IF(Datos[[#This Row],[Precio / Millar (Norwork)]]&lt;&gt;"",PRODUCT(Datos[[#This Row],[Precio / Millar (Norwork)]]/1000,Datos[[#This Row],[DEMANDA ANUAL]]),""),"")</f>
        <v>13433.72874480819</v>
      </c>
      <c r="AB56" s="155">
        <f>IFERROR(IF(Datos[[#This Row],[CON ETIQUETA]]="No",VALORHOJA(Datos[[#This Row],[NP]],$B$63)/VALORHOJA(Datos[[#This Row],[NP]],$B$42),VALORHOJA(Datos[[#This Row],[NP]],$D$63)/VALORHOJA(Datos[[#This Row],[NP]],$D$42)),"")</f>
        <v>9403.610121365733</v>
      </c>
      <c r="AC56" s="148">
        <f>IFERROR(IF(Datos[[#This Row],[Precio / Millar (Norwork)]]&lt;&gt;"",SUM(Datos[[#This Row],[Ingresos Totales (Norwork)]],-Datos[[#This Row],[Costos Totales (Norwork)]]),""),"")</f>
        <v>4030.1186234424567</v>
      </c>
      <c r="AD56" s="153">
        <f>IFERROR(Datos[[#This Row],[Beneficio (Norwork)]]/Datos[[#This Row],[Ingresos Totales (Norwork)]],"")</f>
        <v>0.3</v>
      </c>
    </row>
    <row r="57" spans="2:30" x14ac:dyDescent="0.3">
      <c r="B57" s="145" t="s">
        <v>481</v>
      </c>
      <c r="C57" s="145" t="s">
        <v>908</v>
      </c>
      <c r="D57" s="145"/>
      <c r="E57" s="145"/>
      <c r="G57" s="149">
        <v>23758</v>
      </c>
      <c r="H57" s="144"/>
      <c r="W57" s="148" t="s">
        <v>298</v>
      </c>
      <c r="X57" s="148" t="str">
        <f>IFERROR(Datos[[#This Row],[ARIBA PRECIO POR MILLAR (Dólares)]]/1000*Datos[[#This Row],[DEMANDA ANUAL]],"")</f>
        <v/>
      </c>
      <c r="Y57" s="153" t="str">
        <f>IFERROR((Datos[[#This Row],[INGRESO PRECIO ARIBA]]-Datos[[#This Row],[Costos Totales (Norwork)]])/Datos[[#This Row],[INGRESO PRECIO ARIBA]],"")</f>
        <v/>
      </c>
      <c r="Z57" s="148" t="str">
        <f>IFERROR(IF(Datos[[#This Row],[CON ETIQUETA]]="No",VALORHOJA(Datos[[#This Row],[NP]],$B$44),VALORHOJA(Datos[[#This Row],[NP]],$D$44)),"")</f>
        <v/>
      </c>
      <c r="AA57" s="148" t="str">
        <f>IFERROR(IF(Datos[[#This Row],[Precio / Millar (Norwork)]]&lt;&gt;"",PRODUCT(Datos[[#This Row],[Precio / Millar (Norwork)]]/1000,Datos[[#This Row],[DEMANDA ANUAL]]),""),"")</f>
        <v/>
      </c>
      <c r="AB5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57" s="148" t="str">
        <f>IFERROR(IF(Datos[[#This Row],[Precio / Millar (Norwork)]]&lt;&gt;"",SUM(Datos[[#This Row],[Ingresos Totales (Norwork)]],-Datos[[#This Row],[Costos Totales (Norwork)]]),""),"")</f>
        <v/>
      </c>
      <c r="AD57" s="153" t="str">
        <f>IFERROR(Datos[[#This Row],[Beneficio (Norwork)]]/Datos[[#This Row],[Ingresos Totales (Norwork)]],"")</f>
        <v/>
      </c>
    </row>
    <row r="58" spans="2:30" x14ac:dyDescent="0.3">
      <c r="B58" s="145" t="s">
        <v>424</v>
      </c>
      <c r="C58" s="145" t="s">
        <v>852</v>
      </c>
      <c r="D58" s="145"/>
      <c r="E58" s="145"/>
      <c r="G58" s="149">
        <v>23616</v>
      </c>
      <c r="H58" s="144"/>
      <c r="W58" s="148" t="s">
        <v>298</v>
      </c>
      <c r="X58" s="148" t="str">
        <f>IFERROR(Datos[[#This Row],[ARIBA PRECIO POR MILLAR (Dólares)]]/1000*Datos[[#This Row],[DEMANDA ANUAL]],"")</f>
        <v/>
      </c>
      <c r="Y58" s="153" t="str">
        <f>IFERROR((Datos[[#This Row],[INGRESO PRECIO ARIBA]]-Datos[[#This Row],[Costos Totales (Norwork)]])/Datos[[#This Row],[INGRESO PRECIO ARIBA]],"")</f>
        <v/>
      </c>
      <c r="Z58" s="148" t="str">
        <f>IFERROR(IF(Datos[[#This Row],[CON ETIQUETA]]="No",VALORHOJA(Datos[[#This Row],[NP]],$B$44),VALORHOJA(Datos[[#This Row],[NP]],$D$44)),"")</f>
        <v/>
      </c>
      <c r="AA58" s="148" t="str">
        <f>IFERROR(IF(Datos[[#This Row],[Precio / Millar (Norwork)]]&lt;&gt;"",PRODUCT(Datos[[#This Row],[Precio / Millar (Norwork)]]/1000,Datos[[#This Row],[DEMANDA ANUAL]]),""),"")</f>
        <v/>
      </c>
      <c r="AB5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58" s="148" t="str">
        <f>IFERROR(IF(Datos[[#This Row],[Precio / Millar (Norwork)]]&lt;&gt;"",SUM(Datos[[#This Row],[Ingresos Totales (Norwork)]],-Datos[[#This Row],[Costos Totales (Norwork)]]),""),"")</f>
        <v/>
      </c>
      <c r="AD58" s="153" t="str">
        <f>IFERROR(Datos[[#This Row],[Beneficio (Norwork)]]/Datos[[#This Row],[Ingresos Totales (Norwork)]],"")</f>
        <v/>
      </c>
    </row>
    <row r="59" spans="2:30" x14ac:dyDescent="0.3">
      <c r="B59" s="173" t="s">
        <v>226</v>
      </c>
      <c r="C59" s="175" t="s">
        <v>227</v>
      </c>
      <c r="D59" s="145" t="s">
        <v>1204</v>
      </c>
      <c r="E59" s="145">
        <v>1</v>
      </c>
      <c r="F59" s="142" t="s">
        <v>202</v>
      </c>
      <c r="G59" s="149">
        <v>23372</v>
      </c>
      <c r="H59" s="145" t="s">
        <v>202</v>
      </c>
      <c r="I59" s="142" t="s">
        <v>195</v>
      </c>
      <c r="J59" s="142" t="s">
        <v>207</v>
      </c>
      <c r="K59" s="142" t="s">
        <v>203</v>
      </c>
      <c r="L59" s="142">
        <v>1</v>
      </c>
      <c r="M59" s="142">
        <v>2</v>
      </c>
      <c r="N59" s="142">
        <v>80</v>
      </c>
      <c r="O59" s="142" t="s">
        <v>195</v>
      </c>
      <c r="P59" s="142" t="s">
        <v>198</v>
      </c>
      <c r="Q59" s="142" t="s">
        <v>199</v>
      </c>
      <c r="R59" s="142">
        <v>3</v>
      </c>
      <c r="S59" s="142" t="s">
        <v>195</v>
      </c>
      <c r="T59" s="142" t="s">
        <v>326</v>
      </c>
      <c r="U59" s="142">
        <v>10</v>
      </c>
      <c r="V59" s="145"/>
      <c r="W59" s="148">
        <v>500</v>
      </c>
      <c r="X59" s="148">
        <f>IFERROR(Datos[[#This Row],[ARIBA PRECIO POR MILLAR (Dólares)]]/1000*Datos[[#This Row],[DEMANDA ANUAL]],"")</f>
        <v>11686</v>
      </c>
      <c r="Y59" s="153">
        <f>IFERROR((Datos[[#This Row],[INGRESO PRECIO ARIBA]]-Datos[[#This Row],[Costos Totales (Norwork)]])/Datos[[#This Row],[INGRESO PRECIO ARIBA]],"")</f>
        <v>-0.40998763934225541</v>
      </c>
      <c r="Z59" s="148">
        <f>IFERROR(IF(Datos[[#This Row],[CON ETIQUETA]]="No",VALORHOJA(Datos[[#This Row],[NP]],$B$44),VALORHOJA(Datos[[#This Row],[NP]],$D$44)),"")</f>
        <v>1007.134028101611</v>
      </c>
      <c r="AA59" s="148">
        <f>IFERROR(IF(Datos[[#This Row],[Precio / Millar (Norwork)]]&lt;&gt;"",PRODUCT(Datos[[#This Row],[Precio / Millar (Norwork)]]/1000,Datos[[#This Row],[DEMANDA ANUAL]]),""),"")</f>
        <v>23538.736504790853</v>
      </c>
      <c r="AB59" s="155">
        <f>IFERROR(IF(Datos[[#This Row],[CON ETIQUETA]]="No",VALORHOJA(Datos[[#This Row],[NP]],$B$63)/VALORHOJA(Datos[[#This Row],[NP]],$B$42),VALORHOJA(Datos[[#This Row],[NP]],$D$63)/VALORHOJA(Datos[[#This Row],[NP]],$D$42)),"")</f>
        <v>16477.115553353597</v>
      </c>
      <c r="AC59" s="148">
        <f>IFERROR(IF(Datos[[#This Row],[Precio / Millar (Norwork)]]&lt;&gt;"",SUM(Datos[[#This Row],[Ingresos Totales (Norwork)]],-Datos[[#This Row],[Costos Totales (Norwork)]]),""),"")</f>
        <v>7061.6209514372567</v>
      </c>
      <c r="AD59" s="153">
        <f>IFERROR(Datos[[#This Row],[Beneficio (Norwork)]]/Datos[[#This Row],[Ingresos Totales (Norwork)]],"")</f>
        <v>0.30000000000000004</v>
      </c>
    </row>
    <row r="60" spans="2:30" x14ac:dyDescent="0.3">
      <c r="B60" s="145" t="s">
        <v>461</v>
      </c>
      <c r="C60" s="176" t="s">
        <v>888</v>
      </c>
      <c r="D60" s="176" t="s">
        <v>1205</v>
      </c>
      <c r="E60" s="145">
        <v>1</v>
      </c>
      <c r="F60" s="153" t="s">
        <v>195</v>
      </c>
      <c r="G60" s="149">
        <v>21290</v>
      </c>
      <c r="H60" s="144"/>
      <c r="W60" s="148" t="s">
        <v>298</v>
      </c>
      <c r="X60" s="148" t="str">
        <f>IFERROR(Datos[[#This Row],[ARIBA PRECIO POR MILLAR (Dólares)]]/1000*Datos[[#This Row],[DEMANDA ANUAL]],"")</f>
        <v/>
      </c>
      <c r="Y60" s="153" t="str">
        <f>IFERROR((Datos[[#This Row],[INGRESO PRECIO ARIBA]]-Datos[[#This Row],[Costos Totales (Norwork)]])/Datos[[#This Row],[INGRESO PRECIO ARIBA]],"")</f>
        <v/>
      </c>
      <c r="Z60" s="148" t="str">
        <f>IFERROR(IF(Datos[[#This Row],[CON ETIQUETA]]="No",VALORHOJA(Datos[[#This Row],[NP]],$B$44),VALORHOJA(Datos[[#This Row],[NP]],$D$44)),"")</f>
        <v/>
      </c>
      <c r="AA60" s="148" t="str">
        <f>IFERROR(IF(Datos[[#This Row],[Precio / Millar (Norwork)]]&lt;&gt;"",PRODUCT(Datos[[#This Row],[Precio / Millar (Norwork)]]/1000,Datos[[#This Row],[DEMANDA ANUAL]]),""),"")</f>
        <v/>
      </c>
      <c r="AB6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60" s="148" t="str">
        <f>IFERROR(IF(Datos[[#This Row],[Precio / Millar (Norwork)]]&lt;&gt;"",SUM(Datos[[#This Row],[Ingresos Totales (Norwork)]],-Datos[[#This Row],[Costos Totales (Norwork)]]),""),"")</f>
        <v/>
      </c>
      <c r="AD60" s="153" t="str">
        <f>IFERROR(Datos[[#This Row],[Beneficio (Norwork)]]/Datos[[#This Row],[Ingresos Totales (Norwork)]],"")</f>
        <v/>
      </c>
    </row>
    <row r="61" spans="2:30" x14ac:dyDescent="0.3">
      <c r="B61" s="154" t="s">
        <v>232</v>
      </c>
      <c r="C61" s="145" t="s">
        <v>233</v>
      </c>
      <c r="D61" s="145" t="s">
        <v>1210</v>
      </c>
      <c r="E61" s="145">
        <v>1</v>
      </c>
      <c r="F61" s="142" t="s">
        <v>202</v>
      </c>
      <c r="G61" s="149">
        <v>20663</v>
      </c>
      <c r="H61" s="142" t="s">
        <v>202</v>
      </c>
      <c r="I61" s="142" t="s">
        <v>202</v>
      </c>
      <c r="J61" s="142" t="s">
        <v>216</v>
      </c>
      <c r="K61" s="142" t="s">
        <v>203</v>
      </c>
      <c r="L61" s="142">
        <v>4</v>
      </c>
      <c r="M61" s="142">
        <v>2</v>
      </c>
      <c r="N61" s="142">
        <v>2</v>
      </c>
      <c r="O61" s="142" t="s">
        <v>202</v>
      </c>
      <c r="P61" s="142" t="s">
        <v>217</v>
      </c>
      <c r="S61" s="142" t="s">
        <v>195</v>
      </c>
      <c r="T61" s="142" t="s">
        <v>328</v>
      </c>
      <c r="U61" s="142">
        <v>1</v>
      </c>
      <c r="W61" s="148">
        <v>700</v>
      </c>
      <c r="X61" s="148">
        <f>IFERROR(Datos[[#This Row],[ARIBA PRECIO POR MILLAR (Dólares)]]/1000*Datos[[#This Row],[DEMANDA ANUAL]],"")</f>
        <v>14464.099999999999</v>
      </c>
      <c r="Y61" s="153">
        <f>IFERROR((Datos[[#This Row],[INGRESO PRECIO ARIBA]]-Datos[[#This Row],[Costos Totales (Norwork)]])/Datos[[#This Row],[INGRESO PRECIO ARIBA]],"")</f>
        <v>-0.33287294477528423</v>
      </c>
      <c r="Z61" s="148">
        <f>IFERROR(IF(Datos[[#This Row],[CON ETIQUETA]]="No",VALORHOJA(Datos[[#This Row],[NP]],$B$44),VALORHOJA(Datos[[#This Row],[NP]],$D$44)),"")</f>
        <v>1899.0490629099181</v>
      </c>
      <c r="AA61" s="148">
        <f>IFERROR(IF(Datos[[#This Row],[Precio / Millar (Norwork)]]&lt;&gt;"",PRODUCT(Datos[[#This Row],[Precio / Millar (Norwork)]]/1000,Datos[[#This Row],[DEMANDA ANUAL]]),""),"")</f>
        <v>39240.050786907639</v>
      </c>
      <c r="AB61" s="155">
        <f>IFERROR(IF(Datos[[#This Row],[CON ETIQUETA]]="No",VALORHOJA(Datos[[#This Row],[NP]],$B$63)/VALORHOJA(Datos[[#This Row],[NP]],$B$42),VALORHOJA(Datos[[#This Row],[NP]],$D$63)/VALORHOJA(Datos[[#This Row],[NP]],$D$42)),"")</f>
        <v>19278.807560524187</v>
      </c>
      <c r="AC61" s="148">
        <f>IFERROR(IF(Datos[[#This Row],[Precio / Millar (Norwork)]]&lt;&gt;"",SUM(Datos[[#This Row],[Ingresos Totales (Norwork)]],-Datos[[#This Row],[Costos Totales (Norwork)]]),""),"")</f>
        <v>19961.243226383453</v>
      </c>
      <c r="AD61" s="153">
        <f>IFERROR(Datos[[#This Row],[Beneficio (Norwork)]]/Datos[[#This Row],[Ingresos Totales (Norwork)]],"")</f>
        <v>0.5086956521739131</v>
      </c>
    </row>
    <row r="62" spans="2:30" x14ac:dyDescent="0.3">
      <c r="B62" s="173" t="s">
        <v>271</v>
      </c>
      <c r="C62" s="145" t="s">
        <v>272</v>
      </c>
      <c r="D62" s="145" t="s">
        <v>1210</v>
      </c>
      <c r="E62" s="145">
        <v>2</v>
      </c>
      <c r="F62" s="142" t="s">
        <v>202</v>
      </c>
      <c r="G62" s="149">
        <v>20435</v>
      </c>
      <c r="H62" s="142" t="s">
        <v>202</v>
      </c>
      <c r="I62" s="142" t="s">
        <v>202</v>
      </c>
      <c r="J62" s="142" t="s">
        <v>207</v>
      </c>
      <c r="K62" s="142" t="s">
        <v>203</v>
      </c>
      <c r="L62" s="142">
        <v>1</v>
      </c>
      <c r="M62" s="142">
        <v>2</v>
      </c>
      <c r="N62" s="142">
        <v>52</v>
      </c>
      <c r="O62" s="142" t="s">
        <v>195</v>
      </c>
      <c r="P62" s="142" t="s">
        <v>198</v>
      </c>
      <c r="Q62" s="142" t="s">
        <v>199</v>
      </c>
      <c r="S62" s="142" t="s">
        <v>195</v>
      </c>
      <c r="T62" s="142" t="s">
        <v>326</v>
      </c>
      <c r="U62" s="142">
        <v>7</v>
      </c>
      <c r="W62" s="148">
        <v>480</v>
      </c>
      <c r="X62" s="148">
        <f>IFERROR(Datos[[#This Row],[ARIBA PRECIO POR MILLAR (Dólares)]]/1000*Datos[[#This Row],[DEMANDA ANUAL]],"")</f>
        <v>9808.7999999999993</v>
      </c>
      <c r="Y62" s="153">
        <f>IFERROR((Datos[[#This Row],[INGRESO PRECIO ARIBA]]-Datos[[#This Row],[Costos Totales (Norwork)]])/Datos[[#This Row],[INGRESO PRECIO ARIBA]],"")</f>
        <v>0.22488218121183126</v>
      </c>
      <c r="Z62" s="148">
        <f>IFERROR(IF(Datos[[#This Row],[CON ETIQUETA]]="No",VALORHOJA(Datos[[#This Row],[NP]],$B$44),VALORHOJA(Datos[[#This Row],[NP]],$D$44)),"")</f>
        <v>531.50936145474418</v>
      </c>
      <c r="AA62" s="148">
        <f>IFERROR(IF(Datos[[#This Row],[Precio / Millar (Norwork)]]&lt;&gt;"",PRODUCT(Datos[[#This Row],[Precio / Millar (Norwork)]]/1000,Datos[[#This Row],[DEMANDA ANUAL]]),""),"")</f>
        <v>10861.393801327697</v>
      </c>
      <c r="AB62" s="155">
        <f>IFERROR(IF(Datos[[#This Row],[CON ETIQUETA]]="No",VALORHOJA(Datos[[#This Row],[NP]],$B$63)/VALORHOJA(Datos[[#This Row],[NP]],$B$42),VALORHOJA(Datos[[#This Row],[NP]],$D$63)/VALORHOJA(Datos[[#This Row],[NP]],$D$42)),"")</f>
        <v>7602.9756609293891</v>
      </c>
      <c r="AC62" s="148">
        <f>IFERROR(IF(Datos[[#This Row],[Precio / Millar (Norwork)]]&lt;&gt;"",SUM(Datos[[#This Row],[Ingresos Totales (Norwork)]],-Datos[[#This Row],[Costos Totales (Norwork)]]),""),"")</f>
        <v>3258.4181403983075</v>
      </c>
      <c r="AD62" s="153">
        <f>IFERROR(Datos[[#This Row],[Beneficio (Norwork)]]/Datos[[#This Row],[Ingresos Totales (Norwork)]],"")</f>
        <v>0.29999999999999988</v>
      </c>
    </row>
    <row r="63" spans="2:30" x14ac:dyDescent="0.3">
      <c r="B63" s="173" t="s">
        <v>273</v>
      </c>
      <c r="C63" s="145" t="s">
        <v>274</v>
      </c>
      <c r="D63" s="145" t="s">
        <v>1210</v>
      </c>
      <c r="E63" s="145">
        <v>2</v>
      </c>
      <c r="F63" s="145" t="s">
        <v>202</v>
      </c>
      <c r="G63" s="149">
        <v>20435</v>
      </c>
      <c r="H63" s="145" t="s">
        <v>202</v>
      </c>
      <c r="I63" s="145" t="s">
        <v>202</v>
      </c>
      <c r="J63" s="145" t="s">
        <v>207</v>
      </c>
      <c r="K63" s="145" t="s">
        <v>203</v>
      </c>
      <c r="L63" s="145">
        <v>1</v>
      </c>
      <c r="M63" s="145">
        <v>2</v>
      </c>
      <c r="N63" s="145">
        <v>52</v>
      </c>
      <c r="O63" s="145" t="s">
        <v>195</v>
      </c>
      <c r="P63" s="145" t="s">
        <v>198</v>
      </c>
      <c r="Q63" s="145" t="s">
        <v>199</v>
      </c>
      <c r="R63" s="145"/>
      <c r="S63" s="142" t="s">
        <v>195</v>
      </c>
      <c r="T63" s="145" t="s">
        <v>326</v>
      </c>
      <c r="U63" s="145">
        <v>7</v>
      </c>
      <c r="W63" s="148">
        <v>480</v>
      </c>
      <c r="X63" s="148">
        <f>IFERROR(Datos[[#This Row],[ARIBA PRECIO POR MILLAR (Dólares)]]/1000*Datos[[#This Row],[DEMANDA ANUAL]],"")</f>
        <v>9808.7999999999993</v>
      </c>
      <c r="Y63" s="153">
        <f>IFERROR((Datos[[#This Row],[INGRESO PRECIO ARIBA]]-Datos[[#This Row],[Costos Totales (Norwork)]])/Datos[[#This Row],[INGRESO PRECIO ARIBA]],"")</f>
        <v>0.22488218121183126</v>
      </c>
      <c r="Z63" s="148">
        <f>IFERROR(IF(Datos[[#This Row],[CON ETIQUETA]]="No",VALORHOJA(Datos[[#This Row],[NP]],$B$44),VALORHOJA(Datos[[#This Row],[NP]],$D$44)),"")</f>
        <v>531.50936145474418</v>
      </c>
      <c r="AA63" s="148">
        <f>IFERROR(IF(Datos[[#This Row],[Precio / Millar (Norwork)]]&lt;&gt;"",PRODUCT(Datos[[#This Row],[Precio / Millar (Norwork)]]/1000,Datos[[#This Row],[DEMANDA ANUAL]]),""),"")</f>
        <v>10861.393801327697</v>
      </c>
      <c r="AB63" s="155">
        <f>IFERROR(IF(Datos[[#This Row],[CON ETIQUETA]]="No",VALORHOJA(Datos[[#This Row],[NP]],$B$63)/VALORHOJA(Datos[[#This Row],[NP]],$B$42),VALORHOJA(Datos[[#This Row],[NP]],$D$63)/VALORHOJA(Datos[[#This Row],[NP]],$D$42)),"")</f>
        <v>7602.9756609293891</v>
      </c>
      <c r="AC63" s="148">
        <f>IFERROR(IF(Datos[[#This Row],[Precio / Millar (Norwork)]]&lt;&gt;"",SUM(Datos[[#This Row],[Ingresos Totales (Norwork)]],-Datos[[#This Row],[Costos Totales (Norwork)]]),""),"")</f>
        <v>3258.4181403983075</v>
      </c>
      <c r="AD63" s="153">
        <f>IFERROR(Datos[[#This Row],[Beneficio (Norwork)]]/Datos[[#This Row],[Ingresos Totales (Norwork)]],"")</f>
        <v>0.29999999999999988</v>
      </c>
    </row>
    <row r="64" spans="2:30" x14ac:dyDescent="0.3">
      <c r="B64" s="145" t="s">
        <v>491</v>
      </c>
      <c r="C64" s="177" t="s">
        <v>918</v>
      </c>
      <c r="D64" s="177"/>
      <c r="E64" s="145"/>
      <c r="G64" s="149">
        <v>20200</v>
      </c>
      <c r="H64" s="144"/>
      <c r="W64" s="148" t="s">
        <v>298</v>
      </c>
      <c r="X64" s="148" t="str">
        <f>IFERROR(Datos[[#This Row],[ARIBA PRECIO POR MILLAR (Dólares)]]/1000*Datos[[#This Row],[DEMANDA ANUAL]],"")</f>
        <v/>
      </c>
      <c r="Y64" s="153" t="str">
        <f>IFERROR((Datos[[#This Row],[INGRESO PRECIO ARIBA]]-Datos[[#This Row],[Costos Totales (Norwork)]])/Datos[[#This Row],[INGRESO PRECIO ARIBA]],"")</f>
        <v/>
      </c>
      <c r="Z64" s="148" t="str">
        <f>IFERROR(IF(Datos[[#This Row],[CON ETIQUETA]]="No",VALORHOJA(Datos[[#This Row],[NP]],$B$44),VALORHOJA(Datos[[#This Row],[NP]],$D$44)),"")</f>
        <v/>
      </c>
      <c r="AA64" s="148" t="str">
        <f>IFERROR(IF(Datos[[#This Row],[Precio / Millar (Norwork)]]&lt;&gt;"",PRODUCT(Datos[[#This Row],[Precio / Millar (Norwork)]]/1000,Datos[[#This Row],[DEMANDA ANUAL]]),""),"")</f>
        <v/>
      </c>
      <c r="AB6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64" s="148" t="str">
        <f>IFERROR(IF(Datos[[#This Row],[Precio / Millar (Norwork)]]&lt;&gt;"",SUM(Datos[[#This Row],[Ingresos Totales (Norwork)]],-Datos[[#This Row],[Costos Totales (Norwork)]]),""),"")</f>
        <v/>
      </c>
      <c r="AD64" s="153" t="str">
        <f>IFERROR(Datos[[#This Row],[Beneficio (Norwork)]]/Datos[[#This Row],[Ingresos Totales (Norwork)]],"")</f>
        <v/>
      </c>
    </row>
    <row r="65" spans="2:30" x14ac:dyDescent="0.3">
      <c r="B65" s="145" t="s">
        <v>443</v>
      </c>
      <c r="C65" s="176" t="s">
        <v>870</v>
      </c>
      <c r="D65" s="176"/>
      <c r="E65" s="145"/>
      <c r="F65" s="153"/>
      <c r="G65" s="149">
        <v>19680</v>
      </c>
      <c r="H65" s="144"/>
      <c r="W65" s="148" t="s">
        <v>298</v>
      </c>
      <c r="X65" s="148" t="str">
        <f>IFERROR(Datos[[#This Row],[ARIBA PRECIO POR MILLAR (Dólares)]]/1000*Datos[[#This Row],[DEMANDA ANUAL]],"")</f>
        <v/>
      </c>
      <c r="Y65" s="153" t="str">
        <f>IFERROR((Datos[[#This Row],[INGRESO PRECIO ARIBA]]-Datos[[#This Row],[Costos Totales (Norwork)]])/Datos[[#This Row],[INGRESO PRECIO ARIBA]],"")</f>
        <v/>
      </c>
      <c r="Z65" s="148" t="str">
        <f>IFERROR(IF(Datos[[#This Row],[CON ETIQUETA]]="No",VALORHOJA(Datos[[#This Row],[NP]],$B$44),VALORHOJA(Datos[[#This Row],[NP]],$D$44)),"")</f>
        <v/>
      </c>
      <c r="AA65" s="148" t="str">
        <f>IFERROR(IF(Datos[[#This Row],[Precio / Millar (Norwork)]]&lt;&gt;"",PRODUCT(Datos[[#This Row],[Precio / Millar (Norwork)]]/1000,Datos[[#This Row],[DEMANDA ANUAL]]),""),"")</f>
        <v/>
      </c>
      <c r="AB6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65" s="148" t="str">
        <f>IFERROR(IF(Datos[[#This Row],[Precio / Millar (Norwork)]]&lt;&gt;"",SUM(Datos[[#This Row],[Ingresos Totales (Norwork)]],-Datos[[#This Row],[Costos Totales (Norwork)]]),""),"")</f>
        <v/>
      </c>
      <c r="AD65" s="153" t="str">
        <f>IFERROR(Datos[[#This Row],[Beneficio (Norwork)]]/Datos[[#This Row],[Ingresos Totales (Norwork)]],"")</f>
        <v/>
      </c>
    </row>
    <row r="66" spans="2:30" x14ac:dyDescent="0.3">
      <c r="B66" s="145" t="s">
        <v>463</v>
      </c>
      <c r="C66" s="176" t="s">
        <v>890</v>
      </c>
      <c r="D66" s="176"/>
      <c r="E66" s="145"/>
      <c r="F66" s="153"/>
      <c r="G66" s="149">
        <v>19548</v>
      </c>
      <c r="H66" s="144"/>
      <c r="W66" s="148" t="s">
        <v>298</v>
      </c>
      <c r="X66" s="148" t="str">
        <f>IFERROR(Datos[[#This Row],[ARIBA PRECIO POR MILLAR (Dólares)]]/1000*Datos[[#This Row],[DEMANDA ANUAL]],"")</f>
        <v/>
      </c>
      <c r="Y66" s="153" t="str">
        <f>IFERROR((Datos[[#This Row],[INGRESO PRECIO ARIBA]]-Datos[[#This Row],[Costos Totales (Norwork)]])/Datos[[#This Row],[INGRESO PRECIO ARIBA]],"")</f>
        <v/>
      </c>
      <c r="Z66" s="148" t="str">
        <f>IFERROR(IF(Datos[[#This Row],[CON ETIQUETA]]="No",VALORHOJA(Datos[[#This Row],[NP]],$B$44),VALORHOJA(Datos[[#This Row],[NP]],$D$44)),"")</f>
        <v/>
      </c>
      <c r="AA66" s="148" t="str">
        <f>IFERROR(IF(Datos[[#This Row],[Precio / Millar (Norwork)]]&lt;&gt;"",PRODUCT(Datos[[#This Row],[Precio / Millar (Norwork)]]/1000,Datos[[#This Row],[DEMANDA ANUAL]]),""),"")</f>
        <v/>
      </c>
      <c r="AB6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66" s="148" t="str">
        <f>IFERROR(IF(Datos[[#This Row],[Precio / Millar (Norwork)]]&lt;&gt;"",SUM(Datos[[#This Row],[Ingresos Totales (Norwork)]],-Datos[[#This Row],[Costos Totales (Norwork)]]),""),"")</f>
        <v/>
      </c>
      <c r="AD66" s="153" t="str">
        <f>IFERROR(Datos[[#This Row],[Beneficio (Norwork)]]/Datos[[#This Row],[Ingresos Totales (Norwork)]],"")</f>
        <v/>
      </c>
    </row>
    <row r="67" spans="2:30" x14ac:dyDescent="0.3">
      <c r="B67" s="145" t="s">
        <v>457</v>
      </c>
      <c r="C67" s="176" t="s">
        <v>884</v>
      </c>
      <c r="D67" s="176"/>
      <c r="E67" s="145"/>
      <c r="F67" s="153"/>
      <c r="G67" s="149">
        <v>18737</v>
      </c>
      <c r="H67" s="144"/>
      <c r="W67" s="148" t="s">
        <v>298</v>
      </c>
      <c r="X67" s="148" t="str">
        <f>IFERROR(Datos[[#This Row],[ARIBA PRECIO POR MILLAR (Dólares)]]/1000*Datos[[#This Row],[DEMANDA ANUAL]],"")</f>
        <v/>
      </c>
      <c r="Y67" s="153" t="str">
        <f>IFERROR((Datos[[#This Row],[INGRESO PRECIO ARIBA]]-Datos[[#This Row],[Costos Totales (Norwork)]])/Datos[[#This Row],[INGRESO PRECIO ARIBA]],"")</f>
        <v/>
      </c>
      <c r="Z67" s="148" t="str">
        <f>IFERROR(IF(Datos[[#This Row],[CON ETIQUETA]]="No",VALORHOJA(Datos[[#This Row],[NP]],$B$44),VALORHOJA(Datos[[#This Row],[NP]],$D$44)),"")</f>
        <v/>
      </c>
      <c r="AA67" s="148" t="str">
        <f>IFERROR(IF(Datos[[#This Row],[Precio / Millar (Norwork)]]&lt;&gt;"",PRODUCT(Datos[[#This Row],[Precio / Millar (Norwork)]]/1000,Datos[[#This Row],[DEMANDA ANUAL]]),""),"")</f>
        <v/>
      </c>
      <c r="AB6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67" s="148" t="str">
        <f>IFERROR(IF(Datos[[#This Row],[Precio / Millar (Norwork)]]&lt;&gt;"",SUM(Datos[[#This Row],[Ingresos Totales (Norwork)]],-Datos[[#This Row],[Costos Totales (Norwork)]]),""),"")</f>
        <v/>
      </c>
      <c r="AD67" s="153" t="str">
        <f>IFERROR(Datos[[#This Row],[Beneficio (Norwork)]]/Datos[[#This Row],[Ingresos Totales (Norwork)]],"")</f>
        <v/>
      </c>
    </row>
    <row r="68" spans="2:30" x14ac:dyDescent="0.3">
      <c r="B68" s="145" t="s">
        <v>418</v>
      </c>
      <c r="C68" s="145" t="s">
        <v>846</v>
      </c>
      <c r="D68" s="145"/>
      <c r="E68" s="145"/>
      <c r="G68" s="149">
        <v>18423</v>
      </c>
      <c r="H68" s="144"/>
      <c r="W68" s="148" t="s">
        <v>298</v>
      </c>
      <c r="X68" s="148" t="str">
        <f>IFERROR(Datos[[#This Row],[ARIBA PRECIO POR MILLAR (Dólares)]]/1000*Datos[[#This Row],[DEMANDA ANUAL]],"")</f>
        <v/>
      </c>
      <c r="Y68" s="153" t="str">
        <f>IFERROR((Datos[[#This Row],[INGRESO PRECIO ARIBA]]-Datos[[#This Row],[Costos Totales (Norwork)]])/Datos[[#This Row],[INGRESO PRECIO ARIBA]],"")</f>
        <v/>
      </c>
      <c r="Z68" s="148" t="str">
        <f>IFERROR(IF(Datos[[#This Row],[CON ETIQUETA]]="No",VALORHOJA(Datos[[#This Row],[NP]],$B$44),VALORHOJA(Datos[[#This Row],[NP]],$D$44)),"")</f>
        <v/>
      </c>
      <c r="AA68" s="148" t="str">
        <f>IFERROR(IF(Datos[[#This Row],[Precio / Millar (Norwork)]]&lt;&gt;"",PRODUCT(Datos[[#This Row],[Precio / Millar (Norwork)]]/1000,Datos[[#This Row],[DEMANDA ANUAL]]),""),"")</f>
        <v/>
      </c>
      <c r="AB6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68" s="148" t="str">
        <f>IFERROR(IF(Datos[[#This Row],[Precio / Millar (Norwork)]]&lt;&gt;"",SUM(Datos[[#This Row],[Ingresos Totales (Norwork)]],-Datos[[#This Row],[Costos Totales (Norwork)]]),""),"")</f>
        <v/>
      </c>
      <c r="AD68" s="153" t="str">
        <f>IFERROR(Datos[[#This Row],[Beneficio (Norwork)]]/Datos[[#This Row],[Ingresos Totales (Norwork)]],"")</f>
        <v/>
      </c>
    </row>
    <row r="69" spans="2:30" x14ac:dyDescent="0.3">
      <c r="B69" s="145" t="s">
        <v>496</v>
      </c>
      <c r="C69" s="145" t="s">
        <v>923</v>
      </c>
      <c r="D69" s="145"/>
      <c r="E69" s="145"/>
      <c r="G69" s="149">
        <v>18408</v>
      </c>
      <c r="H69" s="144"/>
      <c r="W69" s="148" t="s">
        <v>298</v>
      </c>
      <c r="X69" s="148" t="str">
        <f>IFERROR(Datos[[#This Row],[ARIBA PRECIO POR MILLAR (Dólares)]]/1000*Datos[[#This Row],[DEMANDA ANUAL]],"")</f>
        <v/>
      </c>
      <c r="Y69" s="153" t="str">
        <f>IFERROR((Datos[[#This Row],[INGRESO PRECIO ARIBA]]-Datos[[#This Row],[Costos Totales (Norwork)]])/Datos[[#This Row],[INGRESO PRECIO ARIBA]],"")</f>
        <v/>
      </c>
      <c r="Z69" s="148" t="str">
        <f>IFERROR(IF(Datos[[#This Row],[CON ETIQUETA]]="No",VALORHOJA(Datos[[#This Row],[NP]],$B$44),VALORHOJA(Datos[[#This Row],[NP]],$D$44)),"")</f>
        <v/>
      </c>
      <c r="AA69" s="148" t="str">
        <f>IFERROR(IF(Datos[[#This Row],[Precio / Millar (Norwork)]]&lt;&gt;"",PRODUCT(Datos[[#This Row],[Precio / Millar (Norwork)]]/1000,Datos[[#This Row],[DEMANDA ANUAL]]),""),"")</f>
        <v/>
      </c>
      <c r="AB6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69" s="148" t="str">
        <f>IFERROR(IF(Datos[[#This Row],[Precio / Millar (Norwork)]]&lt;&gt;"",SUM(Datos[[#This Row],[Ingresos Totales (Norwork)]],-Datos[[#This Row],[Costos Totales (Norwork)]]),""),"")</f>
        <v/>
      </c>
      <c r="AD69" s="153" t="str">
        <f>IFERROR(Datos[[#This Row],[Beneficio (Norwork)]]/Datos[[#This Row],[Ingresos Totales (Norwork)]],"")</f>
        <v/>
      </c>
    </row>
    <row r="70" spans="2:30" x14ac:dyDescent="0.3">
      <c r="B70" s="145" t="s">
        <v>435</v>
      </c>
      <c r="C70" s="176" t="s">
        <v>862</v>
      </c>
      <c r="D70" s="176"/>
      <c r="E70" s="145"/>
      <c r="F70" s="153"/>
      <c r="G70" s="149">
        <v>17355</v>
      </c>
      <c r="H70" s="144"/>
      <c r="W70" s="148" t="s">
        <v>298</v>
      </c>
      <c r="X70" s="148" t="str">
        <f>IFERROR(Datos[[#This Row],[ARIBA PRECIO POR MILLAR (Dólares)]]/1000*Datos[[#This Row],[DEMANDA ANUAL]],"")</f>
        <v/>
      </c>
      <c r="Y70" s="153" t="str">
        <f>IFERROR((Datos[[#This Row],[INGRESO PRECIO ARIBA]]-Datos[[#This Row],[Costos Totales (Norwork)]])/Datos[[#This Row],[INGRESO PRECIO ARIBA]],"")</f>
        <v/>
      </c>
      <c r="Z70" s="148" t="str">
        <f>IFERROR(IF(Datos[[#This Row],[CON ETIQUETA]]="No",VALORHOJA(Datos[[#This Row],[NP]],$B$44),VALORHOJA(Datos[[#This Row],[NP]],$D$44)),"")</f>
        <v/>
      </c>
      <c r="AA70" s="148" t="str">
        <f>IFERROR(IF(Datos[[#This Row],[Precio / Millar (Norwork)]]&lt;&gt;"",PRODUCT(Datos[[#This Row],[Precio / Millar (Norwork)]]/1000,Datos[[#This Row],[DEMANDA ANUAL]]),""),"")</f>
        <v/>
      </c>
      <c r="AB7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70" s="148" t="str">
        <f>IFERROR(IF(Datos[[#This Row],[Precio / Millar (Norwork)]]&lt;&gt;"",SUM(Datos[[#This Row],[Ingresos Totales (Norwork)]],-Datos[[#This Row],[Costos Totales (Norwork)]]),""),"")</f>
        <v/>
      </c>
      <c r="AD70" s="153" t="str">
        <f>IFERROR(Datos[[#This Row],[Beneficio (Norwork)]]/Datos[[#This Row],[Ingresos Totales (Norwork)]],"")</f>
        <v/>
      </c>
    </row>
    <row r="71" spans="2:30" x14ac:dyDescent="0.3">
      <c r="B71" s="145" t="s">
        <v>497</v>
      </c>
      <c r="C71" s="145" t="s">
        <v>924</v>
      </c>
      <c r="D71" s="145"/>
      <c r="E71" s="145"/>
      <c r="G71" s="149">
        <v>17280</v>
      </c>
      <c r="H71" s="144"/>
      <c r="W71" s="148" t="s">
        <v>298</v>
      </c>
      <c r="X71" s="148" t="str">
        <f>IFERROR(Datos[[#This Row],[ARIBA PRECIO POR MILLAR (Dólares)]]/1000*Datos[[#This Row],[DEMANDA ANUAL]],"")</f>
        <v/>
      </c>
      <c r="Y71" s="153" t="str">
        <f>IFERROR((Datos[[#This Row],[INGRESO PRECIO ARIBA]]-Datos[[#This Row],[Costos Totales (Norwork)]])/Datos[[#This Row],[INGRESO PRECIO ARIBA]],"")</f>
        <v/>
      </c>
      <c r="Z71" s="148" t="str">
        <f>IFERROR(IF(Datos[[#This Row],[CON ETIQUETA]]="No",VALORHOJA(Datos[[#This Row],[NP]],$B$44),VALORHOJA(Datos[[#This Row],[NP]],$D$44)),"")</f>
        <v/>
      </c>
      <c r="AA71" s="148" t="str">
        <f>IFERROR(IF(Datos[[#This Row],[Precio / Millar (Norwork)]]&lt;&gt;"",PRODUCT(Datos[[#This Row],[Precio / Millar (Norwork)]]/1000,Datos[[#This Row],[DEMANDA ANUAL]]),""),"")</f>
        <v/>
      </c>
      <c r="AB7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71" s="148" t="str">
        <f>IFERROR(IF(Datos[[#This Row],[Precio / Millar (Norwork)]]&lt;&gt;"",SUM(Datos[[#This Row],[Ingresos Totales (Norwork)]],-Datos[[#This Row],[Costos Totales (Norwork)]]),""),"")</f>
        <v/>
      </c>
      <c r="AD71" s="153" t="str">
        <f>IFERROR(Datos[[#This Row],[Beneficio (Norwork)]]/Datos[[#This Row],[Ingresos Totales (Norwork)]],"")</f>
        <v/>
      </c>
    </row>
    <row r="72" spans="2:30" x14ac:dyDescent="0.3">
      <c r="B72" s="145" t="s">
        <v>423</v>
      </c>
      <c r="C72" s="145" t="s">
        <v>851</v>
      </c>
      <c r="D72" s="145"/>
      <c r="E72" s="145"/>
      <c r="G72" s="149">
        <v>16824</v>
      </c>
      <c r="H72" s="144"/>
      <c r="W72" s="148" t="s">
        <v>298</v>
      </c>
      <c r="X72" s="148" t="str">
        <f>IFERROR(Datos[[#This Row],[ARIBA PRECIO POR MILLAR (Dólares)]]/1000*Datos[[#This Row],[DEMANDA ANUAL]],"")</f>
        <v/>
      </c>
      <c r="Y72" s="153" t="str">
        <f>IFERROR((Datos[[#This Row],[INGRESO PRECIO ARIBA]]-Datos[[#This Row],[Costos Totales (Norwork)]])/Datos[[#This Row],[INGRESO PRECIO ARIBA]],"")</f>
        <v/>
      </c>
      <c r="Z72" s="148" t="str">
        <f>IFERROR(IF(Datos[[#This Row],[CON ETIQUETA]]="No",VALORHOJA(Datos[[#This Row],[NP]],$B$44),VALORHOJA(Datos[[#This Row],[NP]],$D$44)),"")</f>
        <v/>
      </c>
      <c r="AA72" s="148" t="str">
        <f>IFERROR(IF(Datos[[#This Row],[Precio / Millar (Norwork)]]&lt;&gt;"",PRODUCT(Datos[[#This Row],[Precio / Millar (Norwork)]]/1000,Datos[[#This Row],[DEMANDA ANUAL]]),""),"")</f>
        <v/>
      </c>
      <c r="AB7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72" s="148" t="str">
        <f>IFERROR(IF(Datos[[#This Row],[Precio / Millar (Norwork)]]&lt;&gt;"",SUM(Datos[[#This Row],[Ingresos Totales (Norwork)]],-Datos[[#This Row],[Costos Totales (Norwork)]]),""),"")</f>
        <v/>
      </c>
      <c r="AD72" s="153" t="str">
        <f>IFERROR(Datos[[#This Row],[Beneficio (Norwork)]]/Datos[[#This Row],[Ingresos Totales (Norwork)]],"")</f>
        <v/>
      </c>
    </row>
    <row r="73" spans="2:30" x14ac:dyDescent="0.3">
      <c r="B73" s="145" t="s">
        <v>372</v>
      </c>
      <c r="C73" s="176" t="s">
        <v>801</v>
      </c>
      <c r="D73" s="176" t="s">
        <v>1205</v>
      </c>
      <c r="E73" s="145">
        <v>1</v>
      </c>
      <c r="F73" s="148" t="s">
        <v>195</v>
      </c>
      <c r="G73" s="149">
        <v>16268</v>
      </c>
      <c r="H73" s="144"/>
      <c r="W73" s="148" t="s">
        <v>298</v>
      </c>
      <c r="X73" s="148" t="str">
        <f>IFERROR(Datos[[#This Row],[ARIBA PRECIO POR MILLAR (Dólares)]]/1000*Datos[[#This Row],[DEMANDA ANUAL]],"")</f>
        <v/>
      </c>
      <c r="Y73" s="153" t="str">
        <f>IFERROR((Datos[[#This Row],[INGRESO PRECIO ARIBA]]-Datos[[#This Row],[Costos Totales (Norwork)]])/Datos[[#This Row],[INGRESO PRECIO ARIBA]],"")</f>
        <v/>
      </c>
      <c r="Z73" s="148" t="str">
        <f>IFERROR(IF(Datos[[#This Row],[CON ETIQUETA]]="No",VALORHOJA(Datos[[#This Row],[NP]],$B$44),VALORHOJA(Datos[[#This Row],[NP]],$D$44)),"")</f>
        <v/>
      </c>
      <c r="AA73" s="148" t="str">
        <f>IFERROR(IF(Datos[[#This Row],[Precio / Millar (Norwork)]]&lt;&gt;"",PRODUCT(Datos[[#This Row],[Precio / Millar (Norwork)]]/1000,Datos[[#This Row],[DEMANDA ANUAL]]),""),"")</f>
        <v/>
      </c>
      <c r="AB7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73" s="148" t="str">
        <f>IFERROR(IF(Datos[[#This Row],[Precio / Millar (Norwork)]]&lt;&gt;"",SUM(Datos[[#This Row],[Ingresos Totales (Norwork)]],-Datos[[#This Row],[Costos Totales (Norwork)]]),""),"")</f>
        <v/>
      </c>
      <c r="AD73" s="153" t="str">
        <f>IFERROR(Datos[[#This Row],[Beneficio (Norwork)]]/Datos[[#This Row],[Ingresos Totales (Norwork)]],"")</f>
        <v/>
      </c>
    </row>
    <row r="74" spans="2:30" x14ac:dyDescent="0.3">
      <c r="B74" s="173" t="s">
        <v>393</v>
      </c>
      <c r="C74" s="176" t="s">
        <v>821</v>
      </c>
      <c r="D74" s="176" t="s">
        <v>1205</v>
      </c>
      <c r="E74" s="145">
        <v>1</v>
      </c>
      <c r="F74" s="148" t="s">
        <v>202</v>
      </c>
      <c r="G74" s="149">
        <v>16268</v>
      </c>
      <c r="H74" s="144" t="s">
        <v>202</v>
      </c>
      <c r="I74" s="142" t="s">
        <v>202</v>
      </c>
      <c r="J74" s="142" t="s">
        <v>207</v>
      </c>
      <c r="K74" s="142" t="s">
        <v>203</v>
      </c>
      <c r="L74" s="142">
        <v>1</v>
      </c>
      <c r="M74" s="142">
        <v>2</v>
      </c>
      <c r="N74" s="142">
        <v>28</v>
      </c>
      <c r="O74" s="142" t="s">
        <v>195</v>
      </c>
      <c r="P74" s="142" t="s">
        <v>198</v>
      </c>
      <c r="Q74" s="142" t="s">
        <v>199</v>
      </c>
      <c r="S74" s="142" t="s">
        <v>195</v>
      </c>
      <c r="T74" s="142" t="s">
        <v>326</v>
      </c>
      <c r="U74" s="142">
        <v>6</v>
      </c>
      <c r="W74" s="148" t="s">
        <v>298</v>
      </c>
      <c r="X74" s="148" t="str">
        <f>IFERROR(Datos[[#This Row],[ARIBA PRECIO POR MILLAR (Dólares)]]/1000*Datos[[#This Row],[DEMANDA ANUAL]],"")</f>
        <v/>
      </c>
      <c r="Y74" s="153" t="str">
        <f>IFERROR((Datos[[#This Row],[INGRESO PRECIO ARIBA]]-Datos[[#This Row],[Costos Totales (Norwork)]])/Datos[[#This Row],[INGRESO PRECIO ARIBA]],"")</f>
        <v/>
      </c>
      <c r="Z74" s="148">
        <f>IFERROR(IF(Datos[[#This Row],[CON ETIQUETA]]="No",VALORHOJA(Datos[[#This Row],[NP]],$B$44),VALORHOJA(Datos[[#This Row],[NP]],$D$44)),"")</f>
        <v>298.44635713463191</v>
      </c>
      <c r="AA74" s="148">
        <f>IFERROR(IF(Datos[[#This Row],[Precio / Millar (Norwork)]]&lt;&gt;"",PRODUCT(Datos[[#This Row],[Precio / Millar (Norwork)]]/1000,Datos[[#This Row],[DEMANDA ANUAL]]),""),"")</f>
        <v>4855.1253378661922</v>
      </c>
      <c r="AB74" s="155">
        <f>IFERROR(IF(Datos[[#This Row],[CON ETIQUETA]]="No",VALORHOJA(Datos[[#This Row],[NP]],$B$63)/VALORHOJA(Datos[[#This Row],[NP]],$B$42),VALORHOJA(Datos[[#This Row],[NP]],$D$63)/VALORHOJA(Datos[[#This Row],[NP]],$D$42)),"")</f>
        <v>3398.5877365063338</v>
      </c>
      <c r="AC74" s="148">
        <f>IFERROR(IF(Datos[[#This Row],[Precio / Millar (Norwork)]]&lt;&gt;"",SUM(Datos[[#This Row],[Ingresos Totales (Norwork)]],-Datos[[#This Row],[Costos Totales (Norwork)]]),""),"")</f>
        <v>1456.5376013598584</v>
      </c>
      <c r="AD74" s="153">
        <f>IFERROR(Datos[[#This Row],[Beneficio (Norwork)]]/Datos[[#This Row],[Ingresos Totales (Norwork)]],"")</f>
        <v>0.30000000000000016</v>
      </c>
    </row>
    <row r="75" spans="2:30" x14ac:dyDescent="0.3">
      <c r="B75" s="154" t="s">
        <v>218</v>
      </c>
      <c r="C75" s="145" t="s">
        <v>219</v>
      </c>
      <c r="D75" s="145" t="s">
        <v>1209</v>
      </c>
      <c r="E75" s="145">
        <v>1</v>
      </c>
      <c r="F75" s="142" t="s">
        <v>202</v>
      </c>
      <c r="G75" s="149">
        <v>16216</v>
      </c>
      <c r="H75" s="142" t="s">
        <v>202</v>
      </c>
      <c r="I75" s="142" t="s">
        <v>202</v>
      </c>
      <c r="J75" s="142" t="s">
        <v>216</v>
      </c>
      <c r="K75" s="142" t="s">
        <v>203</v>
      </c>
      <c r="L75" s="142">
        <v>4</v>
      </c>
      <c r="M75" s="142">
        <v>2</v>
      </c>
      <c r="N75" s="142">
        <v>2</v>
      </c>
      <c r="O75" s="142" t="s">
        <v>202</v>
      </c>
      <c r="P75" s="142" t="s">
        <v>217</v>
      </c>
      <c r="S75" s="142" t="s">
        <v>195</v>
      </c>
      <c r="T75" s="142" t="s">
        <v>328</v>
      </c>
      <c r="U75" s="142">
        <v>1</v>
      </c>
      <c r="W75" s="148">
        <v>1900</v>
      </c>
      <c r="X75" s="148">
        <f>IFERROR(Datos[[#This Row],[ARIBA PRECIO POR MILLAR (Dólares)]]/1000*Datos[[#This Row],[DEMANDA ANUAL]],"")</f>
        <v>30810.399999999998</v>
      </c>
      <c r="Y75" s="153">
        <f>IFERROR((Datos[[#This Row],[INGRESO PRECIO ARIBA]]-Datos[[#This Row],[Costos Totales (Norwork)]])/Datos[[#This Row],[INGRESO PRECIO ARIBA]],"")</f>
        <v>0.50347958112577629</v>
      </c>
      <c r="Z75" s="148">
        <f>IFERROR(IF(Datos[[#This Row],[CON ETIQUETA]]="No",VALORHOJA(Datos[[#This Row],[NP]],$B$44),VALORHOJA(Datos[[#This Row],[NP]],$D$44)),"")</f>
        <v>1920.1718853808472</v>
      </c>
      <c r="AA75" s="148">
        <f>IFERROR(IF(Datos[[#This Row],[Precio / Millar (Norwork)]]&lt;&gt;"",PRODUCT(Datos[[#This Row],[Precio / Millar (Norwork)]]/1000,Datos[[#This Row],[DEMANDA ANUAL]]),""),"")</f>
        <v>31137.507293335817</v>
      </c>
      <c r="AB75" s="155">
        <f>IFERROR(IF(Datos[[#This Row],[CON ETIQUETA]]="No",VALORHOJA(Datos[[#This Row],[NP]],$B$63)/VALORHOJA(Datos[[#This Row],[NP]],$B$42),VALORHOJA(Datos[[#This Row],[NP]],$D$63)/VALORHOJA(Datos[[#This Row],[NP]],$D$42)),"")</f>
        <v>15297.992713682383</v>
      </c>
      <c r="AC75" s="148">
        <f>IFERROR(IF(Datos[[#This Row],[Precio / Millar (Norwork)]]&lt;&gt;"",SUM(Datos[[#This Row],[Ingresos Totales (Norwork)]],-Datos[[#This Row],[Costos Totales (Norwork)]]),""),"")</f>
        <v>15839.514579653434</v>
      </c>
      <c r="AD75" s="153">
        <f>IFERROR(Datos[[#This Row],[Beneficio (Norwork)]]/Datos[[#This Row],[Ingresos Totales (Norwork)]],"")</f>
        <v>0.50869565217391299</v>
      </c>
    </row>
    <row r="76" spans="2:30" x14ac:dyDescent="0.3">
      <c r="B76" s="173" t="s">
        <v>285</v>
      </c>
      <c r="C76" s="145" t="s">
        <v>286</v>
      </c>
      <c r="D76" s="145" t="s">
        <v>1210</v>
      </c>
      <c r="E76" s="145">
        <v>2</v>
      </c>
      <c r="F76" s="142" t="s">
        <v>202</v>
      </c>
      <c r="G76" s="149">
        <v>16216</v>
      </c>
      <c r="H76" s="142" t="s">
        <v>202</v>
      </c>
      <c r="I76" s="142" t="s">
        <v>202</v>
      </c>
      <c r="J76" s="142" t="s">
        <v>207</v>
      </c>
      <c r="K76" s="142" t="s">
        <v>203</v>
      </c>
      <c r="L76" s="142">
        <v>1</v>
      </c>
      <c r="M76" s="142">
        <v>2</v>
      </c>
      <c r="N76" s="142">
        <v>56</v>
      </c>
      <c r="O76" s="142" t="s">
        <v>195</v>
      </c>
      <c r="P76" s="142" t="s">
        <v>198</v>
      </c>
      <c r="Q76" s="142" t="s">
        <v>199</v>
      </c>
      <c r="S76" s="142" t="s">
        <v>195</v>
      </c>
      <c r="T76" s="142" t="s">
        <v>326</v>
      </c>
      <c r="U76" s="142">
        <v>8</v>
      </c>
      <c r="W76" s="148">
        <v>630</v>
      </c>
      <c r="X76" s="148">
        <f>IFERROR(Datos[[#This Row],[ARIBA PRECIO POR MILLAR (Dólares)]]/1000*Datos[[#This Row],[DEMANDA ANUAL]],"")</f>
        <v>10216.08</v>
      </c>
      <c r="Y76" s="153">
        <f>IFERROR((Datos[[#This Row],[INGRESO PRECIO ARIBA]]-Datos[[#This Row],[Costos Totales (Norwork)]])/Datos[[#This Row],[INGRESO PRECIO ARIBA]],"")</f>
        <v>0.36192244295445714</v>
      </c>
      <c r="Z76" s="148">
        <f>IFERROR(IF(Datos[[#This Row],[CON ETIQUETA]]="No",VALORHOJA(Datos[[#This Row],[NP]],$B$44),VALORHOJA(Datos[[#This Row],[NP]],$D$44)),"")</f>
        <v>574.26980134098869</v>
      </c>
      <c r="AA76" s="148">
        <f>IFERROR(IF(Datos[[#This Row],[Precio / Millar (Norwork)]]&lt;&gt;"",PRODUCT(Datos[[#This Row],[Precio / Millar (Norwork)]]/1000,Datos[[#This Row],[DEMANDA ANUAL]]),""),"")</f>
        <v>9312.3590985454721</v>
      </c>
      <c r="AB76" s="155">
        <f>IFERROR(IF(Datos[[#This Row],[CON ETIQUETA]]="No",VALORHOJA(Datos[[#This Row],[NP]],$B$63)/VALORHOJA(Datos[[#This Row],[NP]],$B$42),VALORHOJA(Datos[[#This Row],[NP]],$D$63)/VALORHOJA(Datos[[#This Row],[NP]],$D$42)),"")</f>
        <v>6518.6513689818294</v>
      </c>
      <c r="AC76" s="148">
        <f>IFERROR(IF(Datos[[#This Row],[Precio / Millar (Norwork)]]&lt;&gt;"",SUM(Datos[[#This Row],[Ingresos Totales (Norwork)]],-Datos[[#This Row],[Costos Totales (Norwork)]]),""),"")</f>
        <v>2793.7077295636427</v>
      </c>
      <c r="AD76" s="153">
        <f>IFERROR(Datos[[#This Row],[Beneficio (Norwork)]]/Datos[[#This Row],[Ingresos Totales (Norwork)]],"")</f>
        <v>0.3000000000000001</v>
      </c>
    </row>
    <row r="77" spans="2:30" x14ac:dyDescent="0.3">
      <c r="B77" s="173" t="s">
        <v>287</v>
      </c>
      <c r="C77" s="145" t="s">
        <v>288</v>
      </c>
      <c r="D77" s="145" t="s">
        <v>1210</v>
      </c>
      <c r="E77" s="145">
        <v>2</v>
      </c>
      <c r="F77" s="142" t="s">
        <v>202</v>
      </c>
      <c r="G77" s="149">
        <v>16216</v>
      </c>
      <c r="H77" s="142" t="s">
        <v>202</v>
      </c>
      <c r="I77" s="142" t="s">
        <v>202</v>
      </c>
      <c r="J77" s="142" t="s">
        <v>207</v>
      </c>
      <c r="K77" s="142" t="s">
        <v>203</v>
      </c>
      <c r="L77" s="142">
        <v>1</v>
      </c>
      <c r="M77" s="142">
        <v>2</v>
      </c>
      <c r="N77" s="142">
        <v>56</v>
      </c>
      <c r="O77" s="142" t="s">
        <v>195</v>
      </c>
      <c r="P77" s="142" t="s">
        <v>198</v>
      </c>
      <c r="Q77" s="142" t="s">
        <v>199</v>
      </c>
      <c r="S77" s="142" t="s">
        <v>195</v>
      </c>
      <c r="T77" s="142" t="s">
        <v>326</v>
      </c>
      <c r="U77" s="142">
        <v>8</v>
      </c>
      <c r="W77" s="148">
        <v>630</v>
      </c>
      <c r="X77" s="148">
        <f>IFERROR(Datos[[#This Row],[ARIBA PRECIO POR MILLAR (Dólares)]]/1000*Datos[[#This Row],[DEMANDA ANUAL]],"")</f>
        <v>10216.08</v>
      </c>
      <c r="Y77" s="153">
        <f>IFERROR((Datos[[#This Row],[INGRESO PRECIO ARIBA]]-Datos[[#This Row],[Costos Totales (Norwork)]])/Datos[[#This Row],[INGRESO PRECIO ARIBA]],"")</f>
        <v>0.36192244295445714</v>
      </c>
      <c r="Z77" s="148">
        <f>IFERROR(IF(Datos[[#This Row],[CON ETIQUETA]]="No",VALORHOJA(Datos[[#This Row],[NP]],$B$44),VALORHOJA(Datos[[#This Row],[NP]],$D$44)),"")</f>
        <v>574.26980134098869</v>
      </c>
      <c r="AA77" s="148">
        <f>IFERROR(IF(Datos[[#This Row],[Precio / Millar (Norwork)]]&lt;&gt;"",PRODUCT(Datos[[#This Row],[Precio / Millar (Norwork)]]/1000,Datos[[#This Row],[DEMANDA ANUAL]]),""),"")</f>
        <v>9312.3590985454721</v>
      </c>
      <c r="AB77" s="155">
        <f>IFERROR(IF(Datos[[#This Row],[CON ETIQUETA]]="No",VALORHOJA(Datos[[#This Row],[NP]],$B$63)/VALORHOJA(Datos[[#This Row],[NP]],$B$42),VALORHOJA(Datos[[#This Row],[NP]],$D$63)/VALORHOJA(Datos[[#This Row],[NP]],$D$42)),"")</f>
        <v>6518.6513689818294</v>
      </c>
      <c r="AC77" s="148">
        <f>IFERROR(IF(Datos[[#This Row],[Precio / Millar (Norwork)]]&lt;&gt;"",SUM(Datos[[#This Row],[Ingresos Totales (Norwork)]],-Datos[[#This Row],[Costos Totales (Norwork)]]),""),"")</f>
        <v>2793.7077295636427</v>
      </c>
      <c r="AD77" s="153">
        <f>IFERROR(Datos[[#This Row],[Beneficio (Norwork)]]/Datos[[#This Row],[Ingresos Totales (Norwork)]],"")</f>
        <v>0.3000000000000001</v>
      </c>
    </row>
    <row r="78" spans="2:30" x14ac:dyDescent="0.3">
      <c r="B78" s="145" t="s">
        <v>471</v>
      </c>
      <c r="C78" s="145" t="s">
        <v>898</v>
      </c>
      <c r="D78" s="145"/>
      <c r="E78" s="145"/>
      <c r="G78" s="149">
        <v>16012</v>
      </c>
      <c r="H78" s="144"/>
      <c r="W78" s="148" t="s">
        <v>298</v>
      </c>
      <c r="X78" s="148" t="str">
        <f>IFERROR(Datos[[#This Row],[ARIBA PRECIO POR MILLAR (Dólares)]]/1000*Datos[[#This Row],[DEMANDA ANUAL]],"")</f>
        <v/>
      </c>
      <c r="Y78" s="153" t="str">
        <f>IFERROR((Datos[[#This Row],[INGRESO PRECIO ARIBA]]-Datos[[#This Row],[Costos Totales (Norwork)]])/Datos[[#This Row],[INGRESO PRECIO ARIBA]],"")</f>
        <v/>
      </c>
      <c r="Z78" s="148" t="str">
        <f>IFERROR(IF(Datos[[#This Row],[CON ETIQUETA]]="No",VALORHOJA(Datos[[#This Row],[NP]],$B$44),VALORHOJA(Datos[[#This Row],[NP]],$D$44)),"")</f>
        <v/>
      </c>
      <c r="AA78" s="148" t="str">
        <f>IFERROR(IF(Datos[[#This Row],[Precio / Millar (Norwork)]]&lt;&gt;"",PRODUCT(Datos[[#This Row],[Precio / Millar (Norwork)]]/1000,Datos[[#This Row],[DEMANDA ANUAL]]),""),"")</f>
        <v/>
      </c>
      <c r="AB7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78" s="148" t="str">
        <f>IFERROR(IF(Datos[[#This Row],[Precio / Millar (Norwork)]]&lt;&gt;"",SUM(Datos[[#This Row],[Ingresos Totales (Norwork)]],-Datos[[#This Row],[Costos Totales (Norwork)]]),""),"")</f>
        <v/>
      </c>
      <c r="AD78" s="153" t="str">
        <f>IFERROR(Datos[[#This Row],[Beneficio (Norwork)]]/Datos[[#This Row],[Ingresos Totales (Norwork)]],"")</f>
        <v/>
      </c>
    </row>
    <row r="79" spans="2:30" x14ac:dyDescent="0.3">
      <c r="B79" s="145" t="s">
        <v>358</v>
      </c>
      <c r="C79" s="145" t="s">
        <v>787</v>
      </c>
      <c r="D79" s="145"/>
      <c r="E79" s="145"/>
      <c r="G79" s="149">
        <v>15962</v>
      </c>
      <c r="H79" s="144"/>
      <c r="W79" s="148" t="s">
        <v>298</v>
      </c>
      <c r="X79" s="148" t="str">
        <f>IFERROR(Datos[[#This Row],[ARIBA PRECIO POR MILLAR (Dólares)]]/1000*Datos[[#This Row],[DEMANDA ANUAL]],"")</f>
        <v/>
      </c>
      <c r="Y79" s="153" t="str">
        <f>IFERROR((Datos[[#This Row],[INGRESO PRECIO ARIBA]]-Datos[[#This Row],[Costos Totales (Norwork)]])/Datos[[#This Row],[INGRESO PRECIO ARIBA]],"")</f>
        <v/>
      </c>
      <c r="Z79" s="148" t="str">
        <f>IFERROR(IF(Datos[[#This Row],[CON ETIQUETA]]="No",VALORHOJA(Datos[[#This Row],[NP]],$B$44),VALORHOJA(Datos[[#This Row],[NP]],$D$44)),"")</f>
        <v/>
      </c>
      <c r="AA79" s="148" t="str">
        <f>IFERROR(IF(Datos[[#This Row],[Precio / Millar (Norwork)]]&lt;&gt;"",PRODUCT(Datos[[#This Row],[Precio / Millar (Norwork)]]/1000,Datos[[#This Row],[DEMANDA ANUAL]]),""),"")</f>
        <v/>
      </c>
      <c r="AB7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79" s="148" t="str">
        <f>IFERROR(IF(Datos[[#This Row],[Precio / Millar (Norwork)]]&lt;&gt;"",SUM(Datos[[#This Row],[Ingresos Totales (Norwork)]],-Datos[[#This Row],[Costos Totales (Norwork)]]),""),"")</f>
        <v/>
      </c>
      <c r="AD79" s="153" t="str">
        <f>IFERROR(Datos[[#This Row],[Beneficio (Norwork)]]/Datos[[#This Row],[Ingresos Totales (Norwork)]],"")</f>
        <v/>
      </c>
    </row>
    <row r="80" spans="2:30" x14ac:dyDescent="0.3">
      <c r="B80" s="145" t="s">
        <v>502</v>
      </c>
      <c r="C80" s="145" t="s">
        <v>929</v>
      </c>
      <c r="D80" s="145"/>
      <c r="E80" s="145"/>
      <c r="G80" s="149">
        <v>15672</v>
      </c>
      <c r="H80" s="144"/>
      <c r="W80" s="148" t="s">
        <v>298</v>
      </c>
      <c r="X80" s="148" t="str">
        <f>IFERROR(Datos[[#This Row],[ARIBA PRECIO POR MILLAR (Dólares)]]/1000*Datos[[#This Row],[DEMANDA ANUAL]],"")</f>
        <v/>
      </c>
      <c r="Y80" s="153" t="str">
        <f>IFERROR((Datos[[#This Row],[INGRESO PRECIO ARIBA]]-Datos[[#This Row],[Costos Totales (Norwork)]])/Datos[[#This Row],[INGRESO PRECIO ARIBA]],"")</f>
        <v/>
      </c>
      <c r="Z80" s="148" t="str">
        <f>IFERROR(IF(Datos[[#This Row],[CON ETIQUETA]]="No",VALORHOJA(Datos[[#This Row],[NP]],$B$44),VALORHOJA(Datos[[#This Row],[NP]],$D$44)),"")</f>
        <v/>
      </c>
      <c r="AA80" s="148" t="str">
        <f>IFERROR(IF(Datos[[#This Row],[Precio / Millar (Norwork)]]&lt;&gt;"",PRODUCT(Datos[[#This Row],[Precio / Millar (Norwork)]]/1000,Datos[[#This Row],[DEMANDA ANUAL]]),""),"")</f>
        <v/>
      </c>
      <c r="AB8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80" s="148" t="str">
        <f>IFERROR(IF(Datos[[#This Row],[Precio / Millar (Norwork)]]&lt;&gt;"",SUM(Datos[[#This Row],[Ingresos Totales (Norwork)]],-Datos[[#This Row],[Costos Totales (Norwork)]]),""),"")</f>
        <v/>
      </c>
      <c r="AD80" s="153" t="str">
        <f>IFERROR(Datos[[#This Row],[Beneficio (Norwork)]]/Datos[[#This Row],[Ingresos Totales (Norwork)]],"")</f>
        <v/>
      </c>
    </row>
    <row r="81" spans="2:30" x14ac:dyDescent="0.3">
      <c r="B81" s="145" t="s">
        <v>505</v>
      </c>
      <c r="C81" s="177" t="s">
        <v>932</v>
      </c>
      <c r="D81" s="177"/>
      <c r="E81" s="145"/>
      <c r="G81" s="149">
        <v>15028</v>
      </c>
      <c r="H81" s="144"/>
      <c r="W81" s="148" t="s">
        <v>298</v>
      </c>
      <c r="X81" s="148" t="str">
        <f>IFERROR(Datos[[#This Row],[ARIBA PRECIO POR MILLAR (Dólares)]]/1000*Datos[[#This Row],[DEMANDA ANUAL]],"")</f>
        <v/>
      </c>
      <c r="Y81" s="153" t="str">
        <f>IFERROR((Datos[[#This Row],[INGRESO PRECIO ARIBA]]-Datos[[#This Row],[Costos Totales (Norwork)]])/Datos[[#This Row],[INGRESO PRECIO ARIBA]],"")</f>
        <v/>
      </c>
      <c r="Z81" s="148" t="str">
        <f>IFERROR(IF(Datos[[#This Row],[CON ETIQUETA]]="No",VALORHOJA(Datos[[#This Row],[NP]],$B$44),VALORHOJA(Datos[[#This Row],[NP]],$D$44)),"")</f>
        <v/>
      </c>
      <c r="AA81" s="148" t="str">
        <f>IFERROR(IF(Datos[[#This Row],[Precio / Millar (Norwork)]]&lt;&gt;"",PRODUCT(Datos[[#This Row],[Precio / Millar (Norwork)]]/1000,Datos[[#This Row],[DEMANDA ANUAL]]),""),"")</f>
        <v/>
      </c>
      <c r="AB8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81" s="148" t="str">
        <f>IFERROR(IF(Datos[[#This Row],[Precio / Millar (Norwork)]]&lt;&gt;"",SUM(Datos[[#This Row],[Ingresos Totales (Norwork)]],-Datos[[#This Row],[Costos Totales (Norwork)]]),""),"")</f>
        <v/>
      </c>
      <c r="AD81" s="153" t="str">
        <f>IFERROR(Datos[[#This Row],[Beneficio (Norwork)]]/Datos[[#This Row],[Ingresos Totales (Norwork)]],"")</f>
        <v/>
      </c>
    </row>
    <row r="82" spans="2:30" x14ac:dyDescent="0.3">
      <c r="B82" s="171" t="s">
        <v>269</v>
      </c>
      <c r="C82" s="175" t="s">
        <v>270</v>
      </c>
      <c r="D82" s="176" t="s">
        <v>1204</v>
      </c>
      <c r="E82" s="145">
        <v>2</v>
      </c>
      <c r="F82" s="142" t="s">
        <v>202</v>
      </c>
      <c r="G82" s="149">
        <v>14896</v>
      </c>
      <c r="H82" s="142" t="s">
        <v>202</v>
      </c>
      <c r="I82" s="145" t="s">
        <v>195</v>
      </c>
      <c r="J82" s="145" t="s">
        <v>196</v>
      </c>
      <c r="K82" s="145" t="s">
        <v>197</v>
      </c>
      <c r="L82" s="145">
        <v>1</v>
      </c>
      <c r="M82" s="145">
        <v>2</v>
      </c>
      <c r="N82" s="145">
        <v>52</v>
      </c>
      <c r="O82" s="145" t="s">
        <v>195</v>
      </c>
      <c r="P82" s="145" t="s">
        <v>198</v>
      </c>
      <c r="Q82" s="145" t="s">
        <v>199</v>
      </c>
      <c r="R82" s="145">
        <v>1</v>
      </c>
      <c r="T82" s="142" t="s">
        <v>327</v>
      </c>
      <c r="U82" s="142">
        <v>3</v>
      </c>
      <c r="W82" s="148">
        <v>550</v>
      </c>
      <c r="X82" s="148">
        <f>IFERROR(Datos[[#This Row],[ARIBA PRECIO POR MILLAR (Dólares)]]/1000*Datos[[#This Row],[DEMANDA ANUAL]],"")</f>
        <v>8192.8000000000011</v>
      </c>
      <c r="Y82" s="153">
        <f>IFERROR((Datos[[#This Row],[INGRESO PRECIO ARIBA]]-Datos[[#This Row],[Costos Totales (Norwork)]])/Datos[[#This Row],[INGRESO PRECIO ARIBA]],"")</f>
        <v>0.26330283985245312</v>
      </c>
      <c r="Z82" s="148">
        <f>IFERROR(IF(Datos[[#This Row],[CON ETIQUETA]]="No",VALORHOJA(Datos[[#This Row],[NP]],$B$44),VALORHOJA(Datos[[#This Row],[NP]],$D$44)),"")</f>
        <v>578.83348297307259</v>
      </c>
      <c r="AA82" s="148">
        <f>IFERROR(IF(Datos[[#This Row],[Precio / Millar (Norwork)]]&lt;&gt;"",PRODUCT(Datos[[#This Row],[Precio / Millar (Norwork)]]/1000,Datos[[#This Row],[DEMANDA ANUAL]]),""),"")</f>
        <v>8622.3035623668893</v>
      </c>
      <c r="AB82" s="155">
        <f>IFERROR(IF(Datos[[#This Row],[CON ETIQUETA]]="No",VALORHOJA(Datos[[#This Row],[NP]],$B$63)/VALORHOJA(Datos[[#This Row],[NP]],$B$42),VALORHOJA(Datos[[#This Row],[NP]],$D$63)/VALORHOJA(Datos[[#This Row],[NP]],$D$42)),"")</f>
        <v>6035.6124936568231</v>
      </c>
      <c r="AC82" s="148">
        <f>IFERROR(IF(Datos[[#This Row],[Precio / Millar (Norwork)]]&lt;&gt;"",SUM(Datos[[#This Row],[Ingresos Totales (Norwork)]],-Datos[[#This Row],[Costos Totales (Norwork)]]),""),"")</f>
        <v>2586.6910687100662</v>
      </c>
      <c r="AD82" s="153">
        <f>IFERROR(Datos[[#This Row],[Beneficio (Norwork)]]/Datos[[#This Row],[Ingresos Totales (Norwork)]],"")</f>
        <v>0.29999999999999993</v>
      </c>
    </row>
    <row r="83" spans="2:30" x14ac:dyDescent="0.3">
      <c r="B83" s="145" t="s">
        <v>529</v>
      </c>
      <c r="C83" s="145" t="s">
        <v>955</v>
      </c>
      <c r="D83" s="145"/>
      <c r="E83" s="145"/>
      <c r="G83" s="149">
        <v>14896</v>
      </c>
      <c r="H83" s="144"/>
      <c r="W83" s="148" t="s">
        <v>298</v>
      </c>
      <c r="X83" s="148" t="str">
        <f>IFERROR(Datos[[#This Row],[ARIBA PRECIO POR MILLAR (Dólares)]]/1000*Datos[[#This Row],[DEMANDA ANUAL]],"")</f>
        <v/>
      </c>
      <c r="Y83" s="153" t="str">
        <f>IFERROR((Datos[[#This Row],[INGRESO PRECIO ARIBA]]-Datos[[#This Row],[Costos Totales (Norwork)]])/Datos[[#This Row],[INGRESO PRECIO ARIBA]],"")</f>
        <v/>
      </c>
      <c r="Z83" s="148" t="str">
        <f>IFERROR(IF(Datos[[#This Row],[CON ETIQUETA]]="No",VALORHOJA(Datos[[#This Row],[NP]],$B$44),VALORHOJA(Datos[[#This Row],[NP]],$D$44)),"")</f>
        <v/>
      </c>
      <c r="AA83" s="148" t="str">
        <f>IFERROR(IF(Datos[[#This Row],[Precio / Millar (Norwork)]]&lt;&gt;"",PRODUCT(Datos[[#This Row],[Precio / Millar (Norwork)]]/1000,Datos[[#This Row],[DEMANDA ANUAL]]),""),"")</f>
        <v/>
      </c>
      <c r="AB8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83" s="148" t="str">
        <f>IFERROR(IF(Datos[[#This Row],[Precio / Millar (Norwork)]]&lt;&gt;"",SUM(Datos[[#This Row],[Ingresos Totales (Norwork)]],-Datos[[#This Row],[Costos Totales (Norwork)]]),""),"")</f>
        <v/>
      </c>
      <c r="AD83" s="153" t="str">
        <f>IFERROR(Datos[[#This Row],[Beneficio (Norwork)]]/Datos[[#This Row],[Ingresos Totales (Norwork)]],"")</f>
        <v/>
      </c>
    </row>
    <row r="84" spans="2:30" x14ac:dyDescent="0.3">
      <c r="B84" s="154" t="s">
        <v>234</v>
      </c>
      <c r="C84" s="145" t="s">
        <v>235</v>
      </c>
      <c r="D84" s="145" t="s">
        <v>1210</v>
      </c>
      <c r="E84" s="145">
        <v>1</v>
      </c>
      <c r="F84" s="142" t="s">
        <v>202</v>
      </c>
      <c r="G84" s="149">
        <v>14768</v>
      </c>
      <c r="H84" s="142" t="s">
        <v>202</v>
      </c>
      <c r="I84" s="142" t="s">
        <v>202</v>
      </c>
      <c r="J84" s="142" t="s">
        <v>216</v>
      </c>
      <c r="K84" s="142" t="s">
        <v>203</v>
      </c>
      <c r="L84" s="142">
        <v>4</v>
      </c>
      <c r="M84" s="142">
        <v>2</v>
      </c>
      <c r="N84" s="142">
        <v>2</v>
      </c>
      <c r="O84" s="142" t="s">
        <v>202</v>
      </c>
      <c r="P84" s="142" t="s">
        <v>217</v>
      </c>
      <c r="S84" s="142" t="s">
        <v>195</v>
      </c>
      <c r="T84" s="142" t="s">
        <v>328</v>
      </c>
      <c r="U84" s="142">
        <v>1</v>
      </c>
      <c r="W84" s="148">
        <v>700</v>
      </c>
      <c r="X84" s="148">
        <f>IFERROR(Datos[[#This Row],[ARIBA PRECIO POR MILLAR (Dólares)]]/1000*Datos[[#This Row],[DEMANDA ANUAL]],"")</f>
        <v>10337.599999999999</v>
      </c>
      <c r="Y84" s="153">
        <f>IFERROR((Datos[[#This Row],[INGRESO PRECIO ARIBA]]-Datos[[#This Row],[Costos Totales (Norwork)]])/Datos[[#This Row],[INGRESO PRECIO ARIBA]],"")</f>
        <v>-0.34926081116680047</v>
      </c>
      <c r="Z84" s="148">
        <f>IFERROR(IF(Datos[[#This Row],[CON ETIQUETA]]="No",VALORHOJA(Datos[[#This Row],[NP]],$B$44),VALORHOJA(Datos[[#This Row],[NP]],$D$44)),"")</f>
        <v>1922.3981468836707</v>
      </c>
      <c r="AA84" s="148">
        <f>IFERROR(IF(Datos[[#This Row],[Precio / Millar (Norwork)]]&lt;&gt;"",PRODUCT(Datos[[#This Row],[Precio / Millar (Norwork)]]/1000,Datos[[#This Row],[DEMANDA ANUAL]]),""),"")</f>
        <v>28389.97583317805</v>
      </c>
      <c r="AB84" s="155">
        <f>IFERROR(IF(Datos[[#This Row],[CON ETIQUETA]]="No",VALORHOJA(Datos[[#This Row],[NP]],$B$63)/VALORHOJA(Datos[[#This Row],[NP]],$B$42),VALORHOJA(Datos[[#This Row],[NP]],$D$63)/VALORHOJA(Datos[[#This Row],[NP]],$D$42)),"")</f>
        <v>13948.118561517915</v>
      </c>
      <c r="AC84" s="148">
        <f>IFERROR(IF(Datos[[#This Row],[Precio / Millar (Norwork)]]&lt;&gt;"",SUM(Datos[[#This Row],[Ingresos Totales (Norwork)]],-Datos[[#This Row],[Costos Totales (Norwork)]]),""),"")</f>
        <v>14441.857271660136</v>
      </c>
      <c r="AD84" s="153">
        <f>IFERROR(Datos[[#This Row],[Beneficio (Norwork)]]/Datos[[#This Row],[Ingresos Totales (Norwork)]],"")</f>
        <v>0.50869565217391288</v>
      </c>
    </row>
    <row r="85" spans="2:30" x14ac:dyDescent="0.3">
      <c r="B85" s="173" t="s">
        <v>275</v>
      </c>
      <c r="C85" s="145" t="s">
        <v>276</v>
      </c>
      <c r="D85" s="145" t="s">
        <v>1210</v>
      </c>
      <c r="E85" s="145">
        <v>2</v>
      </c>
      <c r="F85" s="142" t="s">
        <v>202</v>
      </c>
      <c r="G85" s="149">
        <v>14566</v>
      </c>
      <c r="H85" s="142" t="s">
        <v>202</v>
      </c>
      <c r="I85" s="142" t="s">
        <v>202</v>
      </c>
      <c r="J85" s="142" t="s">
        <v>207</v>
      </c>
      <c r="K85" s="142" t="s">
        <v>203</v>
      </c>
      <c r="L85" s="142">
        <v>1</v>
      </c>
      <c r="M85" s="142">
        <v>2</v>
      </c>
      <c r="N85" s="142">
        <v>64</v>
      </c>
      <c r="O85" s="142" t="s">
        <v>195</v>
      </c>
      <c r="P85" s="142" t="s">
        <v>198</v>
      </c>
      <c r="Q85" s="142" t="s">
        <v>199</v>
      </c>
      <c r="S85" s="142" t="s">
        <v>195</v>
      </c>
      <c r="T85" s="142" t="s">
        <v>326</v>
      </c>
      <c r="U85" s="142">
        <v>9</v>
      </c>
      <c r="W85" s="148">
        <v>700</v>
      </c>
      <c r="X85" s="148">
        <f>IFERROR(Datos[[#This Row],[ARIBA PRECIO POR MILLAR (Dólares)]]/1000*Datos[[#This Row],[DEMANDA ANUAL]],"")</f>
        <v>10196.199999999999</v>
      </c>
      <c r="Y85" s="153">
        <f>IFERROR((Datos[[#This Row],[INGRESO PRECIO ARIBA]]-Datos[[#This Row],[Costos Totales (Norwork)]])/Datos[[#This Row],[INGRESO PRECIO ARIBA]],"")</f>
        <v>0.34933172854731714</v>
      </c>
      <c r="Z85" s="148">
        <f>IFERROR(IF(Datos[[#This Row],[CON ETIQUETA]]="No",VALORHOJA(Datos[[#This Row],[NP]],$B$44),VALORHOJA(Datos[[#This Row],[NP]],$D$44)),"")</f>
        <v>650.6682714526828</v>
      </c>
      <c r="AA85" s="148">
        <f>IFERROR(IF(Datos[[#This Row],[Precio / Millar (Norwork)]]&lt;&gt;"",PRODUCT(Datos[[#This Row],[Precio / Millar (Norwork)]]/1000,Datos[[#This Row],[DEMANDA ANUAL]]),""),"")</f>
        <v>9477.634041979778</v>
      </c>
      <c r="AB85" s="155">
        <f>IFERROR(IF(Datos[[#This Row],[CON ETIQUETA]]="No",VALORHOJA(Datos[[#This Row],[NP]],$B$63)/VALORHOJA(Datos[[#This Row],[NP]],$B$42),VALORHOJA(Datos[[#This Row],[NP]],$D$63)/VALORHOJA(Datos[[#This Row],[NP]],$D$42)),"")</f>
        <v>6634.3438293858444</v>
      </c>
      <c r="AC85" s="148">
        <f>IFERROR(IF(Datos[[#This Row],[Precio / Millar (Norwork)]]&lt;&gt;"",SUM(Datos[[#This Row],[Ingresos Totales (Norwork)]],-Datos[[#This Row],[Costos Totales (Norwork)]]),""),"")</f>
        <v>2843.2902125939336</v>
      </c>
      <c r="AD85" s="153">
        <f>IFERROR(Datos[[#This Row],[Beneficio (Norwork)]]/Datos[[#This Row],[Ingresos Totales (Norwork)]],"")</f>
        <v>0.30000000000000004</v>
      </c>
    </row>
    <row r="86" spans="2:30" x14ac:dyDescent="0.3">
      <c r="B86" s="173" t="s">
        <v>277</v>
      </c>
      <c r="C86" s="145" t="s">
        <v>278</v>
      </c>
      <c r="D86" s="145" t="s">
        <v>1210</v>
      </c>
      <c r="E86" s="145">
        <v>2</v>
      </c>
      <c r="F86" s="142" t="s">
        <v>202</v>
      </c>
      <c r="G86" s="149">
        <v>14566</v>
      </c>
      <c r="H86" s="142" t="s">
        <v>202</v>
      </c>
      <c r="I86" s="142" t="s">
        <v>202</v>
      </c>
      <c r="J86" s="142" t="s">
        <v>207</v>
      </c>
      <c r="K86" s="142" t="s">
        <v>203</v>
      </c>
      <c r="L86" s="142">
        <v>1</v>
      </c>
      <c r="M86" s="142">
        <v>2</v>
      </c>
      <c r="N86" s="142">
        <v>64</v>
      </c>
      <c r="O86" s="142" t="s">
        <v>195</v>
      </c>
      <c r="P86" s="142" t="s">
        <v>198</v>
      </c>
      <c r="Q86" s="142" t="s">
        <v>199</v>
      </c>
      <c r="S86" s="142" t="s">
        <v>195</v>
      </c>
      <c r="T86" s="142" t="s">
        <v>326</v>
      </c>
      <c r="U86" s="142">
        <v>9</v>
      </c>
      <c r="W86" s="148">
        <v>700</v>
      </c>
      <c r="X86" s="148">
        <f>IFERROR(Datos[[#This Row],[ARIBA PRECIO POR MILLAR (Dólares)]]/1000*Datos[[#This Row],[DEMANDA ANUAL]],"")</f>
        <v>10196.199999999999</v>
      </c>
      <c r="Y86" s="153">
        <f>IFERROR((Datos[[#This Row],[INGRESO PRECIO ARIBA]]-Datos[[#This Row],[Costos Totales (Norwork)]])/Datos[[#This Row],[INGRESO PRECIO ARIBA]],"")</f>
        <v>0.34933172854731714</v>
      </c>
      <c r="Z86" s="148">
        <f>IFERROR(IF(Datos[[#This Row],[CON ETIQUETA]]="No",VALORHOJA(Datos[[#This Row],[NP]],$B$44),VALORHOJA(Datos[[#This Row],[NP]],$D$44)),"")</f>
        <v>650.6682714526828</v>
      </c>
      <c r="AA86" s="148">
        <f>IFERROR(IF(Datos[[#This Row],[Precio / Millar (Norwork)]]&lt;&gt;"",PRODUCT(Datos[[#This Row],[Precio / Millar (Norwork)]]/1000,Datos[[#This Row],[DEMANDA ANUAL]]),""),"")</f>
        <v>9477.634041979778</v>
      </c>
      <c r="AB86" s="155">
        <f>IFERROR(IF(Datos[[#This Row],[CON ETIQUETA]]="No",VALORHOJA(Datos[[#This Row],[NP]],$B$63)/VALORHOJA(Datos[[#This Row],[NP]],$B$42),VALORHOJA(Datos[[#This Row],[NP]],$D$63)/VALORHOJA(Datos[[#This Row],[NP]],$D$42)),"")</f>
        <v>6634.3438293858444</v>
      </c>
      <c r="AC86" s="148">
        <f>IFERROR(IF(Datos[[#This Row],[Precio / Millar (Norwork)]]&lt;&gt;"",SUM(Datos[[#This Row],[Ingresos Totales (Norwork)]],-Datos[[#This Row],[Costos Totales (Norwork)]]),""),"")</f>
        <v>2843.2902125939336</v>
      </c>
      <c r="AD86" s="153">
        <f>IFERROR(Datos[[#This Row],[Beneficio (Norwork)]]/Datos[[#This Row],[Ingresos Totales (Norwork)]],"")</f>
        <v>0.30000000000000004</v>
      </c>
    </row>
    <row r="87" spans="2:30" x14ac:dyDescent="0.3">
      <c r="B87" s="145" t="s">
        <v>507</v>
      </c>
      <c r="C87" s="177" t="s">
        <v>934</v>
      </c>
      <c r="D87" s="177"/>
      <c r="E87" s="145"/>
      <c r="G87" s="149">
        <v>14546</v>
      </c>
      <c r="H87" s="144"/>
      <c r="W87" s="148" t="s">
        <v>298</v>
      </c>
      <c r="X87" s="148" t="str">
        <f>IFERROR(Datos[[#This Row],[ARIBA PRECIO POR MILLAR (Dólares)]]/1000*Datos[[#This Row],[DEMANDA ANUAL]],"")</f>
        <v/>
      </c>
      <c r="Y87" s="153" t="str">
        <f>IFERROR((Datos[[#This Row],[INGRESO PRECIO ARIBA]]-Datos[[#This Row],[Costos Totales (Norwork)]])/Datos[[#This Row],[INGRESO PRECIO ARIBA]],"")</f>
        <v/>
      </c>
      <c r="Z87" s="148" t="str">
        <f>IFERROR(IF(Datos[[#This Row],[CON ETIQUETA]]="No",VALORHOJA(Datos[[#This Row],[NP]],$B$44),VALORHOJA(Datos[[#This Row],[NP]],$D$44)),"")</f>
        <v/>
      </c>
      <c r="AA87" s="148" t="str">
        <f>IFERROR(IF(Datos[[#This Row],[Precio / Millar (Norwork)]]&lt;&gt;"",PRODUCT(Datos[[#This Row],[Precio / Millar (Norwork)]]/1000,Datos[[#This Row],[DEMANDA ANUAL]]),""),"")</f>
        <v/>
      </c>
      <c r="AB8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87" s="148" t="str">
        <f>IFERROR(IF(Datos[[#This Row],[Precio / Millar (Norwork)]]&lt;&gt;"",SUM(Datos[[#This Row],[Ingresos Totales (Norwork)]],-Datos[[#This Row],[Costos Totales (Norwork)]]),""),"")</f>
        <v/>
      </c>
      <c r="AD87" s="153" t="str">
        <f>IFERROR(Datos[[#This Row],[Beneficio (Norwork)]]/Datos[[#This Row],[Ingresos Totales (Norwork)]],"")</f>
        <v/>
      </c>
    </row>
    <row r="88" spans="2:30" x14ac:dyDescent="0.3">
      <c r="B88" s="145" t="s">
        <v>449</v>
      </c>
      <c r="C88" s="176" t="s">
        <v>876</v>
      </c>
      <c r="D88" s="176"/>
      <c r="E88" s="145"/>
      <c r="F88" s="153"/>
      <c r="G88" s="149">
        <v>13353</v>
      </c>
      <c r="H88" s="144"/>
      <c r="W88" s="148" t="s">
        <v>298</v>
      </c>
      <c r="X88" s="148" t="str">
        <f>IFERROR(Datos[[#This Row],[ARIBA PRECIO POR MILLAR (Dólares)]]/1000*Datos[[#This Row],[DEMANDA ANUAL]],"")</f>
        <v/>
      </c>
      <c r="Y88" s="153" t="str">
        <f>IFERROR((Datos[[#This Row],[INGRESO PRECIO ARIBA]]-Datos[[#This Row],[Costos Totales (Norwork)]])/Datos[[#This Row],[INGRESO PRECIO ARIBA]],"")</f>
        <v/>
      </c>
      <c r="Z88" s="148" t="str">
        <f>IFERROR(IF(Datos[[#This Row],[CON ETIQUETA]]="No",VALORHOJA(Datos[[#This Row],[NP]],$B$44),VALORHOJA(Datos[[#This Row],[NP]],$D$44)),"")</f>
        <v/>
      </c>
      <c r="AA88" s="148" t="str">
        <f>IFERROR(IF(Datos[[#This Row],[Precio / Millar (Norwork)]]&lt;&gt;"",PRODUCT(Datos[[#This Row],[Precio / Millar (Norwork)]]/1000,Datos[[#This Row],[DEMANDA ANUAL]]),""),"")</f>
        <v/>
      </c>
      <c r="AB8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88" s="148" t="str">
        <f>IFERROR(IF(Datos[[#This Row],[Precio / Millar (Norwork)]]&lt;&gt;"",SUM(Datos[[#This Row],[Ingresos Totales (Norwork)]],-Datos[[#This Row],[Costos Totales (Norwork)]]),""),"")</f>
        <v/>
      </c>
      <c r="AD88" s="153" t="str">
        <f>IFERROR(Datos[[#This Row],[Beneficio (Norwork)]]/Datos[[#This Row],[Ingresos Totales (Norwork)]],"")</f>
        <v/>
      </c>
    </row>
    <row r="89" spans="2:30" x14ac:dyDescent="0.3">
      <c r="B89" s="145" t="s">
        <v>431</v>
      </c>
      <c r="C89" s="176" t="s">
        <v>859</v>
      </c>
      <c r="D89" s="176"/>
      <c r="E89" s="145"/>
      <c r="F89" s="153"/>
      <c r="G89" s="149">
        <v>12441</v>
      </c>
      <c r="H89" s="144"/>
      <c r="W89" s="148" t="s">
        <v>298</v>
      </c>
      <c r="X89" s="148" t="str">
        <f>IFERROR(Datos[[#This Row],[ARIBA PRECIO POR MILLAR (Dólares)]]/1000*Datos[[#This Row],[DEMANDA ANUAL]],"")</f>
        <v/>
      </c>
      <c r="Y89" s="153" t="str">
        <f>IFERROR((Datos[[#This Row],[INGRESO PRECIO ARIBA]]-Datos[[#This Row],[Costos Totales (Norwork)]])/Datos[[#This Row],[INGRESO PRECIO ARIBA]],"")</f>
        <v/>
      </c>
      <c r="Z89" s="148" t="str">
        <f>IFERROR(IF(Datos[[#This Row],[CON ETIQUETA]]="No",VALORHOJA(Datos[[#This Row],[NP]],$B$44),VALORHOJA(Datos[[#This Row],[NP]],$D$44)),"")</f>
        <v/>
      </c>
      <c r="AA89" s="148" t="str">
        <f>IFERROR(IF(Datos[[#This Row],[Precio / Millar (Norwork)]]&lt;&gt;"",PRODUCT(Datos[[#This Row],[Precio / Millar (Norwork)]]/1000,Datos[[#This Row],[DEMANDA ANUAL]]),""),"")</f>
        <v/>
      </c>
      <c r="AB8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89" s="148" t="str">
        <f>IFERROR(IF(Datos[[#This Row],[Precio / Millar (Norwork)]]&lt;&gt;"",SUM(Datos[[#This Row],[Ingresos Totales (Norwork)]],-Datos[[#This Row],[Costos Totales (Norwork)]]),""),"")</f>
        <v/>
      </c>
      <c r="AD89" s="153" t="str">
        <f>IFERROR(Datos[[#This Row],[Beneficio (Norwork)]]/Datos[[#This Row],[Ingresos Totales (Norwork)]],"")</f>
        <v/>
      </c>
    </row>
    <row r="90" spans="2:30" x14ac:dyDescent="0.3">
      <c r="B90" s="145" t="s">
        <v>386</v>
      </c>
      <c r="C90" s="176" t="s">
        <v>814</v>
      </c>
      <c r="D90" s="176"/>
      <c r="E90" s="145"/>
      <c r="F90" s="148"/>
      <c r="G90" s="149">
        <v>12360</v>
      </c>
      <c r="H90" s="144"/>
      <c r="W90" s="148" t="s">
        <v>298</v>
      </c>
      <c r="X90" s="148" t="str">
        <f>IFERROR(Datos[[#This Row],[ARIBA PRECIO POR MILLAR (Dólares)]]/1000*Datos[[#This Row],[DEMANDA ANUAL]],"")</f>
        <v/>
      </c>
      <c r="Y90" s="153" t="str">
        <f>IFERROR((Datos[[#This Row],[INGRESO PRECIO ARIBA]]-Datos[[#This Row],[Costos Totales (Norwork)]])/Datos[[#This Row],[INGRESO PRECIO ARIBA]],"")</f>
        <v/>
      </c>
      <c r="Z90" s="148" t="str">
        <f>IFERROR(IF(Datos[[#This Row],[CON ETIQUETA]]="No",VALORHOJA(Datos[[#This Row],[NP]],$B$44),VALORHOJA(Datos[[#This Row],[NP]],$D$44)),"")</f>
        <v/>
      </c>
      <c r="AA90" s="148" t="str">
        <f>IFERROR(IF(Datos[[#This Row],[Precio / Millar (Norwork)]]&lt;&gt;"",PRODUCT(Datos[[#This Row],[Precio / Millar (Norwork)]]/1000,Datos[[#This Row],[DEMANDA ANUAL]]),""),"")</f>
        <v/>
      </c>
      <c r="AB9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90" s="148" t="str">
        <f>IFERROR(IF(Datos[[#This Row],[Precio / Millar (Norwork)]]&lt;&gt;"",SUM(Datos[[#This Row],[Ingresos Totales (Norwork)]],-Datos[[#This Row],[Costos Totales (Norwork)]]),""),"")</f>
        <v/>
      </c>
      <c r="AD90" s="153" t="str">
        <f>IFERROR(Datos[[#This Row],[Beneficio (Norwork)]]/Datos[[#This Row],[Ingresos Totales (Norwork)]],"")</f>
        <v/>
      </c>
    </row>
    <row r="91" spans="2:30" x14ac:dyDescent="0.3">
      <c r="B91" s="145" t="s">
        <v>480</v>
      </c>
      <c r="C91" s="145" t="s">
        <v>907</v>
      </c>
      <c r="D91" s="145"/>
      <c r="E91" s="145"/>
      <c r="G91" s="149">
        <v>12078</v>
      </c>
      <c r="H91" s="144"/>
      <c r="W91" s="148" t="s">
        <v>298</v>
      </c>
      <c r="X91" s="148" t="str">
        <f>IFERROR(Datos[[#This Row],[ARIBA PRECIO POR MILLAR (Dólares)]]/1000*Datos[[#This Row],[DEMANDA ANUAL]],"")</f>
        <v/>
      </c>
      <c r="Y91" s="153" t="str">
        <f>IFERROR((Datos[[#This Row],[INGRESO PRECIO ARIBA]]-Datos[[#This Row],[Costos Totales (Norwork)]])/Datos[[#This Row],[INGRESO PRECIO ARIBA]],"")</f>
        <v/>
      </c>
      <c r="Z91" s="148" t="str">
        <f>IFERROR(IF(Datos[[#This Row],[CON ETIQUETA]]="No",VALORHOJA(Datos[[#This Row],[NP]],$B$44),VALORHOJA(Datos[[#This Row],[NP]],$D$44)),"")</f>
        <v/>
      </c>
      <c r="AA91" s="148" t="str">
        <f>IFERROR(IF(Datos[[#This Row],[Precio / Millar (Norwork)]]&lt;&gt;"",PRODUCT(Datos[[#This Row],[Precio / Millar (Norwork)]]/1000,Datos[[#This Row],[DEMANDA ANUAL]]),""),"")</f>
        <v/>
      </c>
      <c r="AB9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91" s="148" t="str">
        <f>IFERROR(IF(Datos[[#This Row],[Precio / Millar (Norwork)]]&lt;&gt;"",SUM(Datos[[#This Row],[Ingresos Totales (Norwork)]],-Datos[[#This Row],[Costos Totales (Norwork)]]),""),"")</f>
        <v/>
      </c>
      <c r="AD91" s="153" t="str">
        <f>IFERROR(Datos[[#This Row],[Beneficio (Norwork)]]/Datos[[#This Row],[Ingresos Totales (Norwork)]],"")</f>
        <v/>
      </c>
    </row>
    <row r="92" spans="2:30" x14ac:dyDescent="0.3">
      <c r="B92" s="145" t="s">
        <v>363</v>
      </c>
      <c r="C92" s="176" t="s">
        <v>792</v>
      </c>
      <c r="D92" s="176"/>
      <c r="E92" s="145"/>
      <c r="F92" s="148"/>
      <c r="G92" s="149">
        <v>11968</v>
      </c>
      <c r="H92" s="144"/>
      <c r="W92" s="148" t="s">
        <v>298</v>
      </c>
      <c r="X92" s="148" t="str">
        <f>IFERROR(Datos[[#This Row],[ARIBA PRECIO POR MILLAR (Dólares)]]/1000*Datos[[#This Row],[DEMANDA ANUAL]],"")</f>
        <v/>
      </c>
      <c r="Y92" s="153" t="str">
        <f>IFERROR((Datos[[#This Row],[INGRESO PRECIO ARIBA]]-Datos[[#This Row],[Costos Totales (Norwork)]])/Datos[[#This Row],[INGRESO PRECIO ARIBA]],"")</f>
        <v/>
      </c>
      <c r="Z92" s="148" t="str">
        <f>IFERROR(IF(Datos[[#This Row],[CON ETIQUETA]]="No",VALORHOJA(Datos[[#This Row],[NP]],$B$44),VALORHOJA(Datos[[#This Row],[NP]],$D$44)),"")</f>
        <v/>
      </c>
      <c r="AA92" s="148" t="str">
        <f>IFERROR(IF(Datos[[#This Row],[Precio / Millar (Norwork)]]&lt;&gt;"",PRODUCT(Datos[[#This Row],[Precio / Millar (Norwork)]]/1000,Datos[[#This Row],[DEMANDA ANUAL]]),""),"")</f>
        <v/>
      </c>
      <c r="AB9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92" s="148" t="str">
        <f>IFERROR(IF(Datos[[#This Row],[Precio / Millar (Norwork)]]&lt;&gt;"",SUM(Datos[[#This Row],[Ingresos Totales (Norwork)]],-Datos[[#This Row],[Costos Totales (Norwork)]]),""),"")</f>
        <v/>
      </c>
      <c r="AD92" s="153" t="str">
        <f>IFERROR(Datos[[#This Row],[Beneficio (Norwork)]]/Datos[[#This Row],[Ingresos Totales (Norwork)]],"")</f>
        <v/>
      </c>
    </row>
    <row r="93" spans="2:30" x14ac:dyDescent="0.3">
      <c r="B93" s="173" t="s">
        <v>257</v>
      </c>
      <c r="C93" s="175" t="s">
        <v>258</v>
      </c>
      <c r="D93" s="176" t="s">
        <v>1204</v>
      </c>
      <c r="E93" s="145">
        <v>2</v>
      </c>
      <c r="F93" s="142" t="s">
        <v>202</v>
      </c>
      <c r="G93" s="149">
        <v>11808</v>
      </c>
      <c r="H93" s="142" t="s">
        <v>202</v>
      </c>
      <c r="I93" s="142" t="s">
        <v>195</v>
      </c>
      <c r="J93" s="142" t="s">
        <v>207</v>
      </c>
      <c r="K93" s="142" t="s">
        <v>203</v>
      </c>
      <c r="L93" s="142">
        <v>1</v>
      </c>
      <c r="M93" s="142">
        <v>2</v>
      </c>
      <c r="N93" s="142">
        <v>80</v>
      </c>
      <c r="O93" s="142" t="s">
        <v>195</v>
      </c>
      <c r="P93" s="142" t="s">
        <v>198</v>
      </c>
      <c r="Q93" s="142" t="s">
        <v>199</v>
      </c>
      <c r="R93" s="142">
        <v>3</v>
      </c>
      <c r="T93" s="142" t="s">
        <v>326</v>
      </c>
      <c r="U93" s="142">
        <v>10</v>
      </c>
      <c r="W93" s="148">
        <v>1080</v>
      </c>
      <c r="X93" s="148">
        <f>IFERROR(Datos[[#This Row],[ARIBA PRECIO POR MILLAR (Dólares)]]/1000*Datos[[#This Row],[DEMANDA ANUAL]],"")</f>
        <v>12752.640000000001</v>
      </c>
      <c r="Y93" s="153">
        <f>IFERROR((Datos[[#This Row],[INGRESO PRECIO ARIBA]]-Datos[[#This Row],[Costos Totales (Norwork)]])/Datos[[#This Row],[INGRESO PRECIO ARIBA]],"")</f>
        <v>0.32680025315017508</v>
      </c>
      <c r="Z93" s="148">
        <f>IFERROR(IF(Datos[[#This Row],[CON ETIQUETA]]="No",VALORHOJA(Datos[[#This Row],[NP]],$B$44),VALORHOJA(Datos[[#This Row],[NP]],$D$44)),"")</f>
        <v>1038.6510379968727</v>
      </c>
      <c r="AA93" s="148">
        <f>IFERROR(IF(Datos[[#This Row],[Precio / Millar (Norwork)]]&lt;&gt;"",PRODUCT(Datos[[#This Row],[Precio / Millar (Norwork)]]/1000,Datos[[#This Row],[DEMANDA ANUAL]]),""),"")</f>
        <v>12264.391456667074</v>
      </c>
      <c r="AB93" s="155">
        <f>IFERROR(IF(Datos[[#This Row],[CON ETIQUETA]]="No",VALORHOJA(Datos[[#This Row],[NP]],$B$63)/VALORHOJA(Datos[[#This Row],[NP]],$B$42),VALORHOJA(Datos[[#This Row],[NP]],$D$63)/VALORHOJA(Datos[[#This Row],[NP]],$D$42)),"")</f>
        <v>8585.0740196669522</v>
      </c>
      <c r="AC93" s="148">
        <f>IFERROR(IF(Datos[[#This Row],[Precio / Millar (Norwork)]]&lt;&gt;"",SUM(Datos[[#This Row],[Ingresos Totales (Norwork)]],-Datos[[#This Row],[Costos Totales (Norwork)]]),""),"")</f>
        <v>3679.3174370001216</v>
      </c>
      <c r="AD93" s="153">
        <f>IFERROR(Datos[[#This Row],[Beneficio (Norwork)]]/Datos[[#This Row],[Ingresos Totales (Norwork)]],"")</f>
        <v>0.29999999999999993</v>
      </c>
    </row>
    <row r="94" spans="2:30" x14ac:dyDescent="0.3">
      <c r="B94" s="145" t="s">
        <v>387</v>
      </c>
      <c r="C94" s="176" t="s">
        <v>815</v>
      </c>
      <c r="D94" s="176"/>
      <c r="E94" s="145"/>
      <c r="F94" s="148"/>
      <c r="G94" s="149">
        <v>11640</v>
      </c>
      <c r="H94" s="144"/>
      <c r="W94" s="148" t="s">
        <v>298</v>
      </c>
      <c r="X94" s="148" t="str">
        <f>IFERROR(Datos[[#This Row],[ARIBA PRECIO POR MILLAR (Dólares)]]/1000*Datos[[#This Row],[DEMANDA ANUAL]],"")</f>
        <v/>
      </c>
      <c r="Y94" s="153" t="str">
        <f>IFERROR((Datos[[#This Row],[INGRESO PRECIO ARIBA]]-Datos[[#This Row],[Costos Totales (Norwork)]])/Datos[[#This Row],[INGRESO PRECIO ARIBA]],"")</f>
        <v/>
      </c>
      <c r="Z94" s="148" t="str">
        <f>IFERROR(IF(Datos[[#This Row],[CON ETIQUETA]]="No",VALORHOJA(Datos[[#This Row],[NP]],$B$44),VALORHOJA(Datos[[#This Row],[NP]],$D$44)),"")</f>
        <v/>
      </c>
      <c r="AA94" s="148" t="str">
        <f>IFERROR(IF(Datos[[#This Row],[Precio / Millar (Norwork)]]&lt;&gt;"",PRODUCT(Datos[[#This Row],[Precio / Millar (Norwork)]]/1000,Datos[[#This Row],[DEMANDA ANUAL]]),""),"")</f>
        <v/>
      </c>
      <c r="AB9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94" s="148" t="str">
        <f>IFERROR(IF(Datos[[#This Row],[Precio / Millar (Norwork)]]&lt;&gt;"",SUM(Datos[[#This Row],[Ingresos Totales (Norwork)]],-Datos[[#This Row],[Costos Totales (Norwork)]]),""),"")</f>
        <v/>
      </c>
      <c r="AD94" s="153" t="str">
        <f>IFERROR(Datos[[#This Row],[Beneficio (Norwork)]]/Datos[[#This Row],[Ingresos Totales (Norwork)]],"")</f>
        <v/>
      </c>
    </row>
    <row r="95" spans="2:30" x14ac:dyDescent="0.3">
      <c r="B95" s="145" t="s">
        <v>484</v>
      </c>
      <c r="C95" s="145" t="s">
        <v>911</v>
      </c>
      <c r="D95" s="145"/>
      <c r="E95" s="145"/>
      <c r="G95" s="149">
        <v>11424</v>
      </c>
      <c r="H95" s="144"/>
      <c r="W95" s="148" t="s">
        <v>298</v>
      </c>
      <c r="X95" s="148" t="str">
        <f>IFERROR(Datos[[#This Row],[ARIBA PRECIO POR MILLAR (Dólares)]]/1000*Datos[[#This Row],[DEMANDA ANUAL]],"")</f>
        <v/>
      </c>
      <c r="Y95" s="153" t="str">
        <f>IFERROR((Datos[[#This Row],[INGRESO PRECIO ARIBA]]-Datos[[#This Row],[Costos Totales (Norwork)]])/Datos[[#This Row],[INGRESO PRECIO ARIBA]],"")</f>
        <v/>
      </c>
      <c r="Z95" s="148" t="str">
        <f>IFERROR(IF(Datos[[#This Row],[CON ETIQUETA]]="No",VALORHOJA(Datos[[#This Row],[NP]],$B$44),VALORHOJA(Datos[[#This Row],[NP]],$D$44)),"")</f>
        <v/>
      </c>
      <c r="AA95" s="148" t="str">
        <f>IFERROR(IF(Datos[[#This Row],[Precio / Millar (Norwork)]]&lt;&gt;"",PRODUCT(Datos[[#This Row],[Precio / Millar (Norwork)]]/1000,Datos[[#This Row],[DEMANDA ANUAL]]),""),"")</f>
        <v/>
      </c>
      <c r="AB9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95" s="148" t="str">
        <f>IFERROR(IF(Datos[[#This Row],[Precio / Millar (Norwork)]]&lt;&gt;"",SUM(Datos[[#This Row],[Ingresos Totales (Norwork)]],-Datos[[#This Row],[Costos Totales (Norwork)]]),""),"")</f>
        <v/>
      </c>
      <c r="AD95" s="153" t="str">
        <f>IFERROR(Datos[[#This Row],[Beneficio (Norwork)]]/Datos[[#This Row],[Ingresos Totales (Norwork)]],"")</f>
        <v/>
      </c>
    </row>
    <row r="96" spans="2:30" x14ac:dyDescent="0.3">
      <c r="B96" s="145" t="s">
        <v>416</v>
      </c>
      <c r="C96" s="145" t="s">
        <v>844</v>
      </c>
      <c r="D96" s="145"/>
      <c r="E96" s="145"/>
      <c r="G96" s="149">
        <v>10948</v>
      </c>
      <c r="H96" s="144"/>
      <c r="W96" s="148" t="s">
        <v>298</v>
      </c>
      <c r="X96" s="148" t="str">
        <f>IFERROR(Datos[[#This Row],[ARIBA PRECIO POR MILLAR (Dólares)]]/1000*Datos[[#This Row],[DEMANDA ANUAL]],"")</f>
        <v/>
      </c>
      <c r="Y96" s="153" t="str">
        <f>IFERROR((Datos[[#This Row],[INGRESO PRECIO ARIBA]]-Datos[[#This Row],[Costos Totales (Norwork)]])/Datos[[#This Row],[INGRESO PRECIO ARIBA]],"")</f>
        <v/>
      </c>
      <c r="Z96" s="148" t="str">
        <f>IFERROR(IF(Datos[[#This Row],[CON ETIQUETA]]="No",VALORHOJA(Datos[[#This Row],[NP]],$B$44),VALORHOJA(Datos[[#This Row],[NP]],$D$44)),"")</f>
        <v/>
      </c>
      <c r="AA96" s="148" t="str">
        <f>IFERROR(IF(Datos[[#This Row],[Precio / Millar (Norwork)]]&lt;&gt;"",PRODUCT(Datos[[#This Row],[Precio / Millar (Norwork)]]/1000,Datos[[#This Row],[DEMANDA ANUAL]]),""),"")</f>
        <v/>
      </c>
      <c r="AB9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96" s="148" t="str">
        <f>IFERROR(IF(Datos[[#This Row],[Precio / Millar (Norwork)]]&lt;&gt;"",SUM(Datos[[#This Row],[Ingresos Totales (Norwork)]],-Datos[[#This Row],[Costos Totales (Norwork)]]),""),"")</f>
        <v/>
      </c>
      <c r="AD96" s="153" t="str">
        <f>IFERROR(Datos[[#This Row],[Beneficio (Norwork)]]/Datos[[#This Row],[Ingresos Totales (Norwork)]],"")</f>
        <v/>
      </c>
    </row>
    <row r="97" spans="2:30" ht="14.4" x14ac:dyDescent="0.3">
      <c r="B97" s="180" t="s">
        <v>379</v>
      </c>
      <c r="C97" s="176" t="s">
        <v>808</v>
      </c>
      <c r="D97" s="176" t="s">
        <v>1204</v>
      </c>
      <c r="E97" s="145">
        <v>2</v>
      </c>
      <c r="F97" s="142" t="s">
        <v>202</v>
      </c>
      <c r="G97" s="149">
        <v>10701</v>
      </c>
      <c r="H97" s="142" t="s">
        <v>202</v>
      </c>
      <c r="I97" s="142" t="s">
        <v>202</v>
      </c>
      <c r="J97" s="142" t="s">
        <v>207</v>
      </c>
      <c r="K97" s="142" t="s">
        <v>203</v>
      </c>
      <c r="L97" s="142">
        <v>1</v>
      </c>
      <c r="M97" s="142">
        <v>2</v>
      </c>
      <c r="N97" s="142">
        <v>98</v>
      </c>
      <c r="O97" s="142" t="s">
        <v>195</v>
      </c>
      <c r="P97" s="142" t="s">
        <v>198</v>
      </c>
      <c r="Q97" s="142" t="s">
        <v>199</v>
      </c>
      <c r="T97" s="142" t="s">
        <v>326</v>
      </c>
      <c r="U97" s="142">
        <v>5</v>
      </c>
      <c r="W97" s="148" t="s">
        <v>298</v>
      </c>
      <c r="X97" s="148" t="str">
        <f>IFERROR(Datos[[#This Row],[ARIBA PRECIO POR MILLAR (Dólares)]]/1000*Datos[[#This Row],[DEMANDA ANUAL]],"")</f>
        <v/>
      </c>
      <c r="Y97" s="153" t="str">
        <f>IFERROR((Datos[[#This Row],[INGRESO PRECIO ARIBA]]-Datos[[#This Row],[Costos Totales (Norwork)]])/Datos[[#This Row],[INGRESO PRECIO ARIBA]],"")</f>
        <v/>
      </c>
      <c r="Z97" s="148">
        <f>IFERROR(IF(Datos[[#This Row],[CON ETIQUETA]]="No",VALORHOJA(Datos[[#This Row],[NP]],$B$44),VALORHOJA(Datos[[#This Row],[NP]],$D$44)),"")</f>
        <v>995.55179432507373</v>
      </c>
      <c r="AA97" s="148">
        <f>IFERROR(IF(Datos[[#This Row],[Precio / Millar (Norwork)]]&lt;&gt;"",PRODUCT(Datos[[#This Row],[Precio / Millar (Norwork)]]/1000,Datos[[#This Row],[DEMANDA ANUAL]]),""),"")</f>
        <v>10653.399751072613</v>
      </c>
      <c r="AB97" s="155">
        <f>IFERROR(IF(Datos[[#This Row],[CON ETIQUETA]]="No",VALORHOJA(Datos[[#This Row],[NP]],$B$63)/VALORHOJA(Datos[[#This Row],[NP]],$B$42),VALORHOJA(Datos[[#This Row],[NP]],$D$63)/VALORHOJA(Datos[[#This Row],[NP]],$D$42)),"")</f>
        <v>7457.3798257508279</v>
      </c>
      <c r="AC97" s="148">
        <f>IFERROR(IF(Datos[[#This Row],[Precio / Millar (Norwork)]]&lt;&gt;"",SUM(Datos[[#This Row],[Ingresos Totales (Norwork)]],-Datos[[#This Row],[Costos Totales (Norwork)]]),""),"")</f>
        <v>3196.0199253217852</v>
      </c>
      <c r="AD97" s="153">
        <f>IFERROR(Datos[[#This Row],[Beneficio (Norwork)]]/Datos[[#This Row],[Ingresos Totales (Norwork)]],"")</f>
        <v>0.3000000000000001</v>
      </c>
    </row>
    <row r="98" spans="2:30" x14ac:dyDescent="0.3">
      <c r="B98" s="145" t="s">
        <v>430</v>
      </c>
      <c r="C98" s="176" t="s">
        <v>858</v>
      </c>
      <c r="D98" s="176"/>
      <c r="E98" s="145"/>
      <c r="F98" s="153"/>
      <c r="G98" s="149">
        <v>10701</v>
      </c>
      <c r="H98" s="144"/>
      <c r="W98" s="148" t="s">
        <v>298</v>
      </c>
      <c r="X98" s="148" t="str">
        <f>IFERROR(Datos[[#This Row],[ARIBA PRECIO POR MILLAR (Dólares)]]/1000*Datos[[#This Row],[DEMANDA ANUAL]],"")</f>
        <v/>
      </c>
      <c r="Y98" s="153" t="str">
        <f>IFERROR((Datos[[#This Row],[INGRESO PRECIO ARIBA]]-Datos[[#This Row],[Costos Totales (Norwork)]])/Datos[[#This Row],[INGRESO PRECIO ARIBA]],"")</f>
        <v/>
      </c>
      <c r="Z98" s="148" t="str">
        <f>IFERROR(IF(Datos[[#This Row],[CON ETIQUETA]]="No",VALORHOJA(Datos[[#This Row],[NP]],$B$44),VALORHOJA(Datos[[#This Row],[NP]],$D$44)),"")</f>
        <v/>
      </c>
      <c r="AA98" s="148" t="str">
        <f>IFERROR(IF(Datos[[#This Row],[Precio / Millar (Norwork)]]&lt;&gt;"",PRODUCT(Datos[[#This Row],[Precio / Millar (Norwork)]]/1000,Datos[[#This Row],[DEMANDA ANUAL]]),""),"")</f>
        <v/>
      </c>
      <c r="AB9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98" s="148" t="str">
        <f>IFERROR(IF(Datos[[#This Row],[Precio / Millar (Norwork)]]&lt;&gt;"",SUM(Datos[[#This Row],[Ingresos Totales (Norwork)]],-Datos[[#This Row],[Costos Totales (Norwork)]]),""),"")</f>
        <v/>
      </c>
      <c r="AD98" s="153" t="str">
        <f>IFERROR(Datos[[#This Row],[Beneficio (Norwork)]]/Datos[[#This Row],[Ingresos Totales (Norwork)]],"")</f>
        <v/>
      </c>
    </row>
    <row r="99" spans="2:30" x14ac:dyDescent="0.3">
      <c r="B99" s="145" t="s">
        <v>488</v>
      </c>
      <c r="C99" s="145" t="s">
        <v>915</v>
      </c>
      <c r="D99" s="145"/>
      <c r="E99" s="145"/>
      <c r="G99" s="149">
        <v>10701</v>
      </c>
      <c r="H99" s="144"/>
      <c r="W99" s="148" t="s">
        <v>298</v>
      </c>
      <c r="X99" s="148" t="str">
        <f>IFERROR(Datos[[#This Row],[ARIBA PRECIO POR MILLAR (Dólares)]]/1000*Datos[[#This Row],[DEMANDA ANUAL]],"")</f>
        <v/>
      </c>
      <c r="Y99" s="153" t="str">
        <f>IFERROR((Datos[[#This Row],[INGRESO PRECIO ARIBA]]-Datos[[#This Row],[Costos Totales (Norwork)]])/Datos[[#This Row],[INGRESO PRECIO ARIBA]],"")</f>
        <v/>
      </c>
      <c r="Z99" s="148" t="str">
        <f>IFERROR(IF(Datos[[#This Row],[CON ETIQUETA]]="No",VALORHOJA(Datos[[#This Row],[NP]],$B$44),VALORHOJA(Datos[[#This Row],[NP]],$D$44)),"")</f>
        <v/>
      </c>
      <c r="AA99" s="148" t="str">
        <f>IFERROR(IF(Datos[[#This Row],[Precio / Millar (Norwork)]]&lt;&gt;"",PRODUCT(Datos[[#This Row],[Precio / Millar (Norwork)]]/1000,Datos[[#This Row],[DEMANDA ANUAL]]),""),"")</f>
        <v/>
      </c>
      <c r="AB9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99" s="148" t="str">
        <f>IFERROR(IF(Datos[[#This Row],[Precio / Millar (Norwork)]]&lt;&gt;"",SUM(Datos[[#This Row],[Ingresos Totales (Norwork)]],-Datos[[#This Row],[Costos Totales (Norwork)]]),""),"")</f>
        <v/>
      </c>
      <c r="AD99" s="153" t="str">
        <f>IFERROR(Datos[[#This Row],[Beneficio (Norwork)]]/Datos[[#This Row],[Ingresos Totales (Norwork)]],"")</f>
        <v/>
      </c>
    </row>
    <row r="100" spans="2:30" x14ac:dyDescent="0.3">
      <c r="B100" s="145" t="s">
        <v>442</v>
      </c>
      <c r="C100" s="176" t="s">
        <v>869</v>
      </c>
      <c r="D100" s="176"/>
      <c r="E100" s="145"/>
      <c r="F100" s="153"/>
      <c r="G100" s="149">
        <v>10680</v>
      </c>
      <c r="H100" s="144"/>
      <c r="W100" s="148" t="s">
        <v>298</v>
      </c>
      <c r="X100" s="148" t="str">
        <f>IFERROR(Datos[[#This Row],[ARIBA PRECIO POR MILLAR (Dólares)]]/1000*Datos[[#This Row],[DEMANDA ANUAL]],"")</f>
        <v/>
      </c>
      <c r="Y100" s="153" t="str">
        <f>IFERROR((Datos[[#This Row],[INGRESO PRECIO ARIBA]]-Datos[[#This Row],[Costos Totales (Norwork)]])/Datos[[#This Row],[INGRESO PRECIO ARIBA]],"")</f>
        <v/>
      </c>
      <c r="Z100" s="148" t="str">
        <f>IFERROR(IF(Datos[[#This Row],[CON ETIQUETA]]="No",VALORHOJA(Datos[[#This Row],[NP]],$B$44),VALORHOJA(Datos[[#This Row],[NP]],$D$44)),"")</f>
        <v/>
      </c>
      <c r="AA100" s="148" t="str">
        <f>IFERROR(IF(Datos[[#This Row],[Precio / Millar (Norwork)]]&lt;&gt;"",PRODUCT(Datos[[#This Row],[Precio / Millar (Norwork)]]/1000,Datos[[#This Row],[DEMANDA ANUAL]]),""),"")</f>
        <v/>
      </c>
      <c r="AB10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00" s="148" t="str">
        <f>IFERROR(IF(Datos[[#This Row],[Precio / Millar (Norwork)]]&lt;&gt;"",SUM(Datos[[#This Row],[Ingresos Totales (Norwork)]],-Datos[[#This Row],[Costos Totales (Norwork)]]),""),"")</f>
        <v/>
      </c>
      <c r="AD100" s="153" t="str">
        <f>IFERROR(Datos[[#This Row],[Beneficio (Norwork)]]/Datos[[#This Row],[Ingresos Totales (Norwork)]],"")</f>
        <v/>
      </c>
    </row>
    <row r="101" spans="2:30" x14ac:dyDescent="0.3">
      <c r="B101" s="145" t="s">
        <v>489</v>
      </c>
      <c r="C101" s="145" t="s">
        <v>916</v>
      </c>
      <c r="D101" s="145"/>
      <c r="E101" s="145"/>
      <c r="G101" s="149">
        <v>10603</v>
      </c>
      <c r="H101" s="144"/>
      <c r="W101" s="148" t="s">
        <v>298</v>
      </c>
      <c r="X101" s="148" t="str">
        <f>IFERROR(Datos[[#This Row],[ARIBA PRECIO POR MILLAR (Dólares)]]/1000*Datos[[#This Row],[DEMANDA ANUAL]],"")</f>
        <v/>
      </c>
      <c r="Y101" s="153" t="str">
        <f>IFERROR((Datos[[#This Row],[INGRESO PRECIO ARIBA]]-Datos[[#This Row],[Costos Totales (Norwork)]])/Datos[[#This Row],[INGRESO PRECIO ARIBA]],"")</f>
        <v/>
      </c>
      <c r="Z101" s="148" t="str">
        <f>IFERROR(IF(Datos[[#This Row],[CON ETIQUETA]]="No",VALORHOJA(Datos[[#This Row],[NP]],$B$44),VALORHOJA(Datos[[#This Row],[NP]],$D$44)),"")</f>
        <v/>
      </c>
      <c r="AA101" s="148" t="str">
        <f>IFERROR(IF(Datos[[#This Row],[Precio / Millar (Norwork)]]&lt;&gt;"",PRODUCT(Datos[[#This Row],[Precio / Millar (Norwork)]]/1000,Datos[[#This Row],[DEMANDA ANUAL]]),""),"")</f>
        <v/>
      </c>
      <c r="AB10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01" s="148" t="str">
        <f>IFERROR(IF(Datos[[#This Row],[Precio / Millar (Norwork)]]&lt;&gt;"",SUM(Datos[[#This Row],[Ingresos Totales (Norwork)]],-Datos[[#This Row],[Costos Totales (Norwork)]]),""),"")</f>
        <v/>
      </c>
      <c r="AD101" s="153" t="str">
        <f>IFERROR(Datos[[#This Row],[Beneficio (Norwork)]]/Datos[[#This Row],[Ingresos Totales (Norwork)]],"")</f>
        <v/>
      </c>
    </row>
    <row r="102" spans="2:30" x14ac:dyDescent="0.3">
      <c r="B102" s="145" t="s">
        <v>402</v>
      </c>
      <c r="C102" s="176" t="s">
        <v>830</v>
      </c>
      <c r="D102" s="176"/>
      <c r="E102" s="145"/>
      <c r="F102" s="148"/>
      <c r="G102" s="149">
        <v>10350</v>
      </c>
      <c r="H102" s="144"/>
      <c r="W102" s="148" t="s">
        <v>298</v>
      </c>
      <c r="X102" s="148" t="str">
        <f>IFERROR(Datos[[#This Row],[ARIBA PRECIO POR MILLAR (Dólares)]]/1000*Datos[[#This Row],[DEMANDA ANUAL]],"")</f>
        <v/>
      </c>
      <c r="Y102" s="153" t="str">
        <f>IFERROR((Datos[[#This Row],[INGRESO PRECIO ARIBA]]-Datos[[#This Row],[Costos Totales (Norwork)]])/Datos[[#This Row],[INGRESO PRECIO ARIBA]],"")</f>
        <v/>
      </c>
      <c r="Z102" s="148" t="str">
        <f>IFERROR(IF(Datos[[#This Row],[CON ETIQUETA]]="No",VALORHOJA(Datos[[#This Row],[NP]],$B$44),VALORHOJA(Datos[[#This Row],[NP]],$D$44)),"")</f>
        <v/>
      </c>
      <c r="AA102" s="148" t="str">
        <f>IFERROR(IF(Datos[[#This Row],[Precio / Millar (Norwork)]]&lt;&gt;"",PRODUCT(Datos[[#This Row],[Precio / Millar (Norwork)]]/1000,Datos[[#This Row],[DEMANDA ANUAL]]),""),"")</f>
        <v/>
      </c>
      <c r="AB10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02" s="148" t="str">
        <f>IFERROR(IF(Datos[[#This Row],[Precio / Millar (Norwork)]]&lt;&gt;"",SUM(Datos[[#This Row],[Ingresos Totales (Norwork)]],-Datos[[#This Row],[Costos Totales (Norwork)]]),""),"")</f>
        <v/>
      </c>
      <c r="AD102" s="153" t="str">
        <f>IFERROR(Datos[[#This Row],[Beneficio (Norwork)]]/Datos[[#This Row],[Ingresos Totales (Norwork)]],"")</f>
        <v/>
      </c>
    </row>
    <row r="103" spans="2:30" x14ac:dyDescent="0.3">
      <c r="B103" s="145" t="s">
        <v>388</v>
      </c>
      <c r="C103" s="176" t="s">
        <v>816</v>
      </c>
      <c r="D103" s="176"/>
      <c r="E103" s="145"/>
      <c r="F103" s="148"/>
      <c r="G103" s="149">
        <v>10035</v>
      </c>
      <c r="H103" s="144"/>
      <c r="W103" s="148" t="s">
        <v>298</v>
      </c>
      <c r="X103" s="148" t="str">
        <f>IFERROR(Datos[[#This Row],[ARIBA PRECIO POR MILLAR (Dólares)]]/1000*Datos[[#This Row],[DEMANDA ANUAL]],"")</f>
        <v/>
      </c>
      <c r="Y103" s="153" t="str">
        <f>IFERROR((Datos[[#This Row],[INGRESO PRECIO ARIBA]]-Datos[[#This Row],[Costos Totales (Norwork)]])/Datos[[#This Row],[INGRESO PRECIO ARIBA]],"")</f>
        <v/>
      </c>
      <c r="Z103" s="148" t="str">
        <f>IFERROR(IF(Datos[[#This Row],[CON ETIQUETA]]="No",VALORHOJA(Datos[[#This Row],[NP]],$B$44),VALORHOJA(Datos[[#This Row],[NP]],$D$44)),"")</f>
        <v/>
      </c>
      <c r="AA103" s="148" t="str">
        <f>IFERROR(IF(Datos[[#This Row],[Precio / Millar (Norwork)]]&lt;&gt;"",PRODUCT(Datos[[#This Row],[Precio / Millar (Norwork)]]/1000,Datos[[#This Row],[DEMANDA ANUAL]]),""),"")</f>
        <v/>
      </c>
      <c r="AB10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03" s="148" t="str">
        <f>IFERROR(IF(Datos[[#This Row],[Precio / Millar (Norwork)]]&lt;&gt;"",SUM(Datos[[#This Row],[Ingresos Totales (Norwork)]],-Datos[[#This Row],[Costos Totales (Norwork)]]),""),"")</f>
        <v/>
      </c>
      <c r="AD103" s="153" t="str">
        <f>IFERROR(Datos[[#This Row],[Beneficio (Norwork)]]/Datos[[#This Row],[Ingresos Totales (Norwork)]],"")</f>
        <v/>
      </c>
    </row>
    <row r="104" spans="2:30" x14ac:dyDescent="0.3">
      <c r="B104" s="145" t="s">
        <v>404</v>
      </c>
      <c r="C104" s="176" t="s">
        <v>832</v>
      </c>
      <c r="D104" s="176"/>
      <c r="E104" s="145"/>
      <c r="F104" s="148"/>
      <c r="G104" s="149">
        <v>9738</v>
      </c>
      <c r="H104" s="144"/>
      <c r="W104" s="148" t="s">
        <v>298</v>
      </c>
      <c r="X104" s="148" t="str">
        <f>IFERROR(Datos[[#This Row],[ARIBA PRECIO POR MILLAR (Dólares)]]/1000*Datos[[#This Row],[DEMANDA ANUAL]],"")</f>
        <v/>
      </c>
      <c r="Y104" s="153" t="str">
        <f>IFERROR((Datos[[#This Row],[INGRESO PRECIO ARIBA]]-Datos[[#This Row],[Costos Totales (Norwork)]])/Datos[[#This Row],[INGRESO PRECIO ARIBA]],"")</f>
        <v/>
      </c>
      <c r="Z104" s="148" t="str">
        <f>IFERROR(IF(Datos[[#This Row],[CON ETIQUETA]]="No",VALORHOJA(Datos[[#This Row],[NP]],$B$44),VALORHOJA(Datos[[#This Row],[NP]],$D$44)),"")</f>
        <v/>
      </c>
      <c r="AA104" s="148" t="str">
        <f>IFERROR(IF(Datos[[#This Row],[Precio / Millar (Norwork)]]&lt;&gt;"",PRODUCT(Datos[[#This Row],[Precio / Millar (Norwork)]]/1000,Datos[[#This Row],[DEMANDA ANUAL]]),""),"")</f>
        <v/>
      </c>
      <c r="AB10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04" s="148" t="str">
        <f>IFERROR(IF(Datos[[#This Row],[Precio / Millar (Norwork)]]&lt;&gt;"",SUM(Datos[[#This Row],[Ingresos Totales (Norwork)]],-Datos[[#This Row],[Costos Totales (Norwork)]]),""),"")</f>
        <v/>
      </c>
      <c r="AD104" s="153" t="str">
        <f>IFERROR(Datos[[#This Row],[Beneficio (Norwork)]]/Datos[[#This Row],[Ingresos Totales (Norwork)]],"")</f>
        <v/>
      </c>
    </row>
    <row r="105" spans="2:30" x14ac:dyDescent="0.3">
      <c r="B105" s="145" t="s">
        <v>464</v>
      </c>
      <c r="C105" s="176" t="s">
        <v>891</v>
      </c>
      <c r="D105" s="176"/>
      <c r="E105" s="145"/>
      <c r="F105" s="153"/>
      <c r="G105" s="149">
        <v>9712</v>
      </c>
      <c r="H105" s="144"/>
      <c r="W105" s="148" t="s">
        <v>298</v>
      </c>
      <c r="X105" s="148" t="str">
        <f>IFERROR(Datos[[#This Row],[ARIBA PRECIO POR MILLAR (Dólares)]]/1000*Datos[[#This Row],[DEMANDA ANUAL]],"")</f>
        <v/>
      </c>
      <c r="Y105" s="153" t="str">
        <f>IFERROR((Datos[[#This Row],[INGRESO PRECIO ARIBA]]-Datos[[#This Row],[Costos Totales (Norwork)]])/Datos[[#This Row],[INGRESO PRECIO ARIBA]],"")</f>
        <v/>
      </c>
      <c r="Z105" s="148" t="str">
        <f>IFERROR(IF(Datos[[#This Row],[CON ETIQUETA]]="No",VALORHOJA(Datos[[#This Row],[NP]],$B$44),VALORHOJA(Datos[[#This Row],[NP]],$D$44)),"")</f>
        <v/>
      </c>
      <c r="AA105" s="148" t="str">
        <f>IFERROR(IF(Datos[[#This Row],[Precio / Millar (Norwork)]]&lt;&gt;"",PRODUCT(Datos[[#This Row],[Precio / Millar (Norwork)]]/1000,Datos[[#This Row],[DEMANDA ANUAL]]),""),"")</f>
        <v/>
      </c>
      <c r="AB10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05" s="148" t="str">
        <f>IFERROR(IF(Datos[[#This Row],[Precio / Millar (Norwork)]]&lt;&gt;"",SUM(Datos[[#This Row],[Ingresos Totales (Norwork)]],-Datos[[#This Row],[Costos Totales (Norwork)]]),""),"")</f>
        <v/>
      </c>
      <c r="AD105" s="153" t="str">
        <f>IFERROR(Datos[[#This Row],[Beneficio (Norwork)]]/Datos[[#This Row],[Ingresos Totales (Norwork)]],"")</f>
        <v/>
      </c>
    </row>
    <row r="106" spans="2:30" x14ac:dyDescent="0.3">
      <c r="B106" s="145" t="s">
        <v>409</v>
      </c>
      <c r="C106" s="145" t="s">
        <v>837</v>
      </c>
      <c r="D106" s="145"/>
      <c r="E106" s="145"/>
      <c r="G106" s="149">
        <v>9542</v>
      </c>
      <c r="H106" s="144"/>
      <c r="W106" s="148" t="s">
        <v>298</v>
      </c>
      <c r="X106" s="148" t="str">
        <f>IFERROR(Datos[[#This Row],[ARIBA PRECIO POR MILLAR (Dólares)]]/1000*Datos[[#This Row],[DEMANDA ANUAL]],"")</f>
        <v/>
      </c>
      <c r="Y106" s="153" t="str">
        <f>IFERROR((Datos[[#This Row],[INGRESO PRECIO ARIBA]]-Datos[[#This Row],[Costos Totales (Norwork)]])/Datos[[#This Row],[INGRESO PRECIO ARIBA]],"")</f>
        <v/>
      </c>
      <c r="Z106" s="148" t="str">
        <f>IFERROR(IF(Datos[[#This Row],[CON ETIQUETA]]="No",VALORHOJA(Datos[[#This Row],[NP]],$B$44),VALORHOJA(Datos[[#This Row],[NP]],$D$44)),"")</f>
        <v/>
      </c>
      <c r="AA106" s="148" t="str">
        <f>IFERROR(IF(Datos[[#This Row],[Precio / Millar (Norwork)]]&lt;&gt;"",PRODUCT(Datos[[#This Row],[Precio / Millar (Norwork)]]/1000,Datos[[#This Row],[DEMANDA ANUAL]]),""),"")</f>
        <v/>
      </c>
      <c r="AB10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06" s="148" t="str">
        <f>IFERROR(IF(Datos[[#This Row],[Precio / Millar (Norwork)]]&lt;&gt;"",SUM(Datos[[#This Row],[Ingresos Totales (Norwork)]],-Datos[[#This Row],[Costos Totales (Norwork)]]),""),"")</f>
        <v/>
      </c>
      <c r="AD106" s="153" t="str">
        <f>IFERROR(Datos[[#This Row],[Beneficio (Norwork)]]/Datos[[#This Row],[Ingresos Totales (Norwork)]],"")</f>
        <v/>
      </c>
    </row>
    <row r="107" spans="2:30" x14ac:dyDescent="0.3">
      <c r="B107" s="145" t="s">
        <v>446</v>
      </c>
      <c r="C107" s="176" t="s">
        <v>873</v>
      </c>
      <c r="D107" s="176"/>
      <c r="E107" s="145"/>
      <c r="F107" s="153"/>
      <c r="G107" s="149">
        <v>9396</v>
      </c>
      <c r="H107" s="144"/>
      <c r="W107" s="148" t="s">
        <v>298</v>
      </c>
      <c r="X107" s="148" t="str">
        <f>IFERROR(Datos[[#This Row],[ARIBA PRECIO POR MILLAR (Dólares)]]/1000*Datos[[#This Row],[DEMANDA ANUAL]],"")</f>
        <v/>
      </c>
      <c r="Y107" s="153" t="str">
        <f>IFERROR((Datos[[#This Row],[INGRESO PRECIO ARIBA]]-Datos[[#This Row],[Costos Totales (Norwork)]])/Datos[[#This Row],[INGRESO PRECIO ARIBA]],"")</f>
        <v/>
      </c>
      <c r="Z107" s="148" t="str">
        <f>IFERROR(IF(Datos[[#This Row],[CON ETIQUETA]]="No",VALORHOJA(Datos[[#This Row],[NP]],$B$44),VALORHOJA(Datos[[#This Row],[NP]],$D$44)),"")</f>
        <v/>
      </c>
      <c r="AA107" s="148" t="str">
        <f>IFERROR(IF(Datos[[#This Row],[Precio / Millar (Norwork)]]&lt;&gt;"",PRODUCT(Datos[[#This Row],[Precio / Millar (Norwork)]]/1000,Datos[[#This Row],[DEMANDA ANUAL]]),""),"")</f>
        <v/>
      </c>
      <c r="AB10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07" s="148" t="str">
        <f>IFERROR(IF(Datos[[#This Row],[Precio / Millar (Norwork)]]&lt;&gt;"",SUM(Datos[[#This Row],[Ingresos Totales (Norwork)]],-Datos[[#This Row],[Costos Totales (Norwork)]]),""),"")</f>
        <v/>
      </c>
      <c r="AD107" s="153" t="str">
        <f>IFERROR(Datos[[#This Row],[Beneficio (Norwork)]]/Datos[[#This Row],[Ingresos Totales (Norwork)]],"")</f>
        <v/>
      </c>
    </row>
    <row r="108" spans="2:30" x14ac:dyDescent="0.3">
      <c r="B108" s="145" t="s">
        <v>365</v>
      </c>
      <c r="C108" s="176" t="s">
        <v>794</v>
      </c>
      <c r="D108" s="176"/>
      <c r="E108" s="145"/>
      <c r="F108" s="148"/>
      <c r="G108" s="149">
        <v>9262</v>
      </c>
      <c r="H108" s="144"/>
      <c r="W108" s="148" t="s">
        <v>298</v>
      </c>
      <c r="X108" s="148" t="str">
        <f>IFERROR(Datos[[#This Row],[ARIBA PRECIO POR MILLAR (Dólares)]]/1000*Datos[[#This Row],[DEMANDA ANUAL]],"")</f>
        <v/>
      </c>
      <c r="Y108" s="153" t="str">
        <f>IFERROR((Datos[[#This Row],[INGRESO PRECIO ARIBA]]-Datos[[#This Row],[Costos Totales (Norwork)]])/Datos[[#This Row],[INGRESO PRECIO ARIBA]],"")</f>
        <v/>
      </c>
      <c r="Z108" s="148" t="str">
        <f>IFERROR(IF(Datos[[#This Row],[CON ETIQUETA]]="No",VALORHOJA(Datos[[#This Row],[NP]],$B$44),VALORHOJA(Datos[[#This Row],[NP]],$D$44)),"")</f>
        <v/>
      </c>
      <c r="AA108" s="148" t="str">
        <f>IFERROR(IF(Datos[[#This Row],[Precio / Millar (Norwork)]]&lt;&gt;"",PRODUCT(Datos[[#This Row],[Precio / Millar (Norwork)]]/1000,Datos[[#This Row],[DEMANDA ANUAL]]),""),"")</f>
        <v/>
      </c>
      <c r="AB10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08" s="148" t="str">
        <f>IFERROR(IF(Datos[[#This Row],[Precio / Millar (Norwork)]]&lt;&gt;"",SUM(Datos[[#This Row],[Ingresos Totales (Norwork)]],-Datos[[#This Row],[Costos Totales (Norwork)]]),""),"")</f>
        <v/>
      </c>
      <c r="AD108" s="153" t="str">
        <f>IFERROR(Datos[[#This Row],[Beneficio (Norwork)]]/Datos[[#This Row],[Ingresos Totales (Norwork)]],"")</f>
        <v/>
      </c>
    </row>
    <row r="109" spans="2:30" x14ac:dyDescent="0.3">
      <c r="B109" s="145" t="s">
        <v>406</v>
      </c>
      <c r="C109" s="145" t="s">
        <v>834</v>
      </c>
      <c r="D109" s="145"/>
      <c r="E109" s="145"/>
      <c r="G109" s="149">
        <v>9200</v>
      </c>
      <c r="H109" s="144"/>
      <c r="W109" s="148" t="s">
        <v>298</v>
      </c>
      <c r="X109" s="148" t="str">
        <f>IFERROR(Datos[[#This Row],[ARIBA PRECIO POR MILLAR (Dólares)]]/1000*Datos[[#This Row],[DEMANDA ANUAL]],"")</f>
        <v/>
      </c>
      <c r="Y109" s="153" t="str">
        <f>IFERROR((Datos[[#This Row],[INGRESO PRECIO ARIBA]]-Datos[[#This Row],[Costos Totales (Norwork)]])/Datos[[#This Row],[INGRESO PRECIO ARIBA]],"")</f>
        <v/>
      </c>
      <c r="Z109" s="148" t="str">
        <f>IFERROR(IF(Datos[[#This Row],[CON ETIQUETA]]="No",VALORHOJA(Datos[[#This Row],[NP]],$B$44),VALORHOJA(Datos[[#This Row],[NP]],$D$44)),"")</f>
        <v/>
      </c>
      <c r="AA109" s="148" t="str">
        <f>IFERROR(IF(Datos[[#This Row],[Precio / Millar (Norwork)]]&lt;&gt;"",PRODUCT(Datos[[#This Row],[Precio / Millar (Norwork)]]/1000,Datos[[#This Row],[DEMANDA ANUAL]]),""),"")</f>
        <v/>
      </c>
      <c r="AB10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09" s="148" t="str">
        <f>IFERROR(IF(Datos[[#This Row],[Precio / Millar (Norwork)]]&lt;&gt;"",SUM(Datos[[#This Row],[Ingresos Totales (Norwork)]],-Datos[[#This Row],[Costos Totales (Norwork)]]),""),"")</f>
        <v/>
      </c>
      <c r="AD109" s="153" t="str">
        <f>IFERROR(Datos[[#This Row],[Beneficio (Norwork)]]/Datos[[#This Row],[Ingresos Totales (Norwork)]],"")</f>
        <v/>
      </c>
    </row>
    <row r="110" spans="2:30" x14ac:dyDescent="0.3">
      <c r="B110" s="145" t="s">
        <v>520</v>
      </c>
      <c r="C110" s="145" t="s">
        <v>946</v>
      </c>
      <c r="D110" s="145"/>
      <c r="E110" s="145"/>
      <c r="G110" s="149">
        <v>9070</v>
      </c>
      <c r="H110" s="144"/>
      <c r="W110" s="148" t="s">
        <v>298</v>
      </c>
      <c r="X110" s="148" t="str">
        <f>IFERROR(Datos[[#This Row],[ARIBA PRECIO POR MILLAR (Dólares)]]/1000*Datos[[#This Row],[DEMANDA ANUAL]],"")</f>
        <v/>
      </c>
      <c r="Y110" s="153" t="str">
        <f>IFERROR((Datos[[#This Row],[INGRESO PRECIO ARIBA]]-Datos[[#This Row],[Costos Totales (Norwork)]])/Datos[[#This Row],[INGRESO PRECIO ARIBA]],"")</f>
        <v/>
      </c>
      <c r="Z110" s="148" t="str">
        <f>IFERROR(IF(Datos[[#This Row],[CON ETIQUETA]]="No",VALORHOJA(Datos[[#This Row],[NP]],$B$44),VALORHOJA(Datos[[#This Row],[NP]],$D$44)),"")</f>
        <v/>
      </c>
      <c r="AA110" s="148" t="str">
        <f>IFERROR(IF(Datos[[#This Row],[Precio / Millar (Norwork)]]&lt;&gt;"",PRODUCT(Datos[[#This Row],[Precio / Millar (Norwork)]]/1000,Datos[[#This Row],[DEMANDA ANUAL]]),""),"")</f>
        <v/>
      </c>
      <c r="AB11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10" s="148" t="str">
        <f>IFERROR(IF(Datos[[#This Row],[Precio / Millar (Norwork)]]&lt;&gt;"",SUM(Datos[[#This Row],[Ingresos Totales (Norwork)]],-Datos[[#This Row],[Costos Totales (Norwork)]]),""),"")</f>
        <v/>
      </c>
      <c r="AD110" s="153" t="str">
        <f>IFERROR(Datos[[#This Row],[Beneficio (Norwork)]]/Datos[[#This Row],[Ingresos Totales (Norwork)]],"")</f>
        <v/>
      </c>
    </row>
    <row r="111" spans="2:30" x14ac:dyDescent="0.3">
      <c r="B111" s="145" t="s">
        <v>433</v>
      </c>
      <c r="C111" s="176" t="s">
        <v>860</v>
      </c>
      <c r="D111" s="176"/>
      <c r="E111" s="145"/>
      <c r="F111" s="153"/>
      <c r="G111" s="149">
        <v>8928</v>
      </c>
      <c r="H111" s="144"/>
      <c r="W111" s="148" t="s">
        <v>298</v>
      </c>
      <c r="X111" s="148" t="str">
        <f>IFERROR(Datos[[#This Row],[ARIBA PRECIO POR MILLAR (Dólares)]]/1000*Datos[[#This Row],[DEMANDA ANUAL]],"")</f>
        <v/>
      </c>
      <c r="Y111" s="153" t="str">
        <f>IFERROR((Datos[[#This Row],[INGRESO PRECIO ARIBA]]-Datos[[#This Row],[Costos Totales (Norwork)]])/Datos[[#This Row],[INGRESO PRECIO ARIBA]],"")</f>
        <v/>
      </c>
      <c r="Z111" s="148" t="str">
        <f>IFERROR(IF(Datos[[#This Row],[CON ETIQUETA]]="No",VALORHOJA(Datos[[#This Row],[NP]],$B$44),VALORHOJA(Datos[[#This Row],[NP]],$D$44)),"")</f>
        <v/>
      </c>
      <c r="AA111" s="148" t="str">
        <f>IFERROR(IF(Datos[[#This Row],[Precio / Millar (Norwork)]]&lt;&gt;"",PRODUCT(Datos[[#This Row],[Precio / Millar (Norwork)]]/1000,Datos[[#This Row],[DEMANDA ANUAL]]),""),"")</f>
        <v/>
      </c>
      <c r="AB11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11" s="148" t="str">
        <f>IFERROR(IF(Datos[[#This Row],[Precio / Millar (Norwork)]]&lt;&gt;"",SUM(Datos[[#This Row],[Ingresos Totales (Norwork)]],-Datos[[#This Row],[Costos Totales (Norwork)]]),""),"")</f>
        <v/>
      </c>
      <c r="AD111" s="153" t="str">
        <f>IFERROR(Datos[[#This Row],[Beneficio (Norwork)]]/Datos[[#This Row],[Ingresos Totales (Norwork)]],"")</f>
        <v/>
      </c>
    </row>
    <row r="112" spans="2:30" x14ac:dyDescent="0.3">
      <c r="B112" s="145" t="s">
        <v>426</v>
      </c>
      <c r="C112" s="145" t="s">
        <v>854</v>
      </c>
      <c r="D112" s="145"/>
      <c r="E112" s="145"/>
      <c r="G112" s="149">
        <v>8920</v>
      </c>
      <c r="H112" s="144"/>
      <c r="W112" s="148" t="s">
        <v>298</v>
      </c>
      <c r="X112" s="148" t="str">
        <f>IFERROR(Datos[[#This Row],[ARIBA PRECIO POR MILLAR (Dólares)]]/1000*Datos[[#This Row],[DEMANDA ANUAL]],"")</f>
        <v/>
      </c>
      <c r="Y112" s="153" t="str">
        <f>IFERROR((Datos[[#This Row],[INGRESO PRECIO ARIBA]]-Datos[[#This Row],[Costos Totales (Norwork)]])/Datos[[#This Row],[INGRESO PRECIO ARIBA]],"")</f>
        <v/>
      </c>
      <c r="Z112" s="148" t="str">
        <f>IFERROR(IF(Datos[[#This Row],[CON ETIQUETA]]="No",VALORHOJA(Datos[[#This Row],[NP]],$B$44),VALORHOJA(Datos[[#This Row],[NP]],$D$44)),"")</f>
        <v/>
      </c>
      <c r="AA112" s="148" t="str">
        <f>IFERROR(IF(Datos[[#This Row],[Precio / Millar (Norwork)]]&lt;&gt;"",PRODUCT(Datos[[#This Row],[Precio / Millar (Norwork)]]/1000,Datos[[#This Row],[DEMANDA ANUAL]]),""),"")</f>
        <v/>
      </c>
      <c r="AB11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12" s="148" t="str">
        <f>IFERROR(IF(Datos[[#This Row],[Precio / Millar (Norwork)]]&lt;&gt;"",SUM(Datos[[#This Row],[Ingresos Totales (Norwork)]],-Datos[[#This Row],[Costos Totales (Norwork)]]),""),"")</f>
        <v/>
      </c>
      <c r="AD112" s="153" t="str">
        <f>IFERROR(Datos[[#This Row],[Beneficio (Norwork)]]/Datos[[#This Row],[Ingresos Totales (Norwork)]],"")</f>
        <v/>
      </c>
    </row>
    <row r="113" spans="2:30" x14ac:dyDescent="0.3">
      <c r="B113" s="173" t="s">
        <v>243</v>
      </c>
      <c r="C113" s="145" t="s">
        <v>244</v>
      </c>
      <c r="D113" s="145"/>
      <c r="E113" s="145"/>
      <c r="F113" s="142" t="s">
        <v>202</v>
      </c>
      <c r="G113" s="149">
        <v>8748</v>
      </c>
      <c r="H113" s="142" t="s">
        <v>202</v>
      </c>
      <c r="I113" s="142" t="s">
        <v>202</v>
      </c>
      <c r="J113" s="142" t="s">
        <v>207</v>
      </c>
      <c r="K113" s="142" t="s">
        <v>203</v>
      </c>
      <c r="L113" s="142">
        <v>4</v>
      </c>
      <c r="M113" s="142">
        <v>2</v>
      </c>
      <c r="N113" s="142">
        <v>3</v>
      </c>
      <c r="O113" s="142" t="s">
        <v>195</v>
      </c>
      <c r="P113" s="142" t="s">
        <v>198</v>
      </c>
      <c r="Q113" s="142" t="s">
        <v>199</v>
      </c>
      <c r="T113" s="142" t="s">
        <v>326</v>
      </c>
      <c r="U113" s="142">
        <v>2</v>
      </c>
      <c r="W113" s="148">
        <v>180</v>
      </c>
      <c r="X113" s="148">
        <f>IFERROR(Datos[[#This Row],[ARIBA PRECIO POR MILLAR (Dólares)]]/1000*Datos[[#This Row],[DEMANDA ANUAL]],"")</f>
        <v>1574.6399999999999</v>
      </c>
      <c r="Y113" s="153">
        <f>IFERROR((Datos[[#This Row],[INGRESO PRECIO ARIBA]]-Datos[[#This Row],[Costos Totales (Norwork)]])/Datos[[#This Row],[INGRESO PRECIO ARIBA]],"")</f>
        <v>-1.36177372450711</v>
      </c>
      <c r="Z113" s="148">
        <f>IFERROR(IF(Datos[[#This Row],[CON ETIQUETA]]="No",VALORHOJA(Datos[[#This Row],[NP]],$B$44),VALORHOJA(Datos[[#This Row],[NP]],$D$44)),"")</f>
        <v>363.86418617115504</v>
      </c>
      <c r="AA113" s="148">
        <f>IFERROR(IF(Datos[[#This Row],[Precio / Millar (Norwork)]]&lt;&gt;"",PRODUCT(Datos[[#This Row],[Precio / Millar (Norwork)]]/1000,Datos[[#This Row],[DEMANDA ANUAL]]),""),"")</f>
        <v>3183.0839006252641</v>
      </c>
      <c r="AB113" s="155">
        <f>IFERROR(IF(Datos[[#This Row],[CON ETIQUETA]]="No",VALORHOJA(Datos[[#This Row],[NP]],$B$63)/VALORHOJA(Datos[[#This Row],[NP]],$B$42),VALORHOJA(Datos[[#This Row],[NP]],$D$63)/VALORHOJA(Datos[[#This Row],[NP]],$D$42)),"")</f>
        <v>3718.9433775578755</v>
      </c>
      <c r="AC113" s="148">
        <f>IFERROR(IF(Datos[[#This Row],[Precio / Millar (Norwork)]]&lt;&gt;"",SUM(Datos[[#This Row],[Ingresos Totales (Norwork)]],-Datos[[#This Row],[Costos Totales (Norwork)]]),""),"")</f>
        <v>-535.85947693261141</v>
      </c>
      <c r="AD113" s="153">
        <f>IFERROR(Datos[[#This Row],[Beneficio (Norwork)]]/Datos[[#This Row],[Ingresos Totales (Norwork)]],"")</f>
        <v>-0.16834601086931786</v>
      </c>
    </row>
    <row r="114" spans="2:30" x14ac:dyDescent="0.3">
      <c r="B114" s="145" t="s">
        <v>354</v>
      </c>
      <c r="C114" s="145" t="s">
        <v>783</v>
      </c>
      <c r="D114" s="145"/>
      <c r="E114" s="145"/>
      <c r="F114" s="145"/>
      <c r="G114" s="146">
        <v>8748</v>
      </c>
      <c r="H114" s="146"/>
      <c r="I114" s="147"/>
      <c r="J114" s="145"/>
      <c r="K114" s="145"/>
      <c r="L114" s="145"/>
      <c r="M114" s="145"/>
      <c r="N114" s="145"/>
      <c r="O114" s="145"/>
      <c r="P114" s="145"/>
      <c r="Q114" s="145"/>
      <c r="R114" s="145"/>
      <c r="S114" s="145"/>
      <c r="T114" s="145"/>
      <c r="U114" s="145"/>
      <c r="V114" s="145"/>
      <c r="W114" s="148" t="s">
        <v>298</v>
      </c>
      <c r="X114" s="148" t="str">
        <f>IFERROR(Datos[[#This Row],[ARIBA PRECIO POR MILLAR (Dólares)]]/1000*Datos[[#This Row],[DEMANDA ANUAL]],"")</f>
        <v/>
      </c>
      <c r="Y114" s="168" t="str">
        <f>IFERROR((Datos[[#This Row],[INGRESO PRECIO ARIBA]]-Datos[[#This Row],[Costos Totales (Norwork)]])/Datos[[#This Row],[INGRESO PRECIO ARIBA]],"")</f>
        <v/>
      </c>
      <c r="Z114" s="148" t="str">
        <f>IFERROR(IF(Datos[[#This Row],[CON ETIQUETA]]="No",VALORHOJA(Datos[[#This Row],[NP]],$B$44),VALORHOJA(Datos[[#This Row],[NP]],$D$44)),"")</f>
        <v/>
      </c>
      <c r="AA114" s="148" t="str">
        <f>IFERROR(IF(Datos[[#This Row],[Precio / Millar (Norwork)]]&lt;&gt;"",PRODUCT(Datos[[#This Row],[Precio / Millar (Norwork)]]/1000,Datos[[#This Row],[DEMANDA ANUAL]]),""),"")</f>
        <v/>
      </c>
      <c r="AB11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14" s="148" t="str">
        <f>IFERROR(IF(Datos[[#This Row],[Precio / Millar (Norwork)]]&lt;&gt;"",SUM(Datos[[#This Row],[Ingresos Totales (Norwork)]],-Datos[[#This Row],[Costos Totales (Norwork)]]),""),"")</f>
        <v/>
      </c>
      <c r="AD114" s="153" t="str">
        <f>IFERROR(Datos[[#This Row],[Beneficio (Norwork)]]/Datos[[#This Row],[Ingresos Totales (Norwork)]],"")</f>
        <v/>
      </c>
    </row>
    <row r="115" spans="2:30" x14ac:dyDescent="0.3">
      <c r="B115" s="145" t="s">
        <v>355</v>
      </c>
      <c r="C115" s="145" t="s">
        <v>784</v>
      </c>
      <c r="D115" s="145"/>
      <c r="E115" s="145"/>
      <c r="F115" s="145"/>
      <c r="G115" s="146">
        <v>8748</v>
      </c>
      <c r="H115" s="146"/>
      <c r="I115" s="147"/>
      <c r="J115" s="145"/>
      <c r="K115" s="145"/>
      <c r="L115" s="145"/>
      <c r="M115" s="145"/>
      <c r="N115" s="145"/>
      <c r="O115" s="145"/>
      <c r="P115" s="145"/>
      <c r="Q115" s="145"/>
      <c r="R115" s="145"/>
      <c r="S115" s="145"/>
      <c r="T115" s="145"/>
      <c r="U115" s="145"/>
      <c r="V115" s="145"/>
      <c r="W115" s="148" t="s">
        <v>298</v>
      </c>
      <c r="X115" s="148" t="str">
        <f>IFERROR(Datos[[#This Row],[ARIBA PRECIO POR MILLAR (Dólares)]]/1000*Datos[[#This Row],[DEMANDA ANUAL]],"")</f>
        <v/>
      </c>
      <c r="Y115" s="168" t="str">
        <f>IFERROR((Datos[[#This Row],[INGRESO PRECIO ARIBA]]-Datos[[#This Row],[Costos Totales (Norwork)]])/Datos[[#This Row],[INGRESO PRECIO ARIBA]],"")</f>
        <v/>
      </c>
      <c r="Z115" s="148" t="str">
        <f>IFERROR(IF(Datos[[#This Row],[CON ETIQUETA]]="No",VALORHOJA(Datos[[#This Row],[NP]],$B$44),VALORHOJA(Datos[[#This Row],[NP]],$D$44)),"")</f>
        <v/>
      </c>
      <c r="AA115" s="148" t="str">
        <f>IFERROR(IF(Datos[[#This Row],[Precio / Millar (Norwork)]]&lt;&gt;"",PRODUCT(Datos[[#This Row],[Precio / Millar (Norwork)]]/1000,Datos[[#This Row],[DEMANDA ANUAL]]),""),"")</f>
        <v/>
      </c>
      <c r="AB11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15" s="148" t="str">
        <f>IFERROR(IF(Datos[[#This Row],[Precio / Millar (Norwork)]]&lt;&gt;"",SUM(Datos[[#This Row],[Ingresos Totales (Norwork)]],-Datos[[#This Row],[Costos Totales (Norwork)]]),""),"")</f>
        <v/>
      </c>
      <c r="AD115" s="153" t="str">
        <f>IFERROR(Datos[[#This Row],[Beneficio (Norwork)]]/Datos[[#This Row],[Ingresos Totales (Norwork)]],"")</f>
        <v/>
      </c>
    </row>
    <row r="116" spans="2:30" x14ac:dyDescent="0.3">
      <c r="B116" s="145" t="s">
        <v>429</v>
      </c>
      <c r="C116" s="176" t="s">
        <v>857</v>
      </c>
      <c r="D116" s="176"/>
      <c r="E116" s="145"/>
      <c r="F116" s="153"/>
      <c r="G116" s="149">
        <v>8640</v>
      </c>
      <c r="H116" s="144"/>
      <c r="W116" s="148" t="s">
        <v>298</v>
      </c>
      <c r="X116" s="148" t="str">
        <f>IFERROR(Datos[[#This Row],[ARIBA PRECIO POR MILLAR (Dólares)]]/1000*Datos[[#This Row],[DEMANDA ANUAL]],"")</f>
        <v/>
      </c>
      <c r="Y116" s="153" t="str">
        <f>IFERROR((Datos[[#This Row],[INGRESO PRECIO ARIBA]]-Datos[[#This Row],[Costos Totales (Norwork)]])/Datos[[#This Row],[INGRESO PRECIO ARIBA]],"")</f>
        <v/>
      </c>
      <c r="Z116" s="148" t="str">
        <f>IFERROR(IF(Datos[[#This Row],[CON ETIQUETA]]="No",VALORHOJA(Datos[[#This Row],[NP]],$B$44),VALORHOJA(Datos[[#This Row],[NP]],$D$44)),"")</f>
        <v/>
      </c>
      <c r="AA116" s="148" t="str">
        <f>IFERROR(IF(Datos[[#This Row],[Precio / Millar (Norwork)]]&lt;&gt;"",PRODUCT(Datos[[#This Row],[Precio / Millar (Norwork)]]/1000,Datos[[#This Row],[DEMANDA ANUAL]]),""),"")</f>
        <v/>
      </c>
      <c r="AB11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16" s="148" t="str">
        <f>IFERROR(IF(Datos[[#This Row],[Precio / Millar (Norwork)]]&lt;&gt;"",SUM(Datos[[#This Row],[Ingresos Totales (Norwork)]],-Datos[[#This Row],[Costos Totales (Norwork)]]),""),"")</f>
        <v/>
      </c>
      <c r="AD116" s="153" t="str">
        <f>IFERROR(Datos[[#This Row],[Beneficio (Norwork)]]/Datos[[#This Row],[Ingresos Totales (Norwork)]],"")</f>
        <v/>
      </c>
    </row>
    <row r="117" spans="2:30" x14ac:dyDescent="0.3">
      <c r="B117" s="145" t="s">
        <v>458</v>
      </c>
      <c r="C117" s="176" t="s">
        <v>885</v>
      </c>
      <c r="D117" s="176"/>
      <c r="E117" s="145"/>
      <c r="F117" s="153"/>
      <c r="G117" s="149">
        <v>8640</v>
      </c>
      <c r="H117" s="144"/>
      <c r="W117" s="148" t="s">
        <v>298</v>
      </c>
      <c r="X117" s="148" t="str">
        <f>IFERROR(Datos[[#This Row],[ARIBA PRECIO POR MILLAR (Dólares)]]/1000*Datos[[#This Row],[DEMANDA ANUAL]],"")</f>
        <v/>
      </c>
      <c r="Y117" s="153" t="str">
        <f>IFERROR((Datos[[#This Row],[INGRESO PRECIO ARIBA]]-Datos[[#This Row],[Costos Totales (Norwork)]])/Datos[[#This Row],[INGRESO PRECIO ARIBA]],"")</f>
        <v/>
      </c>
      <c r="Z117" s="148" t="str">
        <f>IFERROR(IF(Datos[[#This Row],[CON ETIQUETA]]="No",VALORHOJA(Datos[[#This Row],[NP]],$B$44),VALORHOJA(Datos[[#This Row],[NP]],$D$44)),"")</f>
        <v/>
      </c>
      <c r="AA117" s="148" t="str">
        <f>IFERROR(IF(Datos[[#This Row],[Precio / Millar (Norwork)]]&lt;&gt;"",PRODUCT(Datos[[#This Row],[Precio / Millar (Norwork)]]/1000,Datos[[#This Row],[DEMANDA ANUAL]]),""),"")</f>
        <v/>
      </c>
      <c r="AB11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17" s="148" t="str">
        <f>IFERROR(IF(Datos[[#This Row],[Precio / Millar (Norwork)]]&lt;&gt;"",SUM(Datos[[#This Row],[Ingresos Totales (Norwork)]],-Datos[[#This Row],[Costos Totales (Norwork)]]),""),"")</f>
        <v/>
      </c>
      <c r="AD117" s="153" t="str">
        <f>IFERROR(Datos[[#This Row],[Beneficio (Norwork)]]/Datos[[#This Row],[Ingresos Totales (Norwork)]],"")</f>
        <v/>
      </c>
    </row>
    <row r="118" spans="2:30" x14ac:dyDescent="0.3">
      <c r="B118" s="145" t="s">
        <v>498</v>
      </c>
      <c r="C118" s="145" t="s">
        <v>925</v>
      </c>
      <c r="D118" s="145"/>
      <c r="E118" s="145"/>
      <c r="G118" s="149">
        <v>8480</v>
      </c>
      <c r="H118" s="144"/>
      <c r="W118" s="148" t="s">
        <v>298</v>
      </c>
      <c r="X118" s="148" t="str">
        <f>IFERROR(Datos[[#This Row],[ARIBA PRECIO POR MILLAR (Dólares)]]/1000*Datos[[#This Row],[DEMANDA ANUAL]],"")</f>
        <v/>
      </c>
      <c r="Y118" s="153" t="str">
        <f>IFERROR((Datos[[#This Row],[INGRESO PRECIO ARIBA]]-Datos[[#This Row],[Costos Totales (Norwork)]])/Datos[[#This Row],[INGRESO PRECIO ARIBA]],"")</f>
        <v/>
      </c>
      <c r="Z118" s="148" t="str">
        <f>IFERROR(IF(Datos[[#This Row],[CON ETIQUETA]]="No",VALORHOJA(Datos[[#This Row],[NP]],$B$44),VALORHOJA(Datos[[#This Row],[NP]],$D$44)),"")</f>
        <v/>
      </c>
      <c r="AA118" s="148" t="str">
        <f>IFERROR(IF(Datos[[#This Row],[Precio / Millar (Norwork)]]&lt;&gt;"",PRODUCT(Datos[[#This Row],[Precio / Millar (Norwork)]]/1000,Datos[[#This Row],[DEMANDA ANUAL]]),""),"")</f>
        <v/>
      </c>
      <c r="AB11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18" s="148" t="str">
        <f>IFERROR(IF(Datos[[#This Row],[Precio / Millar (Norwork)]]&lt;&gt;"",SUM(Datos[[#This Row],[Ingresos Totales (Norwork)]],-Datos[[#This Row],[Costos Totales (Norwork)]]),""),"")</f>
        <v/>
      </c>
      <c r="AD118" s="153" t="str">
        <f>IFERROR(Datos[[#This Row],[Beneficio (Norwork)]]/Datos[[#This Row],[Ingresos Totales (Norwork)]],"")</f>
        <v/>
      </c>
    </row>
    <row r="119" spans="2:30" x14ac:dyDescent="0.3">
      <c r="B119" s="145" t="s">
        <v>366</v>
      </c>
      <c r="C119" s="176" t="s">
        <v>795</v>
      </c>
      <c r="D119" s="176"/>
      <c r="E119" s="145"/>
      <c r="F119" s="148"/>
      <c r="G119" s="149">
        <v>8186</v>
      </c>
      <c r="H119" s="144"/>
      <c r="W119" s="148" t="s">
        <v>298</v>
      </c>
      <c r="X119" s="148" t="str">
        <f>IFERROR(Datos[[#This Row],[ARIBA PRECIO POR MILLAR (Dólares)]]/1000*Datos[[#This Row],[DEMANDA ANUAL]],"")</f>
        <v/>
      </c>
      <c r="Y119" s="153" t="str">
        <f>IFERROR((Datos[[#This Row],[INGRESO PRECIO ARIBA]]-Datos[[#This Row],[Costos Totales (Norwork)]])/Datos[[#This Row],[INGRESO PRECIO ARIBA]],"")</f>
        <v/>
      </c>
      <c r="Z119" s="148" t="str">
        <f>IFERROR(IF(Datos[[#This Row],[CON ETIQUETA]]="No",VALORHOJA(Datos[[#This Row],[NP]],$B$44),VALORHOJA(Datos[[#This Row],[NP]],$D$44)),"")</f>
        <v/>
      </c>
      <c r="AA119" s="148" t="str">
        <f>IFERROR(IF(Datos[[#This Row],[Precio / Millar (Norwork)]]&lt;&gt;"",PRODUCT(Datos[[#This Row],[Precio / Millar (Norwork)]]/1000,Datos[[#This Row],[DEMANDA ANUAL]]),""),"")</f>
        <v/>
      </c>
      <c r="AB11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19" s="148" t="str">
        <f>IFERROR(IF(Datos[[#This Row],[Precio / Millar (Norwork)]]&lt;&gt;"",SUM(Datos[[#This Row],[Ingresos Totales (Norwork)]],-Datos[[#This Row],[Costos Totales (Norwork)]]),""),"")</f>
        <v/>
      </c>
      <c r="AD119" s="153" t="str">
        <f>IFERROR(Datos[[#This Row],[Beneficio (Norwork)]]/Datos[[#This Row],[Ingresos Totales (Norwork)]],"")</f>
        <v/>
      </c>
    </row>
    <row r="120" spans="2:30" x14ac:dyDescent="0.3">
      <c r="B120" s="173" t="s">
        <v>279</v>
      </c>
      <c r="C120" s="175" t="s">
        <v>280</v>
      </c>
      <c r="D120" s="176" t="s">
        <v>1204</v>
      </c>
      <c r="E120" s="145">
        <v>2</v>
      </c>
      <c r="F120" s="142" t="s">
        <v>202</v>
      </c>
      <c r="G120" s="149">
        <v>8032</v>
      </c>
      <c r="H120" s="145" t="s">
        <v>202</v>
      </c>
      <c r="I120" s="142" t="s">
        <v>195</v>
      </c>
      <c r="J120" s="142" t="s">
        <v>207</v>
      </c>
      <c r="K120" s="142" t="s">
        <v>203</v>
      </c>
      <c r="L120" s="142">
        <v>1</v>
      </c>
      <c r="M120" s="142">
        <v>2</v>
      </c>
      <c r="N120" s="142">
        <v>80</v>
      </c>
      <c r="O120" s="142" t="s">
        <v>195</v>
      </c>
      <c r="P120" s="142" t="s">
        <v>198</v>
      </c>
      <c r="Q120" s="142" t="s">
        <v>199</v>
      </c>
      <c r="R120" s="142">
        <v>3</v>
      </c>
      <c r="S120" s="145"/>
      <c r="T120" s="142" t="s">
        <v>326</v>
      </c>
      <c r="U120" s="142">
        <v>10</v>
      </c>
      <c r="V120" s="145"/>
      <c r="W120" s="148">
        <v>1000</v>
      </c>
      <c r="X120" s="148">
        <f>IFERROR(Datos[[#This Row],[ARIBA PRECIO POR MILLAR (Dólares)]]/1000*Datos[[#This Row],[DEMANDA ANUAL]],"")</f>
        <v>8032</v>
      </c>
      <c r="Y120" s="153">
        <f>IFERROR((Datos[[#This Row],[INGRESO PRECIO ARIBA]]-Datos[[#This Row],[Costos Totales (Norwork)]])/Datos[[#This Row],[INGRESO PRECIO ARIBA]],"")</f>
        <v>0.29462584250784135</v>
      </c>
      <c r="Z120" s="148">
        <f>IFERROR(IF(Datos[[#This Row],[CON ETIQUETA]]="No",VALORHOJA(Datos[[#This Row],[NP]],$B$44),VALORHOJA(Datos[[#This Row],[NP]],$D$44)),"")</f>
        <v>1007.6773678459409</v>
      </c>
      <c r="AA120" s="148">
        <f>IFERROR(IF(Datos[[#This Row],[Precio / Millar (Norwork)]]&lt;&gt;"",PRODUCT(Datos[[#This Row],[Precio / Millar (Norwork)]]/1000,Datos[[#This Row],[DEMANDA ANUAL]]),""),"")</f>
        <v>8093.664618538598</v>
      </c>
      <c r="AB120" s="155">
        <f>IFERROR(IF(Datos[[#This Row],[CON ETIQUETA]]="No",VALORHOJA(Datos[[#This Row],[NP]],$B$63)/VALORHOJA(Datos[[#This Row],[NP]],$B$42),VALORHOJA(Datos[[#This Row],[NP]],$D$63)/VALORHOJA(Datos[[#This Row],[NP]],$D$42)),"")</f>
        <v>5665.5652329770182</v>
      </c>
      <c r="AC120" s="148">
        <f>IFERROR(IF(Datos[[#This Row],[Precio / Millar (Norwork)]]&lt;&gt;"",SUM(Datos[[#This Row],[Ingresos Totales (Norwork)]],-Datos[[#This Row],[Costos Totales (Norwork)]]),""),"")</f>
        <v>2428.0993855615798</v>
      </c>
      <c r="AD120" s="153">
        <f>IFERROR(Datos[[#This Row],[Beneficio (Norwork)]]/Datos[[#This Row],[Ingresos Totales (Norwork)]],"")</f>
        <v>0.30000000000000004</v>
      </c>
    </row>
    <row r="121" spans="2:30" x14ac:dyDescent="0.3">
      <c r="B121" s="145" t="s">
        <v>392</v>
      </c>
      <c r="C121" s="176" t="s">
        <v>820</v>
      </c>
      <c r="D121" s="176"/>
      <c r="E121" s="145"/>
      <c r="F121" s="148"/>
      <c r="G121" s="149">
        <v>7968</v>
      </c>
      <c r="H121" s="144"/>
      <c r="W121" s="148" t="s">
        <v>298</v>
      </c>
      <c r="X121" s="148" t="str">
        <f>IFERROR(Datos[[#This Row],[ARIBA PRECIO POR MILLAR (Dólares)]]/1000*Datos[[#This Row],[DEMANDA ANUAL]],"")</f>
        <v/>
      </c>
      <c r="Y121" s="153" t="str">
        <f>IFERROR((Datos[[#This Row],[INGRESO PRECIO ARIBA]]-Datos[[#This Row],[Costos Totales (Norwork)]])/Datos[[#This Row],[INGRESO PRECIO ARIBA]],"")</f>
        <v/>
      </c>
      <c r="Z121" s="148" t="str">
        <f>IFERROR(IF(Datos[[#This Row],[CON ETIQUETA]]="No",VALORHOJA(Datos[[#This Row],[NP]],$B$44),VALORHOJA(Datos[[#This Row],[NP]],$D$44)),"")</f>
        <v/>
      </c>
      <c r="AA121" s="148" t="str">
        <f>IFERROR(IF(Datos[[#This Row],[Precio / Millar (Norwork)]]&lt;&gt;"",PRODUCT(Datos[[#This Row],[Precio / Millar (Norwork)]]/1000,Datos[[#This Row],[DEMANDA ANUAL]]),""),"")</f>
        <v/>
      </c>
      <c r="AB12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21" s="148" t="str">
        <f>IFERROR(IF(Datos[[#This Row],[Precio / Millar (Norwork)]]&lt;&gt;"",SUM(Datos[[#This Row],[Ingresos Totales (Norwork)]],-Datos[[#This Row],[Costos Totales (Norwork)]]),""),"")</f>
        <v/>
      </c>
      <c r="AD121" s="153" t="str">
        <f>IFERROR(Datos[[#This Row],[Beneficio (Norwork)]]/Datos[[#This Row],[Ingresos Totales (Norwork)]],"")</f>
        <v/>
      </c>
    </row>
    <row r="122" spans="2:30" x14ac:dyDescent="0.3">
      <c r="B122" s="154" t="s">
        <v>283</v>
      </c>
      <c r="C122" s="145" t="s">
        <v>284</v>
      </c>
      <c r="D122" s="145" t="s">
        <v>1210</v>
      </c>
      <c r="E122" s="145">
        <v>2</v>
      </c>
      <c r="F122" s="142" t="s">
        <v>202</v>
      </c>
      <c r="G122" s="149">
        <v>7665</v>
      </c>
      <c r="H122" s="142" t="s">
        <v>202</v>
      </c>
      <c r="I122" s="142" t="s">
        <v>202</v>
      </c>
      <c r="J122" s="142" t="s">
        <v>216</v>
      </c>
      <c r="K122" s="142" t="s">
        <v>203</v>
      </c>
      <c r="L122" s="142">
        <v>4</v>
      </c>
      <c r="M122" s="142">
        <v>2</v>
      </c>
      <c r="N122" s="142">
        <v>2</v>
      </c>
      <c r="O122" s="142" t="s">
        <v>202</v>
      </c>
      <c r="P122" s="142" t="s">
        <v>217</v>
      </c>
      <c r="S122" s="142" t="s">
        <v>195</v>
      </c>
      <c r="T122" s="142" t="s">
        <v>328</v>
      </c>
      <c r="U122" s="142">
        <v>1</v>
      </c>
      <c r="W122" s="148">
        <v>1200</v>
      </c>
      <c r="X122" s="148">
        <f>IFERROR(Datos[[#This Row],[ARIBA PRECIO POR MILLAR (Dólares)]]/1000*Datos[[#This Row],[DEMANDA ANUAL]],"")</f>
        <v>9198</v>
      </c>
      <c r="Y122" s="153">
        <f>IFERROR((Datos[[#This Row],[INGRESO PRECIO ARIBA]]-Datos[[#This Row],[Costos Totales (Norwork)]])/Datos[[#This Row],[INGRESO PRECIO ARIBA]],"")</f>
        <v>0.17193453909173784</v>
      </c>
      <c r="Z122" s="148">
        <f>IFERROR(IF(Datos[[#This Row],[CON ETIQUETA]]="No",VALORHOJA(Datos[[#This Row],[NP]],$B$44),VALORHOJA(Datos[[#This Row],[NP]],$D$44)),"")</f>
        <v>2022.5315682361095</v>
      </c>
      <c r="AA122" s="148">
        <f>IFERROR(IF(Datos[[#This Row],[Precio / Millar (Norwork)]]&lt;&gt;"",PRODUCT(Datos[[#This Row],[Precio / Millar (Norwork)]]/1000,Datos[[#This Row],[DEMANDA ANUAL]]),""),"")</f>
        <v>15502.704470529779</v>
      </c>
      <c r="AB122" s="155">
        <f>IFERROR(IF(Datos[[#This Row],[CON ETIQUETA]]="No",VALORHOJA(Datos[[#This Row],[NP]],$B$63)/VALORHOJA(Datos[[#This Row],[NP]],$B$42),VALORHOJA(Datos[[#This Row],[NP]],$D$63)/VALORHOJA(Datos[[#This Row],[NP]],$D$42)),"")</f>
        <v>7616.5461094341954</v>
      </c>
      <c r="AC122" s="148">
        <f>IFERROR(IF(Datos[[#This Row],[Precio / Millar (Norwork)]]&lt;&gt;"",SUM(Datos[[#This Row],[Ingresos Totales (Norwork)]],-Datos[[#This Row],[Costos Totales (Norwork)]]),""),"")</f>
        <v>7886.158361095584</v>
      </c>
      <c r="AD122" s="153">
        <f>IFERROR(Datos[[#This Row],[Beneficio (Norwork)]]/Datos[[#This Row],[Ingresos Totales (Norwork)]],"")</f>
        <v>0.5086956521739131</v>
      </c>
    </row>
    <row r="123" spans="2:30" x14ac:dyDescent="0.3">
      <c r="B123" s="145" t="s">
        <v>526</v>
      </c>
      <c r="C123" s="145" t="s">
        <v>952</v>
      </c>
      <c r="D123" s="145"/>
      <c r="E123" s="145"/>
      <c r="G123" s="149">
        <v>7631</v>
      </c>
      <c r="H123" s="144"/>
      <c r="W123" s="148" t="s">
        <v>298</v>
      </c>
      <c r="X123" s="148" t="str">
        <f>IFERROR(Datos[[#This Row],[ARIBA PRECIO POR MILLAR (Dólares)]]/1000*Datos[[#This Row],[DEMANDA ANUAL]],"")</f>
        <v/>
      </c>
      <c r="Y123" s="153" t="str">
        <f>IFERROR((Datos[[#This Row],[INGRESO PRECIO ARIBA]]-Datos[[#This Row],[Costos Totales (Norwork)]])/Datos[[#This Row],[INGRESO PRECIO ARIBA]],"")</f>
        <v/>
      </c>
      <c r="Z123" s="148" t="str">
        <f>IFERROR(IF(Datos[[#This Row],[CON ETIQUETA]]="No",VALORHOJA(Datos[[#This Row],[NP]],$B$44),VALORHOJA(Datos[[#This Row],[NP]],$D$44)),"")</f>
        <v/>
      </c>
      <c r="AA123" s="148" t="str">
        <f>IFERROR(IF(Datos[[#This Row],[Precio / Millar (Norwork)]]&lt;&gt;"",PRODUCT(Datos[[#This Row],[Precio / Millar (Norwork)]]/1000,Datos[[#This Row],[DEMANDA ANUAL]]),""),"")</f>
        <v/>
      </c>
      <c r="AB12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23" s="148" t="str">
        <f>IFERROR(IF(Datos[[#This Row],[Precio / Millar (Norwork)]]&lt;&gt;"",SUM(Datos[[#This Row],[Ingresos Totales (Norwork)]],-Datos[[#This Row],[Costos Totales (Norwork)]]),""),"")</f>
        <v/>
      </c>
      <c r="AD123" s="153" t="str">
        <f>IFERROR(Datos[[#This Row],[Beneficio (Norwork)]]/Datos[[#This Row],[Ingresos Totales (Norwork)]],"")</f>
        <v/>
      </c>
    </row>
    <row r="124" spans="2:30" x14ac:dyDescent="0.3">
      <c r="B124" s="145" t="s">
        <v>395</v>
      </c>
      <c r="C124" s="176" t="s">
        <v>823</v>
      </c>
      <c r="D124" s="176"/>
      <c r="E124" s="145"/>
      <c r="F124" s="148"/>
      <c r="G124" s="149">
        <v>7566</v>
      </c>
      <c r="H124" s="144"/>
      <c r="W124" s="148" t="s">
        <v>298</v>
      </c>
      <c r="X124" s="148" t="str">
        <f>IFERROR(Datos[[#This Row],[ARIBA PRECIO POR MILLAR (Dólares)]]/1000*Datos[[#This Row],[DEMANDA ANUAL]],"")</f>
        <v/>
      </c>
      <c r="Y124" s="153" t="str">
        <f>IFERROR((Datos[[#This Row],[INGRESO PRECIO ARIBA]]-Datos[[#This Row],[Costos Totales (Norwork)]])/Datos[[#This Row],[INGRESO PRECIO ARIBA]],"")</f>
        <v/>
      </c>
      <c r="Z124" s="148" t="str">
        <f>IFERROR(IF(Datos[[#This Row],[CON ETIQUETA]]="No",VALORHOJA(Datos[[#This Row],[NP]],$B$44),VALORHOJA(Datos[[#This Row],[NP]],$D$44)),"")</f>
        <v/>
      </c>
      <c r="AA124" s="148" t="str">
        <f>IFERROR(IF(Datos[[#This Row],[Precio / Millar (Norwork)]]&lt;&gt;"",PRODUCT(Datos[[#This Row],[Precio / Millar (Norwork)]]/1000,Datos[[#This Row],[DEMANDA ANUAL]]),""),"")</f>
        <v/>
      </c>
      <c r="AB12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24" s="148" t="str">
        <f>IFERROR(IF(Datos[[#This Row],[Precio / Millar (Norwork)]]&lt;&gt;"",SUM(Datos[[#This Row],[Ingresos Totales (Norwork)]],-Datos[[#This Row],[Costos Totales (Norwork)]]),""),"")</f>
        <v/>
      </c>
      <c r="AD124" s="153" t="str">
        <f>IFERROR(Datos[[#This Row],[Beneficio (Norwork)]]/Datos[[#This Row],[Ingresos Totales (Norwork)]],"")</f>
        <v/>
      </c>
    </row>
    <row r="125" spans="2:30" x14ac:dyDescent="0.3">
      <c r="B125" s="145" t="s">
        <v>396</v>
      </c>
      <c r="C125" s="176" t="s">
        <v>824</v>
      </c>
      <c r="D125" s="176"/>
      <c r="E125" s="145"/>
      <c r="F125" s="148"/>
      <c r="G125" s="149">
        <v>7566</v>
      </c>
      <c r="H125" s="144"/>
      <c r="W125" s="148" t="s">
        <v>298</v>
      </c>
      <c r="X125" s="148" t="str">
        <f>IFERROR(Datos[[#This Row],[ARIBA PRECIO POR MILLAR (Dólares)]]/1000*Datos[[#This Row],[DEMANDA ANUAL]],"")</f>
        <v/>
      </c>
      <c r="Y125" s="153" t="str">
        <f>IFERROR((Datos[[#This Row],[INGRESO PRECIO ARIBA]]-Datos[[#This Row],[Costos Totales (Norwork)]])/Datos[[#This Row],[INGRESO PRECIO ARIBA]],"")</f>
        <v/>
      </c>
      <c r="Z125" s="148" t="str">
        <f>IFERROR(IF(Datos[[#This Row],[CON ETIQUETA]]="No",VALORHOJA(Datos[[#This Row],[NP]],$B$44),VALORHOJA(Datos[[#This Row],[NP]],$D$44)),"")</f>
        <v/>
      </c>
      <c r="AA125" s="148" t="str">
        <f>IFERROR(IF(Datos[[#This Row],[Precio / Millar (Norwork)]]&lt;&gt;"",PRODUCT(Datos[[#This Row],[Precio / Millar (Norwork)]]/1000,Datos[[#This Row],[DEMANDA ANUAL]]),""),"")</f>
        <v/>
      </c>
      <c r="AB12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25" s="148" t="str">
        <f>IFERROR(IF(Datos[[#This Row],[Precio / Millar (Norwork)]]&lt;&gt;"",SUM(Datos[[#This Row],[Ingresos Totales (Norwork)]],-Datos[[#This Row],[Costos Totales (Norwork)]]),""),"")</f>
        <v/>
      </c>
      <c r="AD125" s="153" t="str">
        <f>IFERROR(Datos[[#This Row],[Beneficio (Norwork)]]/Datos[[#This Row],[Ingresos Totales (Norwork)]],"")</f>
        <v/>
      </c>
    </row>
    <row r="126" spans="2:30" x14ac:dyDescent="0.3">
      <c r="B126" s="154" t="s">
        <v>241</v>
      </c>
      <c r="C126" s="145" t="s">
        <v>242</v>
      </c>
      <c r="D126" s="145" t="s">
        <v>1210</v>
      </c>
      <c r="E126" s="145">
        <v>1</v>
      </c>
      <c r="F126" s="142" t="s">
        <v>202</v>
      </c>
      <c r="G126" s="149">
        <v>7552</v>
      </c>
      <c r="H126" s="142" t="s">
        <v>202</v>
      </c>
      <c r="I126" s="142" t="s">
        <v>202</v>
      </c>
      <c r="J126" s="142" t="s">
        <v>216</v>
      </c>
      <c r="K126" s="142" t="s">
        <v>203</v>
      </c>
      <c r="L126" s="142">
        <v>4</v>
      </c>
      <c r="M126" s="142">
        <v>2</v>
      </c>
      <c r="N126" s="142">
        <v>2</v>
      </c>
      <c r="O126" s="142" t="s">
        <v>202</v>
      </c>
      <c r="P126" s="142" t="s">
        <v>217</v>
      </c>
      <c r="S126" s="142" t="s">
        <v>195</v>
      </c>
      <c r="T126" s="142" t="s">
        <v>328</v>
      </c>
      <c r="U126" s="142">
        <v>1</v>
      </c>
      <c r="W126" s="148">
        <v>850</v>
      </c>
      <c r="X126" s="148">
        <f>IFERROR(Datos[[#This Row],[ARIBA PRECIO POR MILLAR (Dólares)]]/1000*Datos[[#This Row],[DEMANDA ANUAL]],"")</f>
        <v>6419.2</v>
      </c>
      <c r="Y126" s="153">
        <f>IFERROR((Datos[[#This Row],[INGRESO PRECIO ARIBA]]-Datos[[#This Row],[Costos Totales (Norwork)]])/Datos[[#This Row],[INGRESO PRECIO ARIBA]],"")</f>
        <v>-0.1531290294018415</v>
      </c>
      <c r="Z126" s="148">
        <f>IFERROR(IF(Datos[[#This Row],[CON ETIQUETA]]="No",VALORHOJA(Datos[[#This Row],[NP]],$B$44),VALORHOJA(Datos[[#This Row],[NP]],$D$44)),"")</f>
        <v>1995.0152676819471</v>
      </c>
      <c r="AA126" s="148">
        <f>IFERROR(IF(Datos[[#This Row],[Precio / Millar (Norwork)]]&lt;&gt;"",PRODUCT(Datos[[#This Row],[Precio / Millar (Norwork)]]/1000,Datos[[#This Row],[DEMANDA ANUAL]]),""),"")</f>
        <v>15066.355301534064</v>
      </c>
      <c r="AB126" s="155">
        <f>IFERROR(IF(Datos[[#This Row],[CON ETIQUETA]]="No",VALORHOJA(Datos[[#This Row],[NP]],$B$63)/VALORHOJA(Datos[[#This Row],[NP]],$B$42),VALORHOJA(Datos[[#This Row],[NP]],$D$63)/VALORHOJA(Datos[[#This Row],[NP]],$D$42)),"")</f>
        <v>7402.1658655363008</v>
      </c>
      <c r="AC126" s="148">
        <f>IFERROR(IF(Datos[[#This Row],[Precio / Millar (Norwork)]]&lt;&gt;"",SUM(Datos[[#This Row],[Ingresos Totales (Norwork)]],-Datos[[#This Row],[Costos Totales (Norwork)]]),""),"")</f>
        <v>7664.1894359977632</v>
      </c>
      <c r="AD126" s="153">
        <f>IFERROR(Datos[[#This Row],[Beneficio (Norwork)]]/Datos[[#This Row],[Ingresos Totales (Norwork)]],"")</f>
        <v>0.5086956521739131</v>
      </c>
    </row>
    <row r="127" spans="2:30" x14ac:dyDescent="0.3">
      <c r="B127" s="145" t="s">
        <v>398</v>
      </c>
      <c r="C127" s="176" t="s">
        <v>826</v>
      </c>
      <c r="D127" s="176"/>
      <c r="E127" s="145"/>
      <c r="F127" s="148"/>
      <c r="G127" s="149">
        <v>7552</v>
      </c>
      <c r="H127" s="144"/>
      <c r="W127" s="148" t="s">
        <v>298</v>
      </c>
      <c r="X127" s="148" t="str">
        <f>IFERROR(Datos[[#This Row],[ARIBA PRECIO POR MILLAR (Dólares)]]/1000*Datos[[#This Row],[DEMANDA ANUAL]],"")</f>
        <v/>
      </c>
      <c r="Y127" s="153" t="str">
        <f>IFERROR((Datos[[#This Row],[INGRESO PRECIO ARIBA]]-Datos[[#This Row],[Costos Totales (Norwork)]])/Datos[[#This Row],[INGRESO PRECIO ARIBA]],"")</f>
        <v/>
      </c>
      <c r="Z127" s="148" t="str">
        <f>IFERROR(IF(Datos[[#This Row],[CON ETIQUETA]]="No",VALORHOJA(Datos[[#This Row],[NP]],$B$44),VALORHOJA(Datos[[#This Row],[NP]],$D$44)),"")</f>
        <v/>
      </c>
      <c r="AA127" s="148" t="str">
        <f>IFERROR(IF(Datos[[#This Row],[Precio / Millar (Norwork)]]&lt;&gt;"",PRODUCT(Datos[[#This Row],[Precio / Millar (Norwork)]]/1000,Datos[[#This Row],[DEMANDA ANUAL]]),""),"")</f>
        <v/>
      </c>
      <c r="AB12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27" s="148" t="str">
        <f>IFERROR(IF(Datos[[#This Row],[Precio / Millar (Norwork)]]&lt;&gt;"",SUM(Datos[[#This Row],[Ingresos Totales (Norwork)]],-Datos[[#This Row],[Costos Totales (Norwork)]]),""),"")</f>
        <v/>
      </c>
      <c r="AD127" s="153" t="str">
        <f>IFERROR(Datos[[#This Row],[Beneficio (Norwork)]]/Datos[[#This Row],[Ingresos Totales (Norwork)]],"")</f>
        <v/>
      </c>
    </row>
    <row r="128" spans="2:30" x14ac:dyDescent="0.3">
      <c r="B128" s="145" t="s">
        <v>399</v>
      </c>
      <c r="C128" s="176" t="s">
        <v>827</v>
      </c>
      <c r="D128" s="176"/>
      <c r="E128" s="145"/>
      <c r="F128" s="148"/>
      <c r="G128" s="149">
        <v>7552</v>
      </c>
      <c r="H128" s="144"/>
      <c r="W128" s="148" t="s">
        <v>298</v>
      </c>
      <c r="X128" s="148" t="str">
        <f>IFERROR(Datos[[#This Row],[ARIBA PRECIO POR MILLAR (Dólares)]]/1000*Datos[[#This Row],[DEMANDA ANUAL]],"")</f>
        <v/>
      </c>
      <c r="Y128" s="153" t="str">
        <f>IFERROR((Datos[[#This Row],[INGRESO PRECIO ARIBA]]-Datos[[#This Row],[Costos Totales (Norwork)]])/Datos[[#This Row],[INGRESO PRECIO ARIBA]],"")</f>
        <v/>
      </c>
      <c r="Z128" s="148" t="str">
        <f>IFERROR(IF(Datos[[#This Row],[CON ETIQUETA]]="No",VALORHOJA(Datos[[#This Row],[NP]],$B$44),VALORHOJA(Datos[[#This Row],[NP]],$D$44)),"")</f>
        <v/>
      </c>
      <c r="AA128" s="148" t="str">
        <f>IFERROR(IF(Datos[[#This Row],[Precio / Millar (Norwork)]]&lt;&gt;"",PRODUCT(Datos[[#This Row],[Precio / Millar (Norwork)]]/1000,Datos[[#This Row],[DEMANDA ANUAL]]),""),"")</f>
        <v/>
      </c>
      <c r="AB12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28" s="148" t="str">
        <f>IFERROR(IF(Datos[[#This Row],[Precio / Millar (Norwork)]]&lt;&gt;"",SUM(Datos[[#This Row],[Ingresos Totales (Norwork)]],-Datos[[#This Row],[Costos Totales (Norwork)]]),""),"")</f>
        <v/>
      </c>
      <c r="AD128" s="153" t="str">
        <f>IFERROR(Datos[[#This Row],[Beneficio (Norwork)]]/Datos[[#This Row],[Ingresos Totales (Norwork)]],"")</f>
        <v/>
      </c>
    </row>
    <row r="129" spans="2:30" x14ac:dyDescent="0.3">
      <c r="B129" s="145" t="s">
        <v>375</v>
      </c>
      <c r="C129" s="176" t="s">
        <v>804</v>
      </c>
      <c r="D129" s="176"/>
      <c r="E129" s="145"/>
      <c r="F129" s="148"/>
      <c r="G129" s="149">
        <v>7463</v>
      </c>
      <c r="H129" s="144"/>
      <c r="W129" s="148" t="s">
        <v>298</v>
      </c>
      <c r="X129" s="148" t="str">
        <f>IFERROR(Datos[[#This Row],[ARIBA PRECIO POR MILLAR (Dólares)]]/1000*Datos[[#This Row],[DEMANDA ANUAL]],"")</f>
        <v/>
      </c>
      <c r="Y129" s="153" t="str">
        <f>IFERROR((Datos[[#This Row],[INGRESO PRECIO ARIBA]]-Datos[[#This Row],[Costos Totales (Norwork)]])/Datos[[#This Row],[INGRESO PRECIO ARIBA]],"")</f>
        <v/>
      </c>
      <c r="Z129" s="148" t="str">
        <f>IFERROR(IF(Datos[[#This Row],[CON ETIQUETA]]="No",VALORHOJA(Datos[[#This Row],[NP]],$B$44),VALORHOJA(Datos[[#This Row],[NP]],$D$44)),"")</f>
        <v/>
      </c>
      <c r="AA129" s="148" t="str">
        <f>IFERROR(IF(Datos[[#This Row],[Precio / Millar (Norwork)]]&lt;&gt;"",PRODUCT(Datos[[#This Row],[Precio / Millar (Norwork)]]/1000,Datos[[#This Row],[DEMANDA ANUAL]]),""),"")</f>
        <v/>
      </c>
      <c r="AB12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29" s="148" t="str">
        <f>IFERROR(IF(Datos[[#This Row],[Precio / Millar (Norwork)]]&lt;&gt;"",SUM(Datos[[#This Row],[Ingresos Totales (Norwork)]],-Datos[[#This Row],[Costos Totales (Norwork)]]),""),"")</f>
        <v/>
      </c>
      <c r="AD129" s="153" t="str">
        <f>IFERROR(Datos[[#This Row],[Beneficio (Norwork)]]/Datos[[#This Row],[Ingresos Totales (Norwork)]],"")</f>
        <v/>
      </c>
    </row>
    <row r="130" spans="2:30" x14ac:dyDescent="0.3">
      <c r="B130" s="171" t="s">
        <v>204</v>
      </c>
      <c r="C130" s="175" t="s">
        <v>205</v>
      </c>
      <c r="D130" s="175"/>
      <c r="E130" s="145"/>
      <c r="F130" s="142" t="s">
        <v>202</v>
      </c>
      <c r="G130" s="149">
        <v>7446</v>
      </c>
      <c r="H130" s="145" t="s">
        <v>202</v>
      </c>
      <c r="I130" s="145" t="s">
        <v>195</v>
      </c>
      <c r="J130" s="145" t="s">
        <v>196</v>
      </c>
      <c r="K130" s="145" t="s">
        <v>197</v>
      </c>
      <c r="L130" s="145">
        <v>1</v>
      </c>
      <c r="M130" s="145">
        <v>2</v>
      </c>
      <c r="N130" s="145">
        <v>52</v>
      </c>
      <c r="O130" s="145" t="s">
        <v>195</v>
      </c>
      <c r="P130" s="145" t="s">
        <v>198</v>
      </c>
      <c r="Q130" s="145" t="s">
        <v>199</v>
      </c>
      <c r="R130" s="145">
        <v>1</v>
      </c>
      <c r="T130" s="142" t="s">
        <v>327</v>
      </c>
      <c r="U130" s="142">
        <v>3</v>
      </c>
      <c r="W130" s="148">
        <v>250</v>
      </c>
      <c r="X130" s="148">
        <f>IFERROR(Datos[[#This Row],[ARIBA PRECIO POR MILLAR (Dólares)]]/1000*Datos[[#This Row],[DEMANDA ANUAL]],"")</f>
        <v>1861.5</v>
      </c>
      <c r="Y130" s="153">
        <f>IFERROR((Datos[[#This Row],[INGRESO PRECIO ARIBA]]-Datos[[#This Row],[Costos Totales (Norwork)]])/Datos[[#This Row],[INGRESO PRECIO ARIBA]],"")</f>
        <v>-27.130122369322528</v>
      </c>
      <c r="Z130" s="148">
        <f>IFERROR(IF(Datos[[#This Row],[CON ETIQUETA]]="No",VALORHOJA(Datos[[#This Row],[NP]],$B$44),VALORHOJA(Datos[[#This Row],[NP]],$D$44)),"")</f>
        <v>792.89132636622389</v>
      </c>
      <c r="AA130" s="148">
        <f>IFERROR(IF(Datos[[#This Row],[Precio / Millar (Norwork)]]&lt;&gt;"",PRODUCT(Datos[[#This Row],[Precio / Millar (Norwork)]]/1000,Datos[[#This Row],[DEMANDA ANUAL]]),""),"")</f>
        <v>5903.8688161229038</v>
      </c>
      <c r="AB130" s="155">
        <f>IFERROR(IF(Datos[[#This Row],[CON ETIQUETA]]="No",VALORHOJA(Datos[[#This Row],[NP]],$B$63)/VALORHOJA(Datos[[#This Row],[NP]],$B$42),VALORHOJA(Datos[[#This Row],[NP]],$D$63)/VALORHOJA(Datos[[#This Row],[NP]],$D$42)),"")</f>
        <v>52364.222790493885</v>
      </c>
      <c r="AC130" s="148">
        <f>IFERROR(IF(Datos[[#This Row],[Precio / Millar (Norwork)]]&lt;&gt;"",SUM(Datos[[#This Row],[Ingresos Totales (Norwork)]],-Datos[[#This Row],[Costos Totales (Norwork)]]),""),"")</f>
        <v>-46460.353974370984</v>
      </c>
      <c r="AD130" s="153">
        <f>IFERROR(Datos[[#This Row],[Beneficio (Norwork)]]/Datos[[#This Row],[Ingresos Totales (Norwork)]],"")</f>
        <v>-7.8694760031747624</v>
      </c>
    </row>
    <row r="131" spans="2:30" x14ac:dyDescent="0.3">
      <c r="B131" s="145" t="s">
        <v>374</v>
      </c>
      <c r="C131" s="176" t="s">
        <v>803</v>
      </c>
      <c r="D131" s="176"/>
      <c r="E131" s="145"/>
      <c r="F131" s="148"/>
      <c r="G131" s="149">
        <v>7405</v>
      </c>
      <c r="H131" s="144"/>
      <c r="W131" s="148" t="s">
        <v>298</v>
      </c>
      <c r="X131" s="148" t="str">
        <f>IFERROR(Datos[[#This Row],[ARIBA PRECIO POR MILLAR (Dólares)]]/1000*Datos[[#This Row],[DEMANDA ANUAL]],"")</f>
        <v/>
      </c>
      <c r="Y131" s="153" t="str">
        <f>IFERROR((Datos[[#This Row],[INGRESO PRECIO ARIBA]]-Datos[[#This Row],[Costos Totales (Norwork)]])/Datos[[#This Row],[INGRESO PRECIO ARIBA]],"")</f>
        <v/>
      </c>
      <c r="Z131" s="148" t="str">
        <f>IFERROR(IF(Datos[[#This Row],[CON ETIQUETA]]="No",VALORHOJA(Datos[[#This Row],[NP]],$B$44),VALORHOJA(Datos[[#This Row],[NP]],$D$44)),"")</f>
        <v/>
      </c>
      <c r="AA131" s="148" t="str">
        <f>IFERROR(IF(Datos[[#This Row],[Precio / Millar (Norwork)]]&lt;&gt;"",PRODUCT(Datos[[#This Row],[Precio / Millar (Norwork)]]/1000,Datos[[#This Row],[DEMANDA ANUAL]]),""),"")</f>
        <v/>
      </c>
      <c r="AB13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31" s="148" t="str">
        <f>IFERROR(IF(Datos[[#This Row],[Precio / Millar (Norwork)]]&lt;&gt;"",SUM(Datos[[#This Row],[Ingresos Totales (Norwork)]],-Datos[[#This Row],[Costos Totales (Norwork)]]),""),"")</f>
        <v/>
      </c>
      <c r="AD131" s="153" t="str">
        <f>IFERROR(Datos[[#This Row],[Beneficio (Norwork)]]/Datos[[#This Row],[Ingresos Totales (Norwork)]],"")</f>
        <v/>
      </c>
    </row>
    <row r="132" spans="2:30" x14ac:dyDescent="0.3">
      <c r="B132" s="154" t="s">
        <v>247</v>
      </c>
      <c r="C132" s="145" t="s">
        <v>248</v>
      </c>
      <c r="D132" s="145" t="s">
        <v>1210</v>
      </c>
      <c r="E132" s="145">
        <v>1</v>
      </c>
      <c r="F132" s="142" t="s">
        <v>202</v>
      </c>
      <c r="G132" s="149">
        <v>7364</v>
      </c>
      <c r="H132" s="142" t="s">
        <v>202</v>
      </c>
      <c r="I132" s="142" t="s">
        <v>202</v>
      </c>
      <c r="J132" s="142" t="s">
        <v>216</v>
      </c>
      <c r="K132" s="142" t="s">
        <v>203</v>
      </c>
      <c r="L132" s="142">
        <v>4</v>
      </c>
      <c r="M132" s="142">
        <v>2</v>
      </c>
      <c r="N132" s="142">
        <v>2</v>
      </c>
      <c r="O132" s="142" t="s">
        <v>202</v>
      </c>
      <c r="P132" s="142" t="s">
        <v>217</v>
      </c>
      <c r="S132" s="142" t="s">
        <v>195</v>
      </c>
      <c r="T132" s="142" t="s">
        <v>328</v>
      </c>
      <c r="U132" s="142">
        <v>1</v>
      </c>
      <c r="W132" s="148">
        <v>2200</v>
      </c>
      <c r="X132" s="148">
        <f>IFERROR(Datos[[#This Row],[ARIBA PRECIO POR MILLAR (Dólares)]]/1000*Datos[[#This Row],[DEMANDA ANUAL]],"")</f>
        <v>16200.800000000001</v>
      </c>
      <c r="Y132" s="153">
        <f>IFERROR((Datos[[#This Row],[INGRESO PRECIO ARIBA]]-Datos[[#This Row],[Costos Totales (Norwork)]])/Datos[[#This Row],[INGRESO PRECIO ARIBA]],"")</f>
        <v>0.55277206690083924</v>
      </c>
      <c r="Z132" s="148">
        <f>IFERROR(IF(Datos[[#This Row],[CON ETIQUETA]]="No",VALORHOJA(Datos[[#This Row],[NP]],$B$44),VALORHOJA(Datos[[#This Row],[NP]],$D$44)),"")</f>
        <v>2002.6312756475693</v>
      </c>
      <c r="AA132" s="148">
        <f>IFERROR(IF(Datos[[#This Row],[Precio / Millar (Norwork)]]&lt;&gt;"",PRODUCT(Datos[[#This Row],[Precio / Millar (Norwork)]]/1000,Datos[[#This Row],[DEMANDA ANUAL]]),""),"")</f>
        <v>14747.3767138687</v>
      </c>
      <c r="AB132" s="155">
        <f>IFERROR(IF(Datos[[#This Row],[CON ETIQUETA]]="No",VALORHOJA(Datos[[#This Row],[NP]],$B$63)/VALORHOJA(Datos[[#This Row],[NP]],$B$42),VALORHOJA(Datos[[#This Row],[NP]],$D$63)/VALORHOJA(Datos[[#This Row],[NP]],$D$42)),"")</f>
        <v>7245.4502985528843</v>
      </c>
      <c r="AC132" s="148">
        <f>IFERROR(IF(Datos[[#This Row],[Precio / Millar (Norwork)]]&lt;&gt;"",SUM(Datos[[#This Row],[Ingresos Totales (Norwork)]],-Datos[[#This Row],[Costos Totales (Norwork)]]),""),"")</f>
        <v>7501.9264153158156</v>
      </c>
      <c r="AD132" s="153">
        <f>IFERROR(Datos[[#This Row],[Beneficio (Norwork)]]/Datos[[#This Row],[Ingresos Totales (Norwork)]],"")</f>
        <v>0.50869565217391299</v>
      </c>
    </row>
    <row r="133" spans="2:30" x14ac:dyDescent="0.3">
      <c r="B133" s="145" t="s">
        <v>506</v>
      </c>
      <c r="C133" s="177" t="s">
        <v>933</v>
      </c>
      <c r="D133" s="177"/>
      <c r="E133" s="145"/>
      <c r="G133" s="149">
        <v>7344</v>
      </c>
      <c r="H133" s="144"/>
      <c r="W133" s="148" t="s">
        <v>298</v>
      </c>
      <c r="X133" s="148" t="str">
        <f>IFERROR(Datos[[#This Row],[ARIBA PRECIO POR MILLAR (Dólares)]]/1000*Datos[[#This Row],[DEMANDA ANUAL]],"")</f>
        <v/>
      </c>
      <c r="Y133" s="153" t="str">
        <f>IFERROR((Datos[[#This Row],[INGRESO PRECIO ARIBA]]-Datos[[#This Row],[Costos Totales (Norwork)]])/Datos[[#This Row],[INGRESO PRECIO ARIBA]],"")</f>
        <v/>
      </c>
      <c r="Z133" s="148" t="str">
        <f>IFERROR(IF(Datos[[#This Row],[CON ETIQUETA]]="No",VALORHOJA(Datos[[#This Row],[NP]],$B$44),VALORHOJA(Datos[[#This Row],[NP]],$D$44)),"")</f>
        <v/>
      </c>
      <c r="AA133" s="148" t="str">
        <f>IFERROR(IF(Datos[[#This Row],[Precio / Millar (Norwork)]]&lt;&gt;"",PRODUCT(Datos[[#This Row],[Precio / Millar (Norwork)]]/1000,Datos[[#This Row],[DEMANDA ANUAL]]),""),"")</f>
        <v/>
      </c>
      <c r="AB13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33" s="148" t="str">
        <f>IFERROR(IF(Datos[[#This Row],[Precio / Millar (Norwork)]]&lt;&gt;"",SUM(Datos[[#This Row],[Ingresos Totales (Norwork)]],-Datos[[#This Row],[Costos Totales (Norwork)]]),""),"")</f>
        <v/>
      </c>
      <c r="AD133" s="153" t="str">
        <f>IFERROR(Datos[[#This Row],[Beneficio (Norwork)]]/Datos[[#This Row],[Ingresos Totales (Norwork)]],"")</f>
        <v/>
      </c>
    </row>
    <row r="134" spans="2:30" x14ac:dyDescent="0.3">
      <c r="B134" s="145" t="s">
        <v>490</v>
      </c>
      <c r="C134" s="145" t="s">
        <v>917</v>
      </c>
      <c r="D134" s="145"/>
      <c r="E134" s="145"/>
      <c r="G134" s="149">
        <v>7263</v>
      </c>
      <c r="H134" s="144"/>
      <c r="W134" s="148" t="s">
        <v>298</v>
      </c>
      <c r="X134" s="148" t="str">
        <f>IFERROR(Datos[[#This Row],[ARIBA PRECIO POR MILLAR (Dólares)]]/1000*Datos[[#This Row],[DEMANDA ANUAL]],"")</f>
        <v/>
      </c>
      <c r="Y134" s="153" t="str">
        <f>IFERROR((Datos[[#This Row],[INGRESO PRECIO ARIBA]]-Datos[[#This Row],[Costos Totales (Norwork)]])/Datos[[#This Row],[INGRESO PRECIO ARIBA]],"")</f>
        <v/>
      </c>
      <c r="Z134" s="148" t="str">
        <f>IFERROR(IF(Datos[[#This Row],[CON ETIQUETA]]="No",VALORHOJA(Datos[[#This Row],[NP]],$B$44),VALORHOJA(Datos[[#This Row],[NP]],$D$44)),"")</f>
        <v/>
      </c>
      <c r="AA134" s="148" t="str">
        <f>IFERROR(IF(Datos[[#This Row],[Precio / Millar (Norwork)]]&lt;&gt;"",PRODUCT(Datos[[#This Row],[Precio / Millar (Norwork)]]/1000,Datos[[#This Row],[DEMANDA ANUAL]]),""),"")</f>
        <v/>
      </c>
      <c r="AB13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34" s="148" t="str">
        <f>IFERROR(IF(Datos[[#This Row],[Precio / Millar (Norwork)]]&lt;&gt;"",SUM(Datos[[#This Row],[Ingresos Totales (Norwork)]],-Datos[[#This Row],[Costos Totales (Norwork)]]),""),"")</f>
        <v/>
      </c>
      <c r="AD134" s="153" t="str">
        <f>IFERROR(Datos[[#This Row],[Beneficio (Norwork)]]/Datos[[#This Row],[Ingresos Totales (Norwork)]],"")</f>
        <v/>
      </c>
    </row>
    <row r="135" spans="2:30" x14ac:dyDescent="0.3">
      <c r="B135" s="145" t="s">
        <v>485</v>
      </c>
      <c r="C135" s="145" t="s">
        <v>912</v>
      </c>
      <c r="D135" s="145" t="s">
        <v>1205</v>
      </c>
      <c r="E135" s="145">
        <v>1</v>
      </c>
      <c r="F135" s="142" t="s">
        <v>195</v>
      </c>
      <c r="G135" s="149">
        <v>7260</v>
      </c>
      <c r="H135" s="144"/>
      <c r="W135" s="148" t="s">
        <v>298</v>
      </c>
      <c r="X135" s="148" t="str">
        <f>IFERROR(Datos[[#This Row],[ARIBA PRECIO POR MILLAR (Dólares)]]/1000*Datos[[#This Row],[DEMANDA ANUAL]],"")</f>
        <v/>
      </c>
      <c r="Y135" s="153" t="str">
        <f>IFERROR((Datos[[#This Row],[INGRESO PRECIO ARIBA]]-Datos[[#This Row],[Costos Totales (Norwork)]])/Datos[[#This Row],[INGRESO PRECIO ARIBA]],"")</f>
        <v/>
      </c>
      <c r="Z135" s="148" t="str">
        <f>IFERROR(IF(Datos[[#This Row],[CON ETIQUETA]]="No",VALORHOJA(Datos[[#This Row],[NP]],$B$44),VALORHOJA(Datos[[#This Row],[NP]],$D$44)),"")</f>
        <v/>
      </c>
      <c r="AA135" s="148" t="str">
        <f>IFERROR(IF(Datos[[#This Row],[Precio / Millar (Norwork)]]&lt;&gt;"",PRODUCT(Datos[[#This Row],[Precio / Millar (Norwork)]]/1000,Datos[[#This Row],[DEMANDA ANUAL]]),""),"")</f>
        <v/>
      </c>
      <c r="AB13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35" s="148" t="str">
        <f>IFERROR(IF(Datos[[#This Row],[Precio / Millar (Norwork)]]&lt;&gt;"",SUM(Datos[[#This Row],[Ingresos Totales (Norwork)]],-Datos[[#This Row],[Costos Totales (Norwork)]]),""),"")</f>
        <v/>
      </c>
      <c r="AD135" s="153" t="str">
        <f>IFERROR(Datos[[#This Row],[Beneficio (Norwork)]]/Datos[[#This Row],[Ingresos Totales (Norwork)]],"")</f>
        <v/>
      </c>
    </row>
    <row r="136" spans="2:30" x14ac:dyDescent="0.3">
      <c r="B136" s="145" t="s">
        <v>508</v>
      </c>
      <c r="C136" s="168" t="s">
        <v>935</v>
      </c>
      <c r="D136" s="168"/>
      <c r="E136" s="145"/>
      <c r="G136" s="149">
        <v>7058</v>
      </c>
      <c r="H136" s="144"/>
      <c r="W136" s="148" t="s">
        <v>298</v>
      </c>
      <c r="X136" s="148" t="str">
        <f>IFERROR(Datos[[#This Row],[ARIBA PRECIO POR MILLAR (Dólares)]]/1000*Datos[[#This Row],[DEMANDA ANUAL]],"")</f>
        <v/>
      </c>
      <c r="Y136" s="153" t="str">
        <f>IFERROR((Datos[[#This Row],[INGRESO PRECIO ARIBA]]-Datos[[#This Row],[Costos Totales (Norwork)]])/Datos[[#This Row],[INGRESO PRECIO ARIBA]],"")</f>
        <v/>
      </c>
      <c r="Z136" s="148" t="str">
        <f>IFERROR(IF(Datos[[#This Row],[CON ETIQUETA]]="No",VALORHOJA(Datos[[#This Row],[NP]],$B$44),VALORHOJA(Datos[[#This Row],[NP]],$D$44)),"")</f>
        <v/>
      </c>
      <c r="AA136" s="148" t="str">
        <f>IFERROR(IF(Datos[[#This Row],[Precio / Millar (Norwork)]]&lt;&gt;"",PRODUCT(Datos[[#This Row],[Precio / Millar (Norwork)]]/1000,Datos[[#This Row],[DEMANDA ANUAL]]),""),"")</f>
        <v/>
      </c>
      <c r="AB13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36" s="148" t="str">
        <f>IFERROR(IF(Datos[[#This Row],[Precio / Millar (Norwork)]]&lt;&gt;"",SUM(Datos[[#This Row],[Ingresos Totales (Norwork)]],-Datos[[#This Row],[Costos Totales (Norwork)]]),""),"")</f>
        <v/>
      </c>
      <c r="AD136" s="153" t="str">
        <f>IFERROR(Datos[[#This Row],[Beneficio (Norwork)]]/Datos[[#This Row],[Ingresos Totales (Norwork)]],"")</f>
        <v/>
      </c>
    </row>
    <row r="137" spans="2:30" x14ac:dyDescent="0.3">
      <c r="B137" s="145" t="s">
        <v>475</v>
      </c>
      <c r="C137" s="145" t="s">
        <v>902</v>
      </c>
      <c r="D137" s="145"/>
      <c r="E137" s="145"/>
      <c r="G137" s="149">
        <v>6992</v>
      </c>
      <c r="H137" s="144"/>
      <c r="W137" s="148" t="s">
        <v>298</v>
      </c>
      <c r="X137" s="148" t="str">
        <f>IFERROR(Datos[[#This Row],[ARIBA PRECIO POR MILLAR (Dólares)]]/1000*Datos[[#This Row],[DEMANDA ANUAL]],"")</f>
        <v/>
      </c>
      <c r="Y137" s="153" t="str">
        <f>IFERROR((Datos[[#This Row],[INGRESO PRECIO ARIBA]]-Datos[[#This Row],[Costos Totales (Norwork)]])/Datos[[#This Row],[INGRESO PRECIO ARIBA]],"")</f>
        <v/>
      </c>
      <c r="Z137" s="148" t="str">
        <f>IFERROR(IF(Datos[[#This Row],[CON ETIQUETA]]="No",VALORHOJA(Datos[[#This Row],[NP]],$B$44),VALORHOJA(Datos[[#This Row],[NP]],$D$44)),"")</f>
        <v/>
      </c>
      <c r="AA137" s="148" t="str">
        <f>IFERROR(IF(Datos[[#This Row],[Precio / Millar (Norwork)]]&lt;&gt;"",PRODUCT(Datos[[#This Row],[Precio / Millar (Norwork)]]/1000,Datos[[#This Row],[DEMANDA ANUAL]]),""),"")</f>
        <v/>
      </c>
      <c r="AB13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37" s="148" t="str">
        <f>IFERROR(IF(Datos[[#This Row],[Precio / Millar (Norwork)]]&lt;&gt;"",SUM(Datos[[#This Row],[Ingresos Totales (Norwork)]],-Datos[[#This Row],[Costos Totales (Norwork)]]),""),"")</f>
        <v/>
      </c>
      <c r="AD137" s="153" t="str">
        <f>IFERROR(Datos[[#This Row],[Beneficio (Norwork)]]/Datos[[#This Row],[Ingresos Totales (Norwork)]],"")</f>
        <v/>
      </c>
    </row>
    <row r="138" spans="2:30" x14ac:dyDescent="0.3">
      <c r="B138" s="145" t="s">
        <v>509</v>
      </c>
      <c r="C138" s="145" t="s">
        <v>936</v>
      </c>
      <c r="D138" s="145"/>
      <c r="E138" s="145"/>
      <c r="G138" s="149">
        <v>6821</v>
      </c>
      <c r="H138" s="144"/>
      <c r="W138" s="148" t="s">
        <v>298</v>
      </c>
      <c r="X138" s="148" t="str">
        <f>IFERROR(Datos[[#This Row],[ARIBA PRECIO POR MILLAR (Dólares)]]/1000*Datos[[#This Row],[DEMANDA ANUAL]],"")</f>
        <v/>
      </c>
      <c r="Y138" s="153" t="str">
        <f>IFERROR((Datos[[#This Row],[INGRESO PRECIO ARIBA]]-Datos[[#This Row],[Costos Totales (Norwork)]])/Datos[[#This Row],[INGRESO PRECIO ARIBA]],"")</f>
        <v/>
      </c>
      <c r="Z138" s="148" t="str">
        <f>IFERROR(IF(Datos[[#This Row],[CON ETIQUETA]]="No",VALORHOJA(Datos[[#This Row],[NP]],$B$44),VALORHOJA(Datos[[#This Row],[NP]],$D$44)),"")</f>
        <v/>
      </c>
      <c r="AA138" s="148" t="str">
        <f>IFERROR(IF(Datos[[#This Row],[Precio / Millar (Norwork)]]&lt;&gt;"",PRODUCT(Datos[[#This Row],[Precio / Millar (Norwork)]]/1000,Datos[[#This Row],[DEMANDA ANUAL]]),""),"")</f>
        <v/>
      </c>
      <c r="AB13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38" s="148" t="str">
        <f>IFERROR(IF(Datos[[#This Row],[Precio / Millar (Norwork)]]&lt;&gt;"",SUM(Datos[[#This Row],[Ingresos Totales (Norwork)]],-Datos[[#This Row],[Costos Totales (Norwork)]]),""),"")</f>
        <v/>
      </c>
      <c r="AD138" s="153" t="str">
        <f>IFERROR(Datos[[#This Row],[Beneficio (Norwork)]]/Datos[[#This Row],[Ingresos Totales (Norwork)]],"")</f>
        <v/>
      </c>
    </row>
    <row r="139" spans="2:30" x14ac:dyDescent="0.3">
      <c r="B139" s="145" t="s">
        <v>436</v>
      </c>
      <c r="C139" s="176" t="s">
        <v>863</v>
      </c>
      <c r="D139" s="176"/>
      <c r="E139" s="145"/>
      <c r="F139" s="153"/>
      <c r="G139" s="149">
        <v>6712</v>
      </c>
      <c r="H139" s="144"/>
      <c r="W139" s="148" t="s">
        <v>298</v>
      </c>
      <c r="X139" s="148" t="str">
        <f>IFERROR(Datos[[#This Row],[ARIBA PRECIO POR MILLAR (Dólares)]]/1000*Datos[[#This Row],[DEMANDA ANUAL]],"")</f>
        <v/>
      </c>
      <c r="Y139" s="153" t="str">
        <f>IFERROR((Datos[[#This Row],[INGRESO PRECIO ARIBA]]-Datos[[#This Row],[Costos Totales (Norwork)]])/Datos[[#This Row],[INGRESO PRECIO ARIBA]],"")</f>
        <v/>
      </c>
      <c r="Z139" s="148" t="str">
        <f>IFERROR(IF(Datos[[#This Row],[CON ETIQUETA]]="No",VALORHOJA(Datos[[#This Row],[NP]],$B$44),VALORHOJA(Datos[[#This Row],[NP]],$D$44)),"")</f>
        <v/>
      </c>
      <c r="AA139" s="148" t="str">
        <f>IFERROR(IF(Datos[[#This Row],[Precio / Millar (Norwork)]]&lt;&gt;"",PRODUCT(Datos[[#This Row],[Precio / Millar (Norwork)]]/1000,Datos[[#This Row],[DEMANDA ANUAL]]),""),"")</f>
        <v/>
      </c>
      <c r="AB13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39" s="148" t="str">
        <f>IFERROR(IF(Datos[[#This Row],[Precio / Millar (Norwork)]]&lt;&gt;"",SUM(Datos[[#This Row],[Ingresos Totales (Norwork)]],-Datos[[#This Row],[Costos Totales (Norwork)]]),""),"")</f>
        <v/>
      </c>
      <c r="AD139" s="153" t="str">
        <f>IFERROR(Datos[[#This Row],[Beneficio (Norwork)]]/Datos[[#This Row],[Ingresos Totales (Norwork)]],"")</f>
        <v/>
      </c>
    </row>
    <row r="140" spans="2:30" ht="14.4" x14ac:dyDescent="0.3">
      <c r="B140" s="180" t="s">
        <v>382</v>
      </c>
      <c r="C140" s="176" t="s">
        <v>810</v>
      </c>
      <c r="D140" s="145" t="s">
        <v>1204</v>
      </c>
      <c r="E140" s="145">
        <v>3</v>
      </c>
      <c r="F140" s="148" t="s">
        <v>202</v>
      </c>
      <c r="G140" s="149">
        <v>6272</v>
      </c>
      <c r="H140" s="142" t="s">
        <v>202</v>
      </c>
      <c r="I140" s="142" t="s">
        <v>195</v>
      </c>
      <c r="J140" s="142" t="s">
        <v>207</v>
      </c>
      <c r="K140" s="142" t="s">
        <v>203</v>
      </c>
      <c r="L140" s="142">
        <v>1</v>
      </c>
      <c r="M140" s="142">
        <v>2</v>
      </c>
      <c r="N140" s="142">
        <v>80</v>
      </c>
      <c r="O140" s="142" t="s">
        <v>195</v>
      </c>
      <c r="P140" s="142" t="s">
        <v>198</v>
      </c>
      <c r="Q140" s="142" t="s">
        <v>199</v>
      </c>
      <c r="R140" s="142">
        <v>3</v>
      </c>
      <c r="T140" s="142" t="s">
        <v>326</v>
      </c>
      <c r="U140" s="142">
        <v>10</v>
      </c>
      <c r="W140" s="148" t="s">
        <v>298</v>
      </c>
      <c r="X140" s="148" t="str">
        <f>IFERROR(Datos[[#This Row],[ARIBA PRECIO POR MILLAR (Dólares)]]/1000*Datos[[#This Row],[DEMANDA ANUAL]],"")</f>
        <v/>
      </c>
      <c r="Y140" s="153" t="str">
        <f>IFERROR((Datos[[#This Row],[INGRESO PRECIO ARIBA]]-Datos[[#This Row],[Costos Totales (Norwork)]])/Datos[[#This Row],[INGRESO PRECIO ARIBA]],"")</f>
        <v/>
      </c>
      <c r="Z140" s="148">
        <f>IFERROR(IF(Datos[[#This Row],[CON ETIQUETA]]="No",VALORHOJA(Datos[[#This Row],[NP]],$B$44),VALORHOJA(Datos[[#This Row],[NP]],$D$44)),"")</f>
        <v>1053.1349672119977</v>
      </c>
      <c r="AA140" s="148">
        <f>IFERROR(IF(Datos[[#This Row],[Precio / Millar (Norwork)]]&lt;&gt;"",PRODUCT(Datos[[#This Row],[Precio / Millar (Norwork)]]/1000,Datos[[#This Row],[DEMANDA ANUAL]]),""),"")</f>
        <v>6605.2625143536488</v>
      </c>
      <c r="AB140" s="155">
        <f>IFERROR(IF(Datos[[#This Row],[CON ETIQUETA]]="No",VALORHOJA(Datos[[#This Row],[NP]],$B$63)/VALORHOJA(Datos[[#This Row],[NP]],$B$42),VALORHOJA(Datos[[#This Row],[NP]],$D$63)/VALORHOJA(Datos[[#This Row],[NP]],$D$42)),"")</f>
        <v>4623.6837600475546</v>
      </c>
      <c r="AC140" s="148">
        <f>IFERROR(IF(Datos[[#This Row],[Precio / Millar (Norwork)]]&lt;&gt;"",SUM(Datos[[#This Row],[Ingresos Totales (Norwork)]],-Datos[[#This Row],[Costos Totales (Norwork)]]),""),"")</f>
        <v>1981.5787543060942</v>
      </c>
      <c r="AD140" s="153">
        <f>IFERROR(Datos[[#This Row],[Beneficio (Norwork)]]/Datos[[#This Row],[Ingresos Totales (Norwork)]],"")</f>
        <v>0.29999999999999993</v>
      </c>
    </row>
    <row r="141" spans="2:30" x14ac:dyDescent="0.3">
      <c r="B141" s="145" t="s">
        <v>397</v>
      </c>
      <c r="C141" s="176" t="s">
        <v>825</v>
      </c>
      <c r="D141" s="176"/>
      <c r="E141" s="145"/>
      <c r="F141" s="148"/>
      <c r="G141" s="149">
        <v>5928</v>
      </c>
      <c r="H141" s="144"/>
      <c r="W141" s="148" t="s">
        <v>298</v>
      </c>
      <c r="X141" s="148" t="str">
        <f>IFERROR(Datos[[#This Row],[ARIBA PRECIO POR MILLAR (Dólares)]]/1000*Datos[[#This Row],[DEMANDA ANUAL]],"")</f>
        <v/>
      </c>
      <c r="Y141" s="153" t="str">
        <f>IFERROR((Datos[[#This Row],[INGRESO PRECIO ARIBA]]-Datos[[#This Row],[Costos Totales (Norwork)]])/Datos[[#This Row],[INGRESO PRECIO ARIBA]],"")</f>
        <v/>
      </c>
      <c r="Z141" s="148" t="str">
        <f>IFERROR(IF(Datos[[#This Row],[CON ETIQUETA]]="No",VALORHOJA(Datos[[#This Row],[NP]],$B$44),VALORHOJA(Datos[[#This Row],[NP]],$D$44)),"")</f>
        <v/>
      </c>
      <c r="AA141" s="148" t="str">
        <f>IFERROR(IF(Datos[[#This Row],[Precio / Millar (Norwork)]]&lt;&gt;"",PRODUCT(Datos[[#This Row],[Precio / Millar (Norwork)]]/1000,Datos[[#This Row],[DEMANDA ANUAL]]),""),"")</f>
        <v/>
      </c>
      <c r="AB14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41" s="148" t="str">
        <f>IFERROR(IF(Datos[[#This Row],[Precio / Millar (Norwork)]]&lt;&gt;"",SUM(Datos[[#This Row],[Ingresos Totales (Norwork)]],-Datos[[#This Row],[Costos Totales (Norwork)]]),""),"")</f>
        <v/>
      </c>
      <c r="AD141" s="153" t="str">
        <f>IFERROR(Datos[[#This Row],[Beneficio (Norwork)]]/Datos[[#This Row],[Ingresos Totales (Norwork)]],"")</f>
        <v/>
      </c>
    </row>
    <row r="142" spans="2:30" x14ac:dyDescent="0.3">
      <c r="B142" s="145" t="s">
        <v>513</v>
      </c>
      <c r="C142" s="145" t="s">
        <v>940</v>
      </c>
      <c r="D142" s="145"/>
      <c r="E142" s="145"/>
      <c r="G142" s="149">
        <v>5904</v>
      </c>
      <c r="H142" s="144"/>
      <c r="W142" s="148" t="s">
        <v>298</v>
      </c>
      <c r="X142" s="148" t="str">
        <f>IFERROR(Datos[[#This Row],[ARIBA PRECIO POR MILLAR (Dólares)]]/1000*Datos[[#This Row],[DEMANDA ANUAL]],"")</f>
        <v/>
      </c>
      <c r="Y142" s="153" t="str">
        <f>IFERROR((Datos[[#This Row],[INGRESO PRECIO ARIBA]]-Datos[[#This Row],[Costos Totales (Norwork)]])/Datos[[#This Row],[INGRESO PRECIO ARIBA]],"")</f>
        <v/>
      </c>
      <c r="Z142" s="148" t="str">
        <f>IFERROR(IF(Datos[[#This Row],[CON ETIQUETA]]="No",VALORHOJA(Datos[[#This Row],[NP]],$B$44),VALORHOJA(Datos[[#This Row],[NP]],$D$44)),"")</f>
        <v/>
      </c>
      <c r="AA142" s="148" t="str">
        <f>IFERROR(IF(Datos[[#This Row],[Precio / Millar (Norwork)]]&lt;&gt;"",PRODUCT(Datos[[#This Row],[Precio / Millar (Norwork)]]/1000,Datos[[#This Row],[DEMANDA ANUAL]]),""),"")</f>
        <v/>
      </c>
      <c r="AB14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42" s="148" t="str">
        <f>IFERROR(IF(Datos[[#This Row],[Precio / Millar (Norwork)]]&lt;&gt;"",SUM(Datos[[#This Row],[Ingresos Totales (Norwork)]],-Datos[[#This Row],[Costos Totales (Norwork)]]),""),"")</f>
        <v/>
      </c>
      <c r="AD142" s="153" t="str">
        <f>IFERROR(Datos[[#This Row],[Beneficio (Norwork)]]/Datos[[#This Row],[Ingresos Totales (Norwork)]],"")</f>
        <v/>
      </c>
    </row>
    <row r="143" spans="2:30" x14ac:dyDescent="0.3">
      <c r="B143" s="145" t="s">
        <v>361</v>
      </c>
      <c r="C143" s="145" t="s">
        <v>790</v>
      </c>
      <c r="D143" s="145"/>
      <c r="E143" s="145"/>
      <c r="G143" s="149">
        <v>5854</v>
      </c>
      <c r="H143" s="144"/>
      <c r="W143" s="148" t="s">
        <v>298</v>
      </c>
      <c r="X143" s="148" t="str">
        <f>IFERROR(Datos[[#This Row],[ARIBA PRECIO POR MILLAR (Dólares)]]/1000*Datos[[#This Row],[DEMANDA ANUAL]],"")</f>
        <v/>
      </c>
      <c r="Y143" s="153" t="str">
        <f>IFERROR((Datos[[#This Row],[INGRESO PRECIO ARIBA]]-Datos[[#This Row],[Costos Totales (Norwork)]])/Datos[[#This Row],[INGRESO PRECIO ARIBA]],"")</f>
        <v/>
      </c>
      <c r="Z143" s="148" t="str">
        <f>IFERROR(IF(Datos[[#This Row],[CON ETIQUETA]]="No",VALORHOJA(Datos[[#This Row],[NP]],$B$44),VALORHOJA(Datos[[#This Row],[NP]],$D$44)),"")</f>
        <v/>
      </c>
      <c r="AA143" s="148" t="str">
        <f>IFERROR(IF(Datos[[#This Row],[Precio / Millar (Norwork)]]&lt;&gt;"",PRODUCT(Datos[[#This Row],[Precio / Millar (Norwork)]]/1000,Datos[[#This Row],[DEMANDA ANUAL]]),""),"")</f>
        <v/>
      </c>
      <c r="AB14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43" s="148" t="str">
        <f>IFERROR(IF(Datos[[#This Row],[Precio / Millar (Norwork)]]&lt;&gt;"",SUM(Datos[[#This Row],[Ingresos Totales (Norwork)]],-Datos[[#This Row],[Costos Totales (Norwork)]]),""),"")</f>
        <v/>
      </c>
      <c r="AD143" s="153" t="str">
        <f>IFERROR(Datos[[#This Row],[Beneficio (Norwork)]]/Datos[[#This Row],[Ingresos Totales (Norwork)]],"")</f>
        <v/>
      </c>
    </row>
    <row r="144" spans="2:30" x14ac:dyDescent="0.3">
      <c r="B144" s="145" t="s">
        <v>367</v>
      </c>
      <c r="C144" s="176" t="s">
        <v>796</v>
      </c>
      <c r="D144" s="176"/>
      <c r="E144" s="145"/>
      <c r="F144" s="148"/>
      <c r="G144" s="149">
        <v>5854</v>
      </c>
      <c r="H144" s="144"/>
      <c r="W144" s="148" t="s">
        <v>298</v>
      </c>
      <c r="X144" s="148" t="str">
        <f>IFERROR(Datos[[#This Row],[ARIBA PRECIO POR MILLAR (Dólares)]]/1000*Datos[[#This Row],[DEMANDA ANUAL]],"")</f>
        <v/>
      </c>
      <c r="Y144" s="153" t="str">
        <f>IFERROR((Datos[[#This Row],[INGRESO PRECIO ARIBA]]-Datos[[#This Row],[Costos Totales (Norwork)]])/Datos[[#This Row],[INGRESO PRECIO ARIBA]],"")</f>
        <v/>
      </c>
      <c r="Z144" s="148" t="str">
        <f>IFERROR(IF(Datos[[#This Row],[CON ETIQUETA]]="No",VALORHOJA(Datos[[#This Row],[NP]],$B$44),VALORHOJA(Datos[[#This Row],[NP]],$D$44)),"")</f>
        <v/>
      </c>
      <c r="AA144" s="148" t="str">
        <f>IFERROR(IF(Datos[[#This Row],[Precio / Millar (Norwork)]]&lt;&gt;"",PRODUCT(Datos[[#This Row],[Precio / Millar (Norwork)]]/1000,Datos[[#This Row],[DEMANDA ANUAL]]),""),"")</f>
        <v/>
      </c>
      <c r="AB14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44" s="148" t="str">
        <f>IFERROR(IF(Datos[[#This Row],[Precio / Millar (Norwork)]]&lt;&gt;"",SUM(Datos[[#This Row],[Ingresos Totales (Norwork)]],-Datos[[#This Row],[Costos Totales (Norwork)]]),""),"")</f>
        <v/>
      </c>
      <c r="AD144" s="153" t="str">
        <f>IFERROR(Datos[[#This Row],[Beneficio (Norwork)]]/Datos[[#This Row],[Ingresos Totales (Norwork)]],"")</f>
        <v/>
      </c>
    </row>
    <row r="145" spans="2:30" x14ac:dyDescent="0.3">
      <c r="B145" s="145" t="s">
        <v>527</v>
      </c>
      <c r="C145" s="145" t="s">
        <v>953</v>
      </c>
      <c r="D145" s="145"/>
      <c r="E145" s="145"/>
      <c r="G145" s="149">
        <v>5736</v>
      </c>
      <c r="H145" s="144"/>
      <c r="W145" s="148" t="s">
        <v>298</v>
      </c>
      <c r="X145" s="148" t="str">
        <f>IFERROR(Datos[[#This Row],[ARIBA PRECIO POR MILLAR (Dólares)]]/1000*Datos[[#This Row],[DEMANDA ANUAL]],"")</f>
        <v/>
      </c>
      <c r="Y145" s="153" t="str">
        <f>IFERROR((Datos[[#This Row],[INGRESO PRECIO ARIBA]]-Datos[[#This Row],[Costos Totales (Norwork)]])/Datos[[#This Row],[INGRESO PRECIO ARIBA]],"")</f>
        <v/>
      </c>
      <c r="Z145" s="148" t="str">
        <f>IFERROR(IF(Datos[[#This Row],[CON ETIQUETA]]="No",VALORHOJA(Datos[[#This Row],[NP]],$B$44),VALORHOJA(Datos[[#This Row],[NP]],$D$44)),"")</f>
        <v/>
      </c>
      <c r="AA145" s="148" t="str">
        <f>IFERROR(IF(Datos[[#This Row],[Precio / Millar (Norwork)]]&lt;&gt;"",PRODUCT(Datos[[#This Row],[Precio / Millar (Norwork)]]/1000,Datos[[#This Row],[DEMANDA ANUAL]]),""),"")</f>
        <v/>
      </c>
      <c r="AB14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45" s="148" t="str">
        <f>IFERROR(IF(Datos[[#This Row],[Precio / Millar (Norwork)]]&lt;&gt;"",SUM(Datos[[#This Row],[Ingresos Totales (Norwork)]],-Datos[[#This Row],[Costos Totales (Norwork)]]),""),"")</f>
        <v/>
      </c>
      <c r="AD145" s="153" t="str">
        <f>IFERROR(Datos[[#This Row],[Beneficio (Norwork)]]/Datos[[#This Row],[Ingresos Totales (Norwork)]],"")</f>
        <v/>
      </c>
    </row>
    <row r="146" spans="2:30" x14ac:dyDescent="0.3">
      <c r="B146" s="145" t="s">
        <v>359</v>
      </c>
      <c r="C146" s="145" t="s">
        <v>788</v>
      </c>
      <c r="D146" s="145"/>
      <c r="E146" s="145"/>
      <c r="G146" s="149">
        <v>5690</v>
      </c>
      <c r="H146" s="144"/>
      <c r="W146" s="148" t="s">
        <v>298</v>
      </c>
      <c r="X146" s="148" t="str">
        <f>IFERROR(Datos[[#This Row],[ARIBA PRECIO POR MILLAR (Dólares)]]/1000*Datos[[#This Row],[DEMANDA ANUAL]],"")</f>
        <v/>
      </c>
      <c r="Y146" s="153" t="str">
        <f>IFERROR((Datos[[#This Row],[INGRESO PRECIO ARIBA]]-Datos[[#This Row],[Costos Totales (Norwork)]])/Datos[[#This Row],[INGRESO PRECIO ARIBA]],"")</f>
        <v/>
      </c>
      <c r="Z146" s="148" t="str">
        <f>IFERROR(IF(Datos[[#This Row],[CON ETIQUETA]]="No",VALORHOJA(Datos[[#This Row],[NP]],$B$44),VALORHOJA(Datos[[#This Row],[NP]],$D$44)),"")</f>
        <v/>
      </c>
      <c r="AA146" s="148" t="str">
        <f>IFERROR(IF(Datos[[#This Row],[Precio / Millar (Norwork)]]&lt;&gt;"",PRODUCT(Datos[[#This Row],[Precio / Millar (Norwork)]]/1000,Datos[[#This Row],[DEMANDA ANUAL]]),""),"")</f>
        <v/>
      </c>
      <c r="AB14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46" s="148" t="str">
        <f>IFERROR(IF(Datos[[#This Row],[Precio / Millar (Norwork)]]&lt;&gt;"",SUM(Datos[[#This Row],[Ingresos Totales (Norwork)]],-Datos[[#This Row],[Costos Totales (Norwork)]]),""),"")</f>
        <v/>
      </c>
      <c r="AD146" s="153" t="str">
        <f>IFERROR(Datos[[#This Row],[Beneficio (Norwork)]]/Datos[[#This Row],[Ingresos Totales (Norwork)]],"")</f>
        <v/>
      </c>
    </row>
    <row r="147" spans="2:30" x14ac:dyDescent="0.3">
      <c r="B147" s="145" t="s">
        <v>360</v>
      </c>
      <c r="C147" s="145" t="s">
        <v>789</v>
      </c>
      <c r="D147" s="145"/>
      <c r="E147" s="145"/>
      <c r="G147" s="149">
        <v>5690</v>
      </c>
      <c r="H147" s="144"/>
      <c r="W147" s="148" t="s">
        <v>298</v>
      </c>
      <c r="X147" s="148" t="str">
        <f>IFERROR(Datos[[#This Row],[ARIBA PRECIO POR MILLAR (Dólares)]]/1000*Datos[[#This Row],[DEMANDA ANUAL]],"")</f>
        <v/>
      </c>
      <c r="Y147" s="153" t="str">
        <f>IFERROR((Datos[[#This Row],[INGRESO PRECIO ARIBA]]-Datos[[#This Row],[Costos Totales (Norwork)]])/Datos[[#This Row],[INGRESO PRECIO ARIBA]],"")</f>
        <v/>
      </c>
      <c r="Z147" s="148" t="str">
        <f>IFERROR(IF(Datos[[#This Row],[CON ETIQUETA]]="No",VALORHOJA(Datos[[#This Row],[NP]],$B$44),VALORHOJA(Datos[[#This Row],[NP]],$D$44)),"")</f>
        <v/>
      </c>
      <c r="AA147" s="148" t="str">
        <f>IFERROR(IF(Datos[[#This Row],[Precio / Millar (Norwork)]]&lt;&gt;"",PRODUCT(Datos[[#This Row],[Precio / Millar (Norwork)]]/1000,Datos[[#This Row],[DEMANDA ANUAL]]),""),"")</f>
        <v/>
      </c>
      <c r="AB14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47" s="148" t="str">
        <f>IFERROR(IF(Datos[[#This Row],[Precio / Millar (Norwork)]]&lt;&gt;"",SUM(Datos[[#This Row],[Ingresos Totales (Norwork)]],-Datos[[#This Row],[Costos Totales (Norwork)]]),""),"")</f>
        <v/>
      </c>
      <c r="AD147" s="153" t="str">
        <f>IFERROR(Datos[[#This Row],[Beneficio (Norwork)]]/Datos[[#This Row],[Ingresos Totales (Norwork)]],"")</f>
        <v/>
      </c>
    </row>
    <row r="148" spans="2:30" x14ac:dyDescent="0.3">
      <c r="B148" s="145" t="s">
        <v>362</v>
      </c>
      <c r="C148" s="176" t="s">
        <v>791</v>
      </c>
      <c r="D148" s="176"/>
      <c r="E148" s="145"/>
      <c r="F148" s="148"/>
      <c r="G148" s="149">
        <v>5690</v>
      </c>
      <c r="H148" s="144"/>
      <c r="W148" s="148" t="s">
        <v>298</v>
      </c>
      <c r="X148" s="148" t="str">
        <f>IFERROR(Datos[[#This Row],[ARIBA PRECIO POR MILLAR (Dólares)]]/1000*Datos[[#This Row],[DEMANDA ANUAL]],"")</f>
        <v/>
      </c>
      <c r="Y148" s="153" t="str">
        <f>IFERROR((Datos[[#This Row],[INGRESO PRECIO ARIBA]]-Datos[[#This Row],[Costos Totales (Norwork)]])/Datos[[#This Row],[INGRESO PRECIO ARIBA]],"")</f>
        <v/>
      </c>
      <c r="Z148" s="148" t="str">
        <f>IFERROR(IF(Datos[[#This Row],[CON ETIQUETA]]="No",VALORHOJA(Datos[[#This Row],[NP]],$B$44),VALORHOJA(Datos[[#This Row],[NP]],$D$44)),"")</f>
        <v/>
      </c>
      <c r="AA148" s="148" t="str">
        <f>IFERROR(IF(Datos[[#This Row],[Precio / Millar (Norwork)]]&lt;&gt;"",PRODUCT(Datos[[#This Row],[Precio / Millar (Norwork)]]/1000,Datos[[#This Row],[DEMANDA ANUAL]]),""),"")</f>
        <v/>
      </c>
      <c r="AB14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48" s="148" t="str">
        <f>IFERROR(IF(Datos[[#This Row],[Precio / Millar (Norwork)]]&lt;&gt;"",SUM(Datos[[#This Row],[Ingresos Totales (Norwork)]],-Datos[[#This Row],[Costos Totales (Norwork)]]),""),"")</f>
        <v/>
      </c>
      <c r="AD148" s="153" t="str">
        <f>IFERROR(Datos[[#This Row],[Beneficio (Norwork)]]/Datos[[#This Row],[Ingresos Totales (Norwork)]],"")</f>
        <v/>
      </c>
    </row>
    <row r="149" spans="2:30" x14ac:dyDescent="0.3">
      <c r="B149" s="145" t="s">
        <v>364</v>
      </c>
      <c r="C149" s="176" t="s">
        <v>793</v>
      </c>
      <c r="D149" s="176"/>
      <c r="E149" s="145"/>
      <c r="F149" s="148"/>
      <c r="G149" s="149">
        <v>5690</v>
      </c>
      <c r="H149" s="144"/>
      <c r="W149" s="148" t="s">
        <v>298</v>
      </c>
      <c r="X149" s="148" t="str">
        <f>IFERROR(Datos[[#This Row],[ARIBA PRECIO POR MILLAR (Dólares)]]/1000*Datos[[#This Row],[DEMANDA ANUAL]],"")</f>
        <v/>
      </c>
      <c r="Y149" s="153" t="str">
        <f>IFERROR((Datos[[#This Row],[INGRESO PRECIO ARIBA]]-Datos[[#This Row],[Costos Totales (Norwork)]])/Datos[[#This Row],[INGRESO PRECIO ARIBA]],"")</f>
        <v/>
      </c>
      <c r="Z149" s="148" t="str">
        <f>IFERROR(IF(Datos[[#This Row],[CON ETIQUETA]]="No",VALORHOJA(Datos[[#This Row],[NP]],$B$44),VALORHOJA(Datos[[#This Row],[NP]],$D$44)),"")</f>
        <v/>
      </c>
      <c r="AA149" s="148" t="str">
        <f>IFERROR(IF(Datos[[#This Row],[Precio / Millar (Norwork)]]&lt;&gt;"",PRODUCT(Datos[[#This Row],[Precio / Millar (Norwork)]]/1000,Datos[[#This Row],[DEMANDA ANUAL]]),""),"")</f>
        <v/>
      </c>
      <c r="AB14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49" s="148" t="str">
        <f>IFERROR(IF(Datos[[#This Row],[Precio / Millar (Norwork)]]&lt;&gt;"",SUM(Datos[[#This Row],[Ingresos Totales (Norwork)]],-Datos[[#This Row],[Costos Totales (Norwork)]]),""),"")</f>
        <v/>
      </c>
      <c r="AD149" s="153" t="str">
        <f>IFERROR(Datos[[#This Row],[Beneficio (Norwork)]]/Datos[[#This Row],[Ingresos Totales (Norwork)]],"")</f>
        <v/>
      </c>
    </row>
    <row r="150" spans="2:30" x14ac:dyDescent="0.3">
      <c r="B150" s="145" t="s">
        <v>469</v>
      </c>
      <c r="C150" s="176" t="s">
        <v>896</v>
      </c>
      <c r="D150" s="176"/>
      <c r="E150" s="145"/>
      <c r="F150" s="153"/>
      <c r="G150" s="149">
        <v>5679</v>
      </c>
      <c r="H150" s="144"/>
      <c r="W150" s="148" t="s">
        <v>298</v>
      </c>
      <c r="X150" s="148" t="str">
        <f>IFERROR(Datos[[#This Row],[ARIBA PRECIO POR MILLAR (Dólares)]]/1000*Datos[[#This Row],[DEMANDA ANUAL]],"")</f>
        <v/>
      </c>
      <c r="Y150" s="153" t="str">
        <f>IFERROR((Datos[[#This Row],[INGRESO PRECIO ARIBA]]-Datos[[#This Row],[Costos Totales (Norwork)]])/Datos[[#This Row],[INGRESO PRECIO ARIBA]],"")</f>
        <v/>
      </c>
      <c r="Z150" s="148" t="str">
        <f>IFERROR(IF(Datos[[#This Row],[CON ETIQUETA]]="No",VALORHOJA(Datos[[#This Row],[NP]],$B$44),VALORHOJA(Datos[[#This Row],[NP]],$D$44)),"")</f>
        <v/>
      </c>
      <c r="AA150" s="148" t="str">
        <f>IFERROR(IF(Datos[[#This Row],[Precio / Millar (Norwork)]]&lt;&gt;"",PRODUCT(Datos[[#This Row],[Precio / Millar (Norwork)]]/1000,Datos[[#This Row],[DEMANDA ANUAL]]),""),"")</f>
        <v/>
      </c>
      <c r="AB15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50" s="148" t="str">
        <f>IFERROR(IF(Datos[[#This Row],[Precio / Millar (Norwork)]]&lt;&gt;"",SUM(Datos[[#This Row],[Ingresos Totales (Norwork)]],-Datos[[#This Row],[Costos Totales (Norwork)]]),""),"")</f>
        <v/>
      </c>
      <c r="AD150" s="153" t="str">
        <f>IFERROR(Datos[[#This Row],[Beneficio (Norwork)]]/Datos[[#This Row],[Ingresos Totales (Norwork)]],"")</f>
        <v/>
      </c>
    </row>
    <row r="151" spans="2:30" x14ac:dyDescent="0.3">
      <c r="B151" s="145" t="s">
        <v>459</v>
      </c>
      <c r="C151" s="176" t="s">
        <v>886</v>
      </c>
      <c r="D151" s="176"/>
      <c r="E151" s="145"/>
      <c r="F151" s="153"/>
      <c r="G151" s="149">
        <v>5664</v>
      </c>
      <c r="H151" s="144"/>
      <c r="W151" s="148" t="s">
        <v>298</v>
      </c>
      <c r="X151" s="148" t="str">
        <f>IFERROR(Datos[[#This Row],[ARIBA PRECIO POR MILLAR (Dólares)]]/1000*Datos[[#This Row],[DEMANDA ANUAL]],"")</f>
        <v/>
      </c>
      <c r="Y151" s="153" t="str">
        <f>IFERROR((Datos[[#This Row],[INGRESO PRECIO ARIBA]]-Datos[[#This Row],[Costos Totales (Norwork)]])/Datos[[#This Row],[INGRESO PRECIO ARIBA]],"")</f>
        <v/>
      </c>
      <c r="Z151" s="148" t="str">
        <f>IFERROR(IF(Datos[[#This Row],[CON ETIQUETA]]="No",VALORHOJA(Datos[[#This Row],[NP]],$B$44),VALORHOJA(Datos[[#This Row],[NP]],$D$44)),"")</f>
        <v/>
      </c>
      <c r="AA151" s="148" t="str">
        <f>IFERROR(IF(Datos[[#This Row],[Precio / Millar (Norwork)]]&lt;&gt;"",PRODUCT(Datos[[#This Row],[Precio / Millar (Norwork)]]/1000,Datos[[#This Row],[DEMANDA ANUAL]]),""),"")</f>
        <v/>
      </c>
      <c r="AB15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51" s="148" t="str">
        <f>IFERROR(IF(Datos[[#This Row],[Precio / Millar (Norwork)]]&lt;&gt;"",SUM(Datos[[#This Row],[Ingresos Totales (Norwork)]],-Datos[[#This Row],[Costos Totales (Norwork)]]),""),"")</f>
        <v/>
      </c>
      <c r="AD151" s="153" t="str">
        <f>IFERROR(Datos[[#This Row],[Beneficio (Norwork)]]/Datos[[#This Row],[Ingresos Totales (Norwork)]],"")</f>
        <v/>
      </c>
    </row>
    <row r="152" spans="2:30" x14ac:dyDescent="0.3">
      <c r="B152" s="145" t="s">
        <v>368</v>
      </c>
      <c r="C152" s="176" t="s">
        <v>797</v>
      </c>
      <c r="D152" s="176"/>
      <c r="E152" s="145"/>
      <c r="F152" s="148"/>
      <c r="G152" s="149">
        <v>5647</v>
      </c>
      <c r="H152" s="144"/>
      <c r="W152" s="148" t="s">
        <v>298</v>
      </c>
      <c r="X152" s="148" t="str">
        <f>IFERROR(Datos[[#This Row],[ARIBA PRECIO POR MILLAR (Dólares)]]/1000*Datos[[#This Row],[DEMANDA ANUAL]],"")</f>
        <v/>
      </c>
      <c r="Y152" s="153" t="str">
        <f>IFERROR((Datos[[#This Row],[INGRESO PRECIO ARIBA]]-Datos[[#This Row],[Costos Totales (Norwork)]])/Datos[[#This Row],[INGRESO PRECIO ARIBA]],"")</f>
        <v/>
      </c>
      <c r="Z152" s="148" t="str">
        <f>IFERROR(IF(Datos[[#This Row],[CON ETIQUETA]]="No",VALORHOJA(Datos[[#This Row],[NP]],$B$44),VALORHOJA(Datos[[#This Row],[NP]],$D$44)),"")</f>
        <v/>
      </c>
      <c r="AA152" s="148" t="str">
        <f>IFERROR(IF(Datos[[#This Row],[Precio / Millar (Norwork)]]&lt;&gt;"",PRODUCT(Datos[[#This Row],[Precio / Millar (Norwork)]]/1000,Datos[[#This Row],[DEMANDA ANUAL]]),""),"")</f>
        <v/>
      </c>
      <c r="AB15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52" s="148" t="str">
        <f>IFERROR(IF(Datos[[#This Row],[Precio / Millar (Norwork)]]&lt;&gt;"",SUM(Datos[[#This Row],[Ingresos Totales (Norwork)]],-Datos[[#This Row],[Costos Totales (Norwork)]]),""),"")</f>
        <v/>
      </c>
      <c r="AD152" s="153" t="str">
        <f>IFERROR(Datos[[#This Row],[Beneficio (Norwork)]]/Datos[[#This Row],[Ingresos Totales (Norwork)]],"")</f>
        <v/>
      </c>
    </row>
    <row r="153" spans="2:30" x14ac:dyDescent="0.3">
      <c r="B153" s="145" t="s">
        <v>444</v>
      </c>
      <c r="C153" s="176" t="s">
        <v>871</v>
      </c>
      <c r="D153" s="176"/>
      <c r="E153" s="145"/>
      <c r="F153" s="153"/>
      <c r="G153" s="149">
        <v>5440</v>
      </c>
      <c r="H153" s="144"/>
      <c r="W153" s="148" t="s">
        <v>298</v>
      </c>
      <c r="X153" s="148" t="str">
        <f>IFERROR(Datos[[#This Row],[ARIBA PRECIO POR MILLAR (Dólares)]]/1000*Datos[[#This Row],[DEMANDA ANUAL]],"")</f>
        <v/>
      </c>
      <c r="Y153" s="153" t="str">
        <f>IFERROR((Datos[[#This Row],[INGRESO PRECIO ARIBA]]-Datos[[#This Row],[Costos Totales (Norwork)]])/Datos[[#This Row],[INGRESO PRECIO ARIBA]],"")</f>
        <v/>
      </c>
      <c r="Z153" s="148" t="str">
        <f>IFERROR(IF(Datos[[#This Row],[CON ETIQUETA]]="No",VALORHOJA(Datos[[#This Row],[NP]],$B$44),VALORHOJA(Datos[[#This Row],[NP]],$D$44)),"")</f>
        <v/>
      </c>
      <c r="AA153" s="148" t="str">
        <f>IFERROR(IF(Datos[[#This Row],[Precio / Millar (Norwork)]]&lt;&gt;"",PRODUCT(Datos[[#This Row],[Precio / Millar (Norwork)]]/1000,Datos[[#This Row],[DEMANDA ANUAL]]),""),"")</f>
        <v/>
      </c>
      <c r="AB15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53" s="148" t="str">
        <f>IFERROR(IF(Datos[[#This Row],[Precio / Millar (Norwork)]]&lt;&gt;"",SUM(Datos[[#This Row],[Ingresos Totales (Norwork)]],-Datos[[#This Row],[Costos Totales (Norwork)]]),""),"")</f>
        <v/>
      </c>
      <c r="AD153" s="153" t="str">
        <f>IFERROR(Datos[[#This Row],[Beneficio (Norwork)]]/Datos[[#This Row],[Ingresos Totales (Norwork)]],"")</f>
        <v/>
      </c>
    </row>
    <row r="154" spans="2:30" x14ac:dyDescent="0.3">
      <c r="B154" s="145" t="s">
        <v>470</v>
      </c>
      <c r="C154" s="145" t="s">
        <v>897</v>
      </c>
      <c r="D154" s="145"/>
      <c r="E154" s="145"/>
      <c r="G154" s="149">
        <v>5400</v>
      </c>
      <c r="H154" s="144"/>
      <c r="W154" s="148" t="s">
        <v>298</v>
      </c>
      <c r="X154" s="148" t="str">
        <f>IFERROR(Datos[[#This Row],[ARIBA PRECIO POR MILLAR (Dólares)]]/1000*Datos[[#This Row],[DEMANDA ANUAL]],"")</f>
        <v/>
      </c>
      <c r="Y154" s="153" t="str">
        <f>IFERROR((Datos[[#This Row],[INGRESO PRECIO ARIBA]]-Datos[[#This Row],[Costos Totales (Norwork)]])/Datos[[#This Row],[INGRESO PRECIO ARIBA]],"")</f>
        <v/>
      </c>
      <c r="Z154" s="148" t="str">
        <f>IFERROR(IF(Datos[[#This Row],[CON ETIQUETA]]="No",VALORHOJA(Datos[[#This Row],[NP]],$B$44),VALORHOJA(Datos[[#This Row],[NP]],$D$44)),"")</f>
        <v/>
      </c>
      <c r="AA154" s="148" t="str">
        <f>IFERROR(IF(Datos[[#This Row],[Precio / Millar (Norwork)]]&lt;&gt;"",PRODUCT(Datos[[#This Row],[Precio / Millar (Norwork)]]/1000,Datos[[#This Row],[DEMANDA ANUAL]]),""),"")</f>
        <v/>
      </c>
      <c r="AB15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54" s="148" t="str">
        <f>IFERROR(IF(Datos[[#This Row],[Precio / Millar (Norwork)]]&lt;&gt;"",SUM(Datos[[#This Row],[Ingresos Totales (Norwork)]],-Datos[[#This Row],[Costos Totales (Norwork)]]),""),"")</f>
        <v/>
      </c>
      <c r="AD154" s="153" t="str">
        <f>IFERROR(Datos[[#This Row],[Beneficio (Norwork)]]/Datos[[#This Row],[Ingresos Totales (Norwork)]],"")</f>
        <v/>
      </c>
    </row>
    <row r="155" spans="2:30" x14ac:dyDescent="0.3">
      <c r="B155" s="145" t="s">
        <v>410</v>
      </c>
      <c r="C155" s="145" t="s">
        <v>838</v>
      </c>
      <c r="D155" s="145"/>
      <c r="E155" s="145"/>
      <c r="G155" s="149">
        <v>5296</v>
      </c>
      <c r="H155" s="144"/>
      <c r="W155" s="148" t="s">
        <v>298</v>
      </c>
      <c r="X155" s="148" t="str">
        <f>IFERROR(Datos[[#This Row],[ARIBA PRECIO POR MILLAR (Dólares)]]/1000*Datos[[#This Row],[DEMANDA ANUAL]],"")</f>
        <v/>
      </c>
      <c r="Y155" s="153" t="str">
        <f>IFERROR((Datos[[#This Row],[INGRESO PRECIO ARIBA]]-Datos[[#This Row],[Costos Totales (Norwork)]])/Datos[[#This Row],[INGRESO PRECIO ARIBA]],"")</f>
        <v/>
      </c>
      <c r="Z155" s="148" t="str">
        <f>IFERROR(IF(Datos[[#This Row],[CON ETIQUETA]]="No",VALORHOJA(Datos[[#This Row],[NP]],$B$44),VALORHOJA(Datos[[#This Row],[NP]],$D$44)),"")</f>
        <v/>
      </c>
      <c r="AA155" s="148" t="str">
        <f>IFERROR(IF(Datos[[#This Row],[Precio / Millar (Norwork)]]&lt;&gt;"",PRODUCT(Datos[[#This Row],[Precio / Millar (Norwork)]]/1000,Datos[[#This Row],[DEMANDA ANUAL]]),""),"")</f>
        <v/>
      </c>
      <c r="AB15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55" s="148" t="str">
        <f>IFERROR(IF(Datos[[#This Row],[Precio / Millar (Norwork)]]&lt;&gt;"",SUM(Datos[[#This Row],[Ingresos Totales (Norwork)]],-Datos[[#This Row],[Costos Totales (Norwork)]]),""),"")</f>
        <v/>
      </c>
      <c r="AD155" s="153" t="str">
        <f>IFERROR(Datos[[#This Row],[Beneficio (Norwork)]]/Datos[[#This Row],[Ingresos Totales (Norwork)]],"")</f>
        <v/>
      </c>
    </row>
    <row r="156" spans="2:30" x14ac:dyDescent="0.3">
      <c r="B156" s="145" t="s">
        <v>411</v>
      </c>
      <c r="C156" s="145" t="s">
        <v>839</v>
      </c>
      <c r="D156" s="145"/>
      <c r="E156" s="145"/>
      <c r="G156" s="149">
        <v>5296</v>
      </c>
      <c r="H156" s="144"/>
      <c r="W156" s="148" t="s">
        <v>298</v>
      </c>
      <c r="X156" s="148" t="str">
        <f>IFERROR(Datos[[#This Row],[ARIBA PRECIO POR MILLAR (Dólares)]]/1000*Datos[[#This Row],[DEMANDA ANUAL]],"")</f>
        <v/>
      </c>
      <c r="Y156" s="153" t="str">
        <f>IFERROR((Datos[[#This Row],[INGRESO PRECIO ARIBA]]-Datos[[#This Row],[Costos Totales (Norwork)]])/Datos[[#This Row],[INGRESO PRECIO ARIBA]],"")</f>
        <v/>
      </c>
      <c r="Z156" s="148" t="str">
        <f>IFERROR(IF(Datos[[#This Row],[CON ETIQUETA]]="No",VALORHOJA(Datos[[#This Row],[NP]],$B$44),VALORHOJA(Datos[[#This Row],[NP]],$D$44)),"")</f>
        <v/>
      </c>
      <c r="AA156" s="148" t="str">
        <f>IFERROR(IF(Datos[[#This Row],[Precio / Millar (Norwork)]]&lt;&gt;"",PRODUCT(Datos[[#This Row],[Precio / Millar (Norwork)]]/1000,Datos[[#This Row],[DEMANDA ANUAL]]),""),"")</f>
        <v/>
      </c>
      <c r="AB15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56" s="148" t="str">
        <f>IFERROR(IF(Datos[[#This Row],[Precio / Millar (Norwork)]]&lt;&gt;"",SUM(Datos[[#This Row],[Ingresos Totales (Norwork)]],-Datos[[#This Row],[Costos Totales (Norwork)]]),""),"")</f>
        <v/>
      </c>
      <c r="AD156" s="153" t="str">
        <f>IFERROR(Datos[[#This Row],[Beneficio (Norwork)]]/Datos[[#This Row],[Ingresos Totales (Norwork)]],"")</f>
        <v/>
      </c>
    </row>
    <row r="157" spans="2:30" x14ac:dyDescent="0.3">
      <c r="B157" s="145" t="s">
        <v>540</v>
      </c>
      <c r="C157" s="145" t="s">
        <v>966</v>
      </c>
      <c r="D157" s="145"/>
      <c r="E157" s="145"/>
      <c r="G157" s="149">
        <v>5277</v>
      </c>
      <c r="H157" s="144"/>
      <c r="W157" s="148" t="s">
        <v>298</v>
      </c>
      <c r="X157" s="148" t="str">
        <f>IFERROR(Datos[[#This Row],[ARIBA PRECIO POR MILLAR (Dólares)]]/1000*Datos[[#This Row],[DEMANDA ANUAL]],"")</f>
        <v/>
      </c>
      <c r="Y157" s="153" t="str">
        <f>IFERROR((Datos[[#This Row],[INGRESO PRECIO ARIBA]]-Datos[[#This Row],[Costos Totales (Norwork)]])/Datos[[#This Row],[INGRESO PRECIO ARIBA]],"")</f>
        <v/>
      </c>
      <c r="Z157" s="148" t="str">
        <f>IFERROR(IF(Datos[[#This Row],[CON ETIQUETA]]="No",VALORHOJA(Datos[[#This Row],[NP]],$B$44),VALORHOJA(Datos[[#This Row],[NP]],$D$44)),"")</f>
        <v/>
      </c>
      <c r="AA157" s="148" t="str">
        <f>IFERROR(IF(Datos[[#This Row],[Precio / Millar (Norwork)]]&lt;&gt;"",PRODUCT(Datos[[#This Row],[Precio / Millar (Norwork)]]/1000,Datos[[#This Row],[DEMANDA ANUAL]]),""),"")</f>
        <v/>
      </c>
      <c r="AB15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57" s="148" t="str">
        <f>IFERROR(IF(Datos[[#This Row],[Precio / Millar (Norwork)]]&lt;&gt;"",SUM(Datos[[#This Row],[Ingresos Totales (Norwork)]],-Datos[[#This Row],[Costos Totales (Norwork)]]),""),"")</f>
        <v/>
      </c>
      <c r="AD157" s="153" t="str">
        <f>IFERROR(Datos[[#This Row],[Beneficio (Norwork)]]/Datos[[#This Row],[Ingresos Totales (Norwork)]],"")</f>
        <v/>
      </c>
    </row>
    <row r="158" spans="2:30" x14ac:dyDescent="0.3">
      <c r="B158" s="145" t="s">
        <v>516</v>
      </c>
      <c r="C158" s="145" t="s">
        <v>943</v>
      </c>
      <c r="D158" s="145"/>
      <c r="E158" s="145"/>
      <c r="G158" s="149">
        <v>5208</v>
      </c>
      <c r="H158" s="144"/>
      <c r="W158" s="148" t="s">
        <v>298</v>
      </c>
      <c r="X158" s="148" t="str">
        <f>IFERROR(Datos[[#This Row],[ARIBA PRECIO POR MILLAR (Dólares)]]/1000*Datos[[#This Row],[DEMANDA ANUAL]],"")</f>
        <v/>
      </c>
      <c r="Y158" s="153" t="str">
        <f>IFERROR((Datos[[#This Row],[INGRESO PRECIO ARIBA]]-Datos[[#This Row],[Costos Totales (Norwork)]])/Datos[[#This Row],[INGRESO PRECIO ARIBA]],"")</f>
        <v/>
      </c>
      <c r="Z158" s="148" t="str">
        <f>IFERROR(IF(Datos[[#This Row],[CON ETIQUETA]]="No",VALORHOJA(Datos[[#This Row],[NP]],$B$44),VALORHOJA(Datos[[#This Row],[NP]],$D$44)),"")</f>
        <v/>
      </c>
      <c r="AA158" s="148" t="str">
        <f>IFERROR(IF(Datos[[#This Row],[Precio / Millar (Norwork)]]&lt;&gt;"",PRODUCT(Datos[[#This Row],[Precio / Millar (Norwork)]]/1000,Datos[[#This Row],[DEMANDA ANUAL]]),""),"")</f>
        <v/>
      </c>
      <c r="AB15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58" s="148" t="str">
        <f>IFERROR(IF(Datos[[#This Row],[Precio / Millar (Norwork)]]&lt;&gt;"",SUM(Datos[[#This Row],[Ingresos Totales (Norwork)]],-Datos[[#This Row],[Costos Totales (Norwork)]]),""),"")</f>
        <v/>
      </c>
      <c r="AD158" s="153" t="str">
        <f>IFERROR(Datos[[#This Row],[Beneficio (Norwork)]]/Datos[[#This Row],[Ingresos Totales (Norwork)]],"")</f>
        <v/>
      </c>
    </row>
    <row r="159" spans="2:30" x14ac:dyDescent="0.3">
      <c r="B159" s="145" t="s">
        <v>541</v>
      </c>
      <c r="C159" s="145" t="s">
        <v>967</v>
      </c>
      <c r="D159" s="145"/>
      <c r="E159" s="145"/>
      <c r="G159" s="149">
        <v>5094</v>
      </c>
      <c r="H159" s="144"/>
      <c r="W159" s="148" t="s">
        <v>298</v>
      </c>
      <c r="X159" s="148" t="str">
        <f>IFERROR(Datos[[#This Row],[ARIBA PRECIO POR MILLAR (Dólares)]]/1000*Datos[[#This Row],[DEMANDA ANUAL]],"")</f>
        <v/>
      </c>
      <c r="Y159" s="153" t="str">
        <f>IFERROR((Datos[[#This Row],[INGRESO PRECIO ARIBA]]-Datos[[#This Row],[Costos Totales (Norwork)]])/Datos[[#This Row],[INGRESO PRECIO ARIBA]],"")</f>
        <v/>
      </c>
      <c r="Z159" s="148" t="str">
        <f>IFERROR(IF(Datos[[#This Row],[CON ETIQUETA]]="No",VALORHOJA(Datos[[#This Row],[NP]],$B$44),VALORHOJA(Datos[[#This Row],[NP]],$D$44)),"")</f>
        <v/>
      </c>
      <c r="AA159" s="148" t="str">
        <f>IFERROR(IF(Datos[[#This Row],[Precio / Millar (Norwork)]]&lt;&gt;"",PRODUCT(Datos[[#This Row],[Precio / Millar (Norwork)]]/1000,Datos[[#This Row],[DEMANDA ANUAL]]),""),"")</f>
        <v/>
      </c>
      <c r="AB15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59" s="148" t="str">
        <f>IFERROR(IF(Datos[[#This Row],[Precio / Millar (Norwork)]]&lt;&gt;"",SUM(Datos[[#This Row],[Ingresos Totales (Norwork)]],-Datos[[#This Row],[Costos Totales (Norwork)]]),""),"")</f>
        <v/>
      </c>
      <c r="AD159" s="153" t="str">
        <f>IFERROR(Datos[[#This Row],[Beneficio (Norwork)]]/Datos[[#This Row],[Ingresos Totales (Norwork)]],"")</f>
        <v/>
      </c>
    </row>
    <row r="160" spans="2:30" x14ac:dyDescent="0.3">
      <c r="B160" s="145" t="s">
        <v>474</v>
      </c>
      <c r="C160" s="145" t="s">
        <v>901</v>
      </c>
      <c r="D160" s="145"/>
      <c r="E160" s="145"/>
      <c r="G160" s="149">
        <v>5046</v>
      </c>
      <c r="H160" s="144"/>
      <c r="W160" s="148" t="s">
        <v>298</v>
      </c>
      <c r="X160" s="148" t="str">
        <f>IFERROR(Datos[[#This Row],[ARIBA PRECIO POR MILLAR (Dólares)]]/1000*Datos[[#This Row],[DEMANDA ANUAL]],"")</f>
        <v/>
      </c>
      <c r="Y160" s="153" t="str">
        <f>IFERROR((Datos[[#This Row],[INGRESO PRECIO ARIBA]]-Datos[[#This Row],[Costos Totales (Norwork)]])/Datos[[#This Row],[INGRESO PRECIO ARIBA]],"")</f>
        <v/>
      </c>
      <c r="Z160" s="148" t="str">
        <f>IFERROR(IF(Datos[[#This Row],[CON ETIQUETA]]="No",VALORHOJA(Datos[[#This Row],[NP]],$B$44),VALORHOJA(Datos[[#This Row],[NP]],$D$44)),"")</f>
        <v/>
      </c>
      <c r="AA160" s="148" t="str">
        <f>IFERROR(IF(Datos[[#This Row],[Precio / Millar (Norwork)]]&lt;&gt;"",PRODUCT(Datos[[#This Row],[Precio / Millar (Norwork)]]/1000,Datos[[#This Row],[DEMANDA ANUAL]]),""),"")</f>
        <v/>
      </c>
      <c r="AB16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60" s="148" t="str">
        <f>IFERROR(IF(Datos[[#This Row],[Precio / Millar (Norwork)]]&lt;&gt;"",SUM(Datos[[#This Row],[Ingresos Totales (Norwork)]],-Datos[[#This Row],[Costos Totales (Norwork)]]),""),"")</f>
        <v/>
      </c>
      <c r="AD160" s="153" t="str">
        <f>IFERROR(Datos[[#This Row],[Beneficio (Norwork)]]/Datos[[#This Row],[Ingresos Totales (Norwork)]],"")</f>
        <v/>
      </c>
    </row>
    <row r="161" spans="2:30" x14ac:dyDescent="0.3">
      <c r="B161" s="145" t="s">
        <v>517</v>
      </c>
      <c r="C161" s="145" t="s">
        <v>918</v>
      </c>
      <c r="D161" s="145"/>
      <c r="E161" s="145"/>
      <c r="G161" s="149">
        <v>5040</v>
      </c>
      <c r="H161" s="144"/>
      <c r="W161" s="148" t="s">
        <v>298</v>
      </c>
      <c r="X161" s="148" t="str">
        <f>IFERROR(Datos[[#This Row],[ARIBA PRECIO POR MILLAR (Dólares)]]/1000*Datos[[#This Row],[DEMANDA ANUAL]],"")</f>
        <v/>
      </c>
      <c r="Y161" s="153" t="str">
        <f>IFERROR((Datos[[#This Row],[INGRESO PRECIO ARIBA]]-Datos[[#This Row],[Costos Totales (Norwork)]])/Datos[[#This Row],[INGRESO PRECIO ARIBA]],"")</f>
        <v/>
      </c>
      <c r="Z161" s="148" t="str">
        <f>IFERROR(IF(Datos[[#This Row],[CON ETIQUETA]]="No",VALORHOJA(Datos[[#This Row],[NP]],$B$44),VALORHOJA(Datos[[#This Row],[NP]],$D$44)),"")</f>
        <v/>
      </c>
      <c r="AA161" s="148" t="str">
        <f>IFERROR(IF(Datos[[#This Row],[Precio / Millar (Norwork)]]&lt;&gt;"",PRODUCT(Datos[[#This Row],[Precio / Millar (Norwork)]]/1000,Datos[[#This Row],[DEMANDA ANUAL]]),""),"")</f>
        <v/>
      </c>
      <c r="AB16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61" s="148" t="str">
        <f>IFERROR(IF(Datos[[#This Row],[Precio / Millar (Norwork)]]&lt;&gt;"",SUM(Datos[[#This Row],[Ingresos Totales (Norwork)]],-Datos[[#This Row],[Costos Totales (Norwork)]]),""),"")</f>
        <v/>
      </c>
      <c r="AD161" s="153" t="str">
        <f>IFERROR(Datos[[#This Row],[Beneficio (Norwork)]]/Datos[[#This Row],[Ingresos Totales (Norwork)]],"")</f>
        <v/>
      </c>
    </row>
    <row r="162" spans="2:30" x14ac:dyDescent="0.3">
      <c r="B162" s="145" t="s">
        <v>518</v>
      </c>
      <c r="C162" s="145" t="s">
        <v>944</v>
      </c>
      <c r="D162" s="145"/>
      <c r="E162" s="145"/>
      <c r="G162" s="149">
        <v>4770</v>
      </c>
      <c r="H162" s="144"/>
      <c r="W162" s="148" t="s">
        <v>298</v>
      </c>
      <c r="X162" s="148" t="str">
        <f>IFERROR(Datos[[#This Row],[ARIBA PRECIO POR MILLAR (Dólares)]]/1000*Datos[[#This Row],[DEMANDA ANUAL]],"")</f>
        <v/>
      </c>
      <c r="Y162" s="153" t="str">
        <f>IFERROR((Datos[[#This Row],[INGRESO PRECIO ARIBA]]-Datos[[#This Row],[Costos Totales (Norwork)]])/Datos[[#This Row],[INGRESO PRECIO ARIBA]],"")</f>
        <v/>
      </c>
      <c r="Z162" s="148" t="str">
        <f>IFERROR(IF(Datos[[#This Row],[CON ETIQUETA]]="No",VALORHOJA(Datos[[#This Row],[NP]],$B$44),VALORHOJA(Datos[[#This Row],[NP]],$D$44)),"")</f>
        <v/>
      </c>
      <c r="AA162" s="148" t="str">
        <f>IFERROR(IF(Datos[[#This Row],[Precio / Millar (Norwork)]]&lt;&gt;"",PRODUCT(Datos[[#This Row],[Precio / Millar (Norwork)]]/1000,Datos[[#This Row],[DEMANDA ANUAL]]),""),"")</f>
        <v/>
      </c>
      <c r="AB16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62" s="148" t="str">
        <f>IFERROR(IF(Datos[[#This Row],[Precio / Millar (Norwork)]]&lt;&gt;"",SUM(Datos[[#This Row],[Ingresos Totales (Norwork)]],-Datos[[#This Row],[Costos Totales (Norwork)]]),""),"")</f>
        <v/>
      </c>
      <c r="AD162" s="153" t="str">
        <f>IFERROR(Datos[[#This Row],[Beneficio (Norwork)]]/Datos[[#This Row],[Ingresos Totales (Norwork)]],"")</f>
        <v/>
      </c>
    </row>
    <row r="163" spans="2:30" x14ac:dyDescent="0.3">
      <c r="B163" s="145" t="s">
        <v>533</v>
      </c>
      <c r="C163" s="145" t="s">
        <v>959</v>
      </c>
      <c r="D163" s="145"/>
      <c r="E163" s="145"/>
      <c r="G163" s="149">
        <v>4752</v>
      </c>
      <c r="H163" s="144"/>
      <c r="W163" s="148" t="s">
        <v>298</v>
      </c>
      <c r="X163" s="148" t="str">
        <f>IFERROR(Datos[[#This Row],[ARIBA PRECIO POR MILLAR (Dólares)]]/1000*Datos[[#This Row],[DEMANDA ANUAL]],"")</f>
        <v/>
      </c>
      <c r="Y163" s="153" t="str">
        <f>IFERROR((Datos[[#This Row],[INGRESO PRECIO ARIBA]]-Datos[[#This Row],[Costos Totales (Norwork)]])/Datos[[#This Row],[INGRESO PRECIO ARIBA]],"")</f>
        <v/>
      </c>
      <c r="Z163" s="148" t="str">
        <f>IFERROR(IF(Datos[[#This Row],[CON ETIQUETA]]="No",VALORHOJA(Datos[[#This Row],[NP]],$B$44),VALORHOJA(Datos[[#This Row],[NP]],$D$44)),"")</f>
        <v/>
      </c>
      <c r="AA163" s="148" t="str">
        <f>IFERROR(IF(Datos[[#This Row],[Precio / Millar (Norwork)]]&lt;&gt;"",PRODUCT(Datos[[#This Row],[Precio / Millar (Norwork)]]/1000,Datos[[#This Row],[DEMANDA ANUAL]]),""),"")</f>
        <v/>
      </c>
      <c r="AB16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63" s="148" t="str">
        <f>IFERROR(IF(Datos[[#This Row],[Precio / Millar (Norwork)]]&lt;&gt;"",SUM(Datos[[#This Row],[Ingresos Totales (Norwork)]],-Datos[[#This Row],[Costos Totales (Norwork)]]),""),"")</f>
        <v/>
      </c>
      <c r="AD163" s="153" t="str">
        <f>IFERROR(Datos[[#This Row],[Beneficio (Norwork)]]/Datos[[#This Row],[Ingresos Totales (Norwork)]],"")</f>
        <v/>
      </c>
    </row>
    <row r="164" spans="2:30" x14ac:dyDescent="0.3">
      <c r="B164" s="145" t="s">
        <v>522</v>
      </c>
      <c r="C164" s="145" t="s">
        <v>948</v>
      </c>
      <c r="D164" s="145"/>
      <c r="E164" s="145"/>
      <c r="G164" s="149">
        <v>4437</v>
      </c>
      <c r="H164" s="144"/>
      <c r="W164" s="148" t="s">
        <v>298</v>
      </c>
      <c r="X164" s="148" t="str">
        <f>IFERROR(Datos[[#This Row],[ARIBA PRECIO POR MILLAR (Dólares)]]/1000*Datos[[#This Row],[DEMANDA ANUAL]],"")</f>
        <v/>
      </c>
      <c r="Y164" s="153" t="str">
        <f>IFERROR((Datos[[#This Row],[INGRESO PRECIO ARIBA]]-Datos[[#This Row],[Costos Totales (Norwork)]])/Datos[[#This Row],[INGRESO PRECIO ARIBA]],"")</f>
        <v/>
      </c>
      <c r="Z164" s="148" t="str">
        <f>IFERROR(IF(Datos[[#This Row],[CON ETIQUETA]]="No",VALORHOJA(Datos[[#This Row],[NP]],$B$44),VALORHOJA(Datos[[#This Row],[NP]],$D$44)),"")</f>
        <v/>
      </c>
      <c r="AA164" s="148" t="str">
        <f>IFERROR(IF(Datos[[#This Row],[Precio / Millar (Norwork)]]&lt;&gt;"",PRODUCT(Datos[[#This Row],[Precio / Millar (Norwork)]]/1000,Datos[[#This Row],[DEMANDA ANUAL]]),""),"")</f>
        <v/>
      </c>
      <c r="AB16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64" s="148" t="str">
        <f>IFERROR(IF(Datos[[#This Row],[Precio / Millar (Norwork)]]&lt;&gt;"",SUM(Datos[[#This Row],[Ingresos Totales (Norwork)]],-Datos[[#This Row],[Costos Totales (Norwork)]]),""),"")</f>
        <v/>
      </c>
      <c r="AD164" s="153" t="str">
        <f>IFERROR(Datos[[#This Row],[Beneficio (Norwork)]]/Datos[[#This Row],[Ingresos Totales (Norwork)]],"")</f>
        <v/>
      </c>
    </row>
    <row r="165" spans="2:30" x14ac:dyDescent="0.3">
      <c r="B165" s="145" t="s">
        <v>523</v>
      </c>
      <c r="C165" s="145" t="s">
        <v>949</v>
      </c>
      <c r="D165" s="145"/>
      <c r="E165" s="145"/>
      <c r="G165" s="149">
        <v>4246</v>
      </c>
      <c r="H165" s="144"/>
      <c r="W165" s="148" t="s">
        <v>298</v>
      </c>
      <c r="X165" s="148" t="str">
        <f>IFERROR(Datos[[#This Row],[ARIBA PRECIO POR MILLAR (Dólares)]]/1000*Datos[[#This Row],[DEMANDA ANUAL]],"")</f>
        <v/>
      </c>
      <c r="Y165" s="153" t="str">
        <f>IFERROR((Datos[[#This Row],[INGRESO PRECIO ARIBA]]-Datos[[#This Row],[Costos Totales (Norwork)]])/Datos[[#This Row],[INGRESO PRECIO ARIBA]],"")</f>
        <v/>
      </c>
      <c r="Z165" s="148" t="str">
        <f>IFERROR(IF(Datos[[#This Row],[CON ETIQUETA]]="No",VALORHOJA(Datos[[#This Row],[NP]],$B$44),VALORHOJA(Datos[[#This Row],[NP]],$D$44)),"")</f>
        <v/>
      </c>
      <c r="AA165" s="148" t="str">
        <f>IFERROR(IF(Datos[[#This Row],[Precio / Millar (Norwork)]]&lt;&gt;"",PRODUCT(Datos[[#This Row],[Precio / Millar (Norwork)]]/1000,Datos[[#This Row],[DEMANDA ANUAL]]),""),"")</f>
        <v/>
      </c>
      <c r="AB16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65" s="148" t="str">
        <f>IFERROR(IF(Datos[[#This Row],[Precio / Millar (Norwork)]]&lt;&gt;"",SUM(Datos[[#This Row],[Ingresos Totales (Norwork)]],-Datos[[#This Row],[Costos Totales (Norwork)]]),""),"")</f>
        <v/>
      </c>
      <c r="AD165" s="153" t="str">
        <f>IFERROR(Datos[[#This Row],[Beneficio (Norwork)]]/Datos[[#This Row],[Ingresos Totales (Norwork)]],"")</f>
        <v/>
      </c>
    </row>
    <row r="166" spans="2:30" x14ac:dyDescent="0.3">
      <c r="B166" s="145" t="s">
        <v>524</v>
      </c>
      <c r="C166" s="145" t="s">
        <v>950</v>
      </c>
      <c r="D166" s="145"/>
      <c r="E166" s="145"/>
      <c r="G166" s="149">
        <v>4224</v>
      </c>
      <c r="H166" s="144"/>
      <c r="W166" s="148" t="s">
        <v>298</v>
      </c>
      <c r="X166" s="148" t="str">
        <f>IFERROR(Datos[[#This Row],[ARIBA PRECIO POR MILLAR (Dólares)]]/1000*Datos[[#This Row],[DEMANDA ANUAL]],"")</f>
        <v/>
      </c>
      <c r="Y166" s="153" t="str">
        <f>IFERROR((Datos[[#This Row],[INGRESO PRECIO ARIBA]]-Datos[[#This Row],[Costos Totales (Norwork)]])/Datos[[#This Row],[INGRESO PRECIO ARIBA]],"")</f>
        <v/>
      </c>
      <c r="Z166" s="148" t="str">
        <f>IFERROR(IF(Datos[[#This Row],[CON ETIQUETA]]="No",VALORHOJA(Datos[[#This Row],[NP]],$B$44),VALORHOJA(Datos[[#This Row],[NP]],$D$44)),"")</f>
        <v/>
      </c>
      <c r="AA166" s="148" t="str">
        <f>IFERROR(IF(Datos[[#This Row],[Precio / Millar (Norwork)]]&lt;&gt;"",PRODUCT(Datos[[#This Row],[Precio / Millar (Norwork)]]/1000,Datos[[#This Row],[DEMANDA ANUAL]]),""),"")</f>
        <v/>
      </c>
      <c r="AB16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66" s="148" t="str">
        <f>IFERROR(IF(Datos[[#This Row],[Precio / Millar (Norwork)]]&lt;&gt;"",SUM(Datos[[#This Row],[Ingresos Totales (Norwork)]],-Datos[[#This Row],[Costos Totales (Norwork)]]),""),"")</f>
        <v/>
      </c>
      <c r="AD166" s="153" t="str">
        <f>IFERROR(Datos[[#This Row],[Beneficio (Norwork)]]/Datos[[#This Row],[Ingresos Totales (Norwork)]],"")</f>
        <v/>
      </c>
    </row>
    <row r="167" spans="2:30" x14ac:dyDescent="0.3">
      <c r="B167" s="173" t="s">
        <v>373</v>
      </c>
      <c r="C167" s="176" t="s">
        <v>802</v>
      </c>
      <c r="D167" s="176" t="s">
        <v>1205</v>
      </c>
      <c r="E167" s="145">
        <v>1</v>
      </c>
      <c r="F167" s="148" t="s">
        <v>202</v>
      </c>
      <c r="G167" s="149">
        <v>4077</v>
      </c>
      <c r="H167" s="144" t="s">
        <v>202</v>
      </c>
      <c r="I167" s="142" t="s">
        <v>202</v>
      </c>
      <c r="J167" s="142" t="s">
        <v>207</v>
      </c>
      <c r="K167" s="142" t="s">
        <v>203</v>
      </c>
      <c r="L167" s="142">
        <v>1</v>
      </c>
      <c r="M167" s="142">
        <v>2</v>
      </c>
      <c r="N167" s="142">
        <v>12</v>
      </c>
      <c r="O167" s="142" t="s">
        <v>195</v>
      </c>
      <c r="P167" s="142" t="s">
        <v>198</v>
      </c>
      <c r="Q167" s="142" t="s">
        <v>199</v>
      </c>
      <c r="S167" s="142" t="s">
        <v>195</v>
      </c>
      <c r="T167" s="142" t="s">
        <v>326</v>
      </c>
      <c r="U167" s="142">
        <v>14</v>
      </c>
      <c r="W167" s="148" t="s">
        <v>298</v>
      </c>
      <c r="X167" s="148" t="str">
        <f>IFERROR(Datos[[#This Row],[ARIBA PRECIO POR MILLAR (Dólares)]]/1000*Datos[[#This Row],[DEMANDA ANUAL]],"")</f>
        <v/>
      </c>
      <c r="Y167" s="153" t="str">
        <f>IFERROR((Datos[[#This Row],[INGRESO PRECIO ARIBA]]-Datos[[#This Row],[Costos Totales (Norwork)]])/Datos[[#This Row],[INGRESO PRECIO ARIBA]],"")</f>
        <v/>
      </c>
      <c r="Z167" s="148">
        <f>IFERROR(IF(Datos[[#This Row],[CON ETIQUETA]]="No",VALORHOJA(Datos[[#This Row],[NP]],$B$44),VALORHOJA(Datos[[#This Row],[NP]],$D$44)),"")</f>
        <v>171.40221377748676</v>
      </c>
      <c r="AA167" s="148">
        <f>IFERROR(IF(Datos[[#This Row],[Precio / Millar (Norwork)]]&lt;&gt;"",PRODUCT(Datos[[#This Row],[Precio / Millar (Norwork)]]/1000,Datos[[#This Row],[DEMANDA ANUAL]]),""),"")</f>
        <v>698.80682557081354</v>
      </c>
      <c r="AB167" s="155">
        <f>IFERROR(IF(Datos[[#This Row],[CON ETIQUETA]]="No",VALORHOJA(Datos[[#This Row],[NP]],$B$63)/VALORHOJA(Datos[[#This Row],[NP]],$B$42),VALORHOJA(Datos[[#This Row],[NP]],$D$63)/VALORHOJA(Datos[[#This Row],[NP]],$D$42)),"")</f>
        <v>489.16477789956957</v>
      </c>
      <c r="AC167" s="148">
        <f>IFERROR(IF(Datos[[#This Row],[Precio / Millar (Norwork)]]&lt;&gt;"",SUM(Datos[[#This Row],[Ingresos Totales (Norwork)]],-Datos[[#This Row],[Costos Totales (Norwork)]]),""),"")</f>
        <v>209.64204767124397</v>
      </c>
      <c r="AD167" s="153">
        <f>IFERROR(Datos[[#This Row],[Beneficio (Norwork)]]/Datos[[#This Row],[Ingresos Totales (Norwork)]],"")</f>
        <v>0.29999999999999988</v>
      </c>
    </row>
    <row r="168" spans="2:30" x14ac:dyDescent="0.3">
      <c r="B168" s="145" t="s">
        <v>417</v>
      </c>
      <c r="C168" s="145" t="s">
        <v>845</v>
      </c>
      <c r="D168" s="145"/>
      <c r="E168" s="145"/>
      <c r="G168" s="149">
        <v>4056</v>
      </c>
      <c r="H168" s="144"/>
      <c r="W168" s="148" t="s">
        <v>298</v>
      </c>
      <c r="X168" s="148" t="str">
        <f>IFERROR(Datos[[#This Row],[ARIBA PRECIO POR MILLAR (Dólares)]]/1000*Datos[[#This Row],[DEMANDA ANUAL]],"")</f>
        <v/>
      </c>
      <c r="Y168" s="153" t="str">
        <f>IFERROR((Datos[[#This Row],[INGRESO PRECIO ARIBA]]-Datos[[#This Row],[Costos Totales (Norwork)]])/Datos[[#This Row],[INGRESO PRECIO ARIBA]],"")</f>
        <v/>
      </c>
      <c r="Z168" s="148" t="str">
        <f>IFERROR(IF(Datos[[#This Row],[CON ETIQUETA]]="No",VALORHOJA(Datos[[#This Row],[NP]],$B$44),VALORHOJA(Datos[[#This Row],[NP]],$D$44)),"")</f>
        <v/>
      </c>
      <c r="AA168" s="148" t="str">
        <f>IFERROR(IF(Datos[[#This Row],[Precio / Millar (Norwork)]]&lt;&gt;"",PRODUCT(Datos[[#This Row],[Precio / Millar (Norwork)]]/1000,Datos[[#This Row],[DEMANDA ANUAL]]),""),"")</f>
        <v/>
      </c>
      <c r="AB16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68" s="148" t="str">
        <f>IFERROR(IF(Datos[[#This Row],[Precio / Millar (Norwork)]]&lt;&gt;"",SUM(Datos[[#This Row],[Ingresos Totales (Norwork)]],-Datos[[#This Row],[Costos Totales (Norwork)]]),""),"")</f>
        <v/>
      </c>
      <c r="AD168" s="153" t="str">
        <f>IFERROR(Datos[[#This Row],[Beneficio (Norwork)]]/Datos[[#This Row],[Ingresos Totales (Norwork)]],"")</f>
        <v/>
      </c>
    </row>
    <row r="169" spans="2:30" x14ac:dyDescent="0.3">
      <c r="B169" s="145" t="s">
        <v>501</v>
      </c>
      <c r="C169" s="145" t="s">
        <v>928</v>
      </c>
      <c r="D169" s="145"/>
      <c r="E169" s="145"/>
      <c r="G169" s="149">
        <v>3918</v>
      </c>
      <c r="H169" s="144"/>
      <c r="W169" s="148" t="s">
        <v>298</v>
      </c>
      <c r="X169" s="148" t="str">
        <f>IFERROR(Datos[[#This Row],[ARIBA PRECIO POR MILLAR (Dólares)]]/1000*Datos[[#This Row],[DEMANDA ANUAL]],"")</f>
        <v/>
      </c>
      <c r="Y169" s="153" t="str">
        <f>IFERROR((Datos[[#This Row],[INGRESO PRECIO ARIBA]]-Datos[[#This Row],[Costos Totales (Norwork)]])/Datos[[#This Row],[INGRESO PRECIO ARIBA]],"")</f>
        <v/>
      </c>
      <c r="Z169" s="148" t="str">
        <f>IFERROR(IF(Datos[[#This Row],[CON ETIQUETA]]="No",VALORHOJA(Datos[[#This Row],[NP]],$B$44),VALORHOJA(Datos[[#This Row],[NP]],$D$44)),"")</f>
        <v/>
      </c>
      <c r="AA169" s="148" t="str">
        <f>IFERROR(IF(Datos[[#This Row],[Precio / Millar (Norwork)]]&lt;&gt;"",PRODUCT(Datos[[#This Row],[Precio / Millar (Norwork)]]/1000,Datos[[#This Row],[DEMANDA ANUAL]]),""),"")</f>
        <v/>
      </c>
      <c r="AB16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69" s="148" t="str">
        <f>IFERROR(IF(Datos[[#This Row],[Precio / Millar (Norwork)]]&lt;&gt;"",SUM(Datos[[#This Row],[Ingresos Totales (Norwork)]],-Datos[[#This Row],[Costos Totales (Norwork)]]),""),"")</f>
        <v/>
      </c>
      <c r="AD169" s="153" t="str">
        <f>IFERROR(Datos[[#This Row],[Beneficio (Norwork)]]/Datos[[#This Row],[Ingresos Totales (Norwork)]],"")</f>
        <v/>
      </c>
    </row>
    <row r="170" spans="2:30" x14ac:dyDescent="0.3">
      <c r="B170" s="145" t="s">
        <v>553</v>
      </c>
      <c r="C170" s="145" t="s">
        <v>978</v>
      </c>
      <c r="D170" s="145"/>
      <c r="E170" s="145"/>
      <c r="G170" s="149">
        <v>3846</v>
      </c>
      <c r="H170" s="144"/>
      <c r="W170" s="148" t="s">
        <v>298</v>
      </c>
      <c r="X170" s="148" t="str">
        <f>IFERROR(Datos[[#This Row],[ARIBA PRECIO POR MILLAR (Dólares)]]/1000*Datos[[#This Row],[DEMANDA ANUAL]],"")</f>
        <v/>
      </c>
      <c r="Y170" s="153" t="str">
        <f>IFERROR((Datos[[#This Row],[INGRESO PRECIO ARIBA]]-Datos[[#This Row],[Costos Totales (Norwork)]])/Datos[[#This Row],[INGRESO PRECIO ARIBA]],"")</f>
        <v/>
      </c>
      <c r="Z170" s="148" t="str">
        <f>IFERROR(IF(Datos[[#This Row],[CON ETIQUETA]]="No",VALORHOJA(Datos[[#This Row],[NP]],$B$44),VALORHOJA(Datos[[#This Row],[NP]],$D$44)),"")</f>
        <v/>
      </c>
      <c r="AA170" s="148" t="str">
        <f>IFERROR(IF(Datos[[#This Row],[Precio / Millar (Norwork)]]&lt;&gt;"",PRODUCT(Datos[[#This Row],[Precio / Millar (Norwork)]]/1000,Datos[[#This Row],[DEMANDA ANUAL]]),""),"")</f>
        <v/>
      </c>
      <c r="AB17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70" s="148" t="str">
        <f>IFERROR(IF(Datos[[#This Row],[Precio / Millar (Norwork)]]&lt;&gt;"",SUM(Datos[[#This Row],[Ingresos Totales (Norwork)]],-Datos[[#This Row],[Costos Totales (Norwork)]]),""),"")</f>
        <v/>
      </c>
      <c r="AD170" s="153" t="str">
        <f>IFERROR(Datos[[#This Row],[Beneficio (Norwork)]]/Datos[[#This Row],[Ingresos Totales (Norwork)]],"")</f>
        <v/>
      </c>
    </row>
    <row r="171" spans="2:30" x14ac:dyDescent="0.3">
      <c r="B171" s="145" t="s">
        <v>554</v>
      </c>
      <c r="C171" s="145" t="s">
        <v>978</v>
      </c>
      <c r="D171" s="145"/>
      <c r="E171" s="145"/>
      <c r="G171" s="149">
        <v>3846</v>
      </c>
      <c r="H171" s="144"/>
      <c r="W171" s="148" t="s">
        <v>298</v>
      </c>
      <c r="X171" s="148" t="str">
        <f>IFERROR(Datos[[#This Row],[ARIBA PRECIO POR MILLAR (Dólares)]]/1000*Datos[[#This Row],[DEMANDA ANUAL]],"")</f>
        <v/>
      </c>
      <c r="Y171" s="153" t="str">
        <f>IFERROR((Datos[[#This Row],[INGRESO PRECIO ARIBA]]-Datos[[#This Row],[Costos Totales (Norwork)]])/Datos[[#This Row],[INGRESO PRECIO ARIBA]],"")</f>
        <v/>
      </c>
      <c r="Z171" s="148" t="str">
        <f>IFERROR(IF(Datos[[#This Row],[CON ETIQUETA]]="No",VALORHOJA(Datos[[#This Row],[NP]],$B$44),VALORHOJA(Datos[[#This Row],[NP]],$D$44)),"")</f>
        <v/>
      </c>
      <c r="AA171" s="148" t="str">
        <f>IFERROR(IF(Datos[[#This Row],[Precio / Millar (Norwork)]]&lt;&gt;"",PRODUCT(Datos[[#This Row],[Precio / Millar (Norwork)]]/1000,Datos[[#This Row],[DEMANDA ANUAL]]),""),"")</f>
        <v/>
      </c>
      <c r="AB17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71" s="148" t="str">
        <f>IFERROR(IF(Datos[[#This Row],[Precio / Millar (Norwork)]]&lt;&gt;"",SUM(Datos[[#This Row],[Ingresos Totales (Norwork)]],-Datos[[#This Row],[Costos Totales (Norwork)]]),""),"")</f>
        <v/>
      </c>
      <c r="AD171" s="153" t="str">
        <f>IFERROR(Datos[[#This Row],[Beneficio (Norwork)]]/Datos[[#This Row],[Ingresos Totales (Norwork)]],"")</f>
        <v/>
      </c>
    </row>
    <row r="172" spans="2:30" x14ac:dyDescent="0.3">
      <c r="B172" s="145" t="s">
        <v>555</v>
      </c>
      <c r="C172" s="145" t="s">
        <v>979</v>
      </c>
      <c r="D172" s="145"/>
      <c r="E172" s="145"/>
      <c r="G172" s="149">
        <v>3840</v>
      </c>
      <c r="H172" s="144"/>
      <c r="W172" s="148" t="s">
        <v>298</v>
      </c>
      <c r="X172" s="148" t="str">
        <f>IFERROR(Datos[[#This Row],[ARIBA PRECIO POR MILLAR (Dólares)]]/1000*Datos[[#This Row],[DEMANDA ANUAL]],"")</f>
        <v/>
      </c>
      <c r="Y172" s="153" t="str">
        <f>IFERROR((Datos[[#This Row],[INGRESO PRECIO ARIBA]]-Datos[[#This Row],[Costos Totales (Norwork)]])/Datos[[#This Row],[INGRESO PRECIO ARIBA]],"")</f>
        <v/>
      </c>
      <c r="Z172" s="148" t="str">
        <f>IFERROR(IF(Datos[[#This Row],[CON ETIQUETA]]="No",VALORHOJA(Datos[[#This Row],[NP]],$B$44),VALORHOJA(Datos[[#This Row],[NP]],$D$44)),"")</f>
        <v/>
      </c>
      <c r="AA172" s="148" t="str">
        <f>IFERROR(IF(Datos[[#This Row],[Precio / Millar (Norwork)]]&lt;&gt;"",PRODUCT(Datos[[#This Row],[Precio / Millar (Norwork)]]/1000,Datos[[#This Row],[DEMANDA ANUAL]]),""),"")</f>
        <v/>
      </c>
      <c r="AB17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72" s="148" t="str">
        <f>IFERROR(IF(Datos[[#This Row],[Precio / Millar (Norwork)]]&lt;&gt;"",SUM(Datos[[#This Row],[Ingresos Totales (Norwork)]],-Datos[[#This Row],[Costos Totales (Norwork)]]),""),"")</f>
        <v/>
      </c>
      <c r="AD172" s="153" t="str">
        <f>IFERROR(Datos[[#This Row],[Beneficio (Norwork)]]/Datos[[#This Row],[Ingresos Totales (Norwork)]],"")</f>
        <v/>
      </c>
    </row>
    <row r="173" spans="2:30" x14ac:dyDescent="0.3">
      <c r="B173" s="145" t="s">
        <v>462</v>
      </c>
      <c r="C173" s="176" t="s">
        <v>889</v>
      </c>
      <c r="D173" s="176"/>
      <c r="E173" s="145"/>
      <c r="F173" s="153"/>
      <c r="G173" s="149">
        <v>3756</v>
      </c>
      <c r="H173" s="144"/>
      <c r="W173" s="148" t="s">
        <v>298</v>
      </c>
      <c r="X173" s="148" t="str">
        <f>IFERROR(Datos[[#This Row],[ARIBA PRECIO POR MILLAR (Dólares)]]/1000*Datos[[#This Row],[DEMANDA ANUAL]],"")</f>
        <v/>
      </c>
      <c r="Y173" s="153" t="str">
        <f>IFERROR((Datos[[#This Row],[INGRESO PRECIO ARIBA]]-Datos[[#This Row],[Costos Totales (Norwork)]])/Datos[[#This Row],[INGRESO PRECIO ARIBA]],"")</f>
        <v/>
      </c>
      <c r="Z173" s="148" t="str">
        <f>IFERROR(IF(Datos[[#This Row],[CON ETIQUETA]]="No",VALORHOJA(Datos[[#This Row],[NP]],$B$44),VALORHOJA(Datos[[#This Row],[NP]],$D$44)),"")</f>
        <v/>
      </c>
      <c r="AA173" s="148" t="str">
        <f>IFERROR(IF(Datos[[#This Row],[Precio / Millar (Norwork)]]&lt;&gt;"",PRODUCT(Datos[[#This Row],[Precio / Millar (Norwork)]]/1000,Datos[[#This Row],[DEMANDA ANUAL]]),""),"")</f>
        <v/>
      </c>
      <c r="AB17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73" s="148" t="str">
        <f>IFERROR(IF(Datos[[#This Row],[Precio / Millar (Norwork)]]&lt;&gt;"",SUM(Datos[[#This Row],[Ingresos Totales (Norwork)]],-Datos[[#This Row],[Costos Totales (Norwork)]]),""),"")</f>
        <v/>
      </c>
      <c r="AD173" s="153" t="str">
        <f>IFERROR(Datos[[#This Row],[Beneficio (Norwork)]]/Datos[[#This Row],[Ingresos Totales (Norwork)]],"")</f>
        <v/>
      </c>
    </row>
    <row r="174" spans="2:30" x14ac:dyDescent="0.3">
      <c r="B174" s="145" t="s">
        <v>465</v>
      </c>
      <c r="C174" s="176" t="s">
        <v>892</v>
      </c>
      <c r="D174" s="176"/>
      <c r="E174" s="145"/>
      <c r="F174" s="153"/>
      <c r="G174" s="149">
        <v>3648</v>
      </c>
      <c r="H174" s="144"/>
      <c r="W174" s="148" t="s">
        <v>298</v>
      </c>
      <c r="X174" s="148" t="str">
        <f>IFERROR(Datos[[#This Row],[ARIBA PRECIO POR MILLAR (Dólares)]]/1000*Datos[[#This Row],[DEMANDA ANUAL]],"")</f>
        <v/>
      </c>
      <c r="Y174" s="153" t="str">
        <f>IFERROR((Datos[[#This Row],[INGRESO PRECIO ARIBA]]-Datos[[#This Row],[Costos Totales (Norwork)]])/Datos[[#This Row],[INGRESO PRECIO ARIBA]],"")</f>
        <v/>
      </c>
      <c r="Z174" s="148" t="str">
        <f>IFERROR(IF(Datos[[#This Row],[CON ETIQUETA]]="No",VALORHOJA(Datos[[#This Row],[NP]],$B$44),VALORHOJA(Datos[[#This Row],[NP]],$D$44)),"")</f>
        <v/>
      </c>
      <c r="AA174" s="148" t="str">
        <f>IFERROR(IF(Datos[[#This Row],[Precio / Millar (Norwork)]]&lt;&gt;"",PRODUCT(Datos[[#This Row],[Precio / Millar (Norwork)]]/1000,Datos[[#This Row],[DEMANDA ANUAL]]),""),"")</f>
        <v/>
      </c>
      <c r="AB17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74" s="148" t="str">
        <f>IFERROR(IF(Datos[[#This Row],[Precio / Millar (Norwork)]]&lt;&gt;"",SUM(Datos[[#This Row],[Ingresos Totales (Norwork)]],-Datos[[#This Row],[Costos Totales (Norwork)]]),""),"")</f>
        <v/>
      </c>
      <c r="AD174" s="153" t="str">
        <f>IFERROR(Datos[[#This Row],[Beneficio (Norwork)]]/Datos[[#This Row],[Ingresos Totales (Norwork)]],"")</f>
        <v/>
      </c>
    </row>
    <row r="175" spans="2:30" x14ac:dyDescent="0.3">
      <c r="B175" s="145" t="s">
        <v>486</v>
      </c>
      <c r="C175" s="145" t="s">
        <v>913</v>
      </c>
      <c r="D175" s="145"/>
      <c r="E175" s="145"/>
      <c r="G175" s="149">
        <v>3630</v>
      </c>
      <c r="H175" s="144"/>
      <c r="W175" s="148" t="s">
        <v>298</v>
      </c>
      <c r="X175" s="148" t="str">
        <f>IFERROR(Datos[[#This Row],[ARIBA PRECIO POR MILLAR (Dólares)]]/1000*Datos[[#This Row],[DEMANDA ANUAL]],"")</f>
        <v/>
      </c>
      <c r="Y175" s="153" t="str">
        <f>IFERROR((Datos[[#This Row],[INGRESO PRECIO ARIBA]]-Datos[[#This Row],[Costos Totales (Norwork)]])/Datos[[#This Row],[INGRESO PRECIO ARIBA]],"")</f>
        <v/>
      </c>
      <c r="Z175" s="148" t="str">
        <f>IFERROR(IF(Datos[[#This Row],[CON ETIQUETA]]="No",VALORHOJA(Datos[[#This Row],[NP]],$B$44),VALORHOJA(Datos[[#This Row],[NP]],$D$44)),"")</f>
        <v/>
      </c>
      <c r="AA175" s="148" t="str">
        <f>IFERROR(IF(Datos[[#This Row],[Precio / Millar (Norwork)]]&lt;&gt;"",PRODUCT(Datos[[#This Row],[Precio / Millar (Norwork)]]/1000,Datos[[#This Row],[DEMANDA ANUAL]]),""),"")</f>
        <v/>
      </c>
      <c r="AB17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75" s="148" t="str">
        <f>IFERROR(IF(Datos[[#This Row],[Precio / Millar (Norwork)]]&lt;&gt;"",SUM(Datos[[#This Row],[Ingresos Totales (Norwork)]],-Datos[[#This Row],[Costos Totales (Norwork)]]),""),"")</f>
        <v/>
      </c>
      <c r="AD175" s="153" t="str">
        <f>IFERROR(Datos[[#This Row],[Beneficio (Norwork)]]/Datos[[#This Row],[Ingresos Totales (Norwork)]],"")</f>
        <v/>
      </c>
    </row>
    <row r="176" spans="2:30" x14ac:dyDescent="0.3">
      <c r="B176" s="145" t="s">
        <v>558</v>
      </c>
      <c r="C176" s="145" t="s">
        <v>982</v>
      </c>
      <c r="D176" s="145"/>
      <c r="E176" s="145"/>
      <c r="G176" s="149">
        <v>3588</v>
      </c>
      <c r="H176" s="144"/>
      <c r="W176" s="148" t="s">
        <v>298</v>
      </c>
      <c r="X176" s="148" t="str">
        <f>IFERROR(Datos[[#This Row],[ARIBA PRECIO POR MILLAR (Dólares)]]/1000*Datos[[#This Row],[DEMANDA ANUAL]],"")</f>
        <v/>
      </c>
      <c r="Y176" s="153" t="str">
        <f>IFERROR((Datos[[#This Row],[INGRESO PRECIO ARIBA]]-Datos[[#This Row],[Costos Totales (Norwork)]])/Datos[[#This Row],[INGRESO PRECIO ARIBA]],"")</f>
        <v/>
      </c>
      <c r="Z176" s="148" t="str">
        <f>IFERROR(IF(Datos[[#This Row],[CON ETIQUETA]]="No",VALORHOJA(Datos[[#This Row],[NP]],$B$44),VALORHOJA(Datos[[#This Row],[NP]],$D$44)),"")</f>
        <v/>
      </c>
      <c r="AA176" s="148" t="str">
        <f>IFERROR(IF(Datos[[#This Row],[Precio / Millar (Norwork)]]&lt;&gt;"",PRODUCT(Datos[[#This Row],[Precio / Millar (Norwork)]]/1000,Datos[[#This Row],[DEMANDA ANUAL]]),""),"")</f>
        <v/>
      </c>
      <c r="AB17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76" s="148" t="str">
        <f>IFERROR(IF(Datos[[#This Row],[Precio / Millar (Norwork)]]&lt;&gt;"",SUM(Datos[[#This Row],[Ingresos Totales (Norwork)]],-Datos[[#This Row],[Costos Totales (Norwork)]]),""),"")</f>
        <v/>
      </c>
      <c r="AD176" s="153" t="str">
        <f>IFERROR(Datos[[#This Row],[Beneficio (Norwork)]]/Datos[[#This Row],[Ingresos Totales (Norwork)]],"")</f>
        <v/>
      </c>
    </row>
    <row r="177" spans="2:30" x14ac:dyDescent="0.3">
      <c r="B177" s="145" t="s">
        <v>450</v>
      </c>
      <c r="C177" s="176" t="s">
        <v>877</v>
      </c>
      <c r="D177" s="176"/>
      <c r="E177" s="145"/>
      <c r="F177" s="153"/>
      <c r="G177" s="149">
        <v>3524</v>
      </c>
      <c r="H177" s="144"/>
      <c r="W177" s="148" t="s">
        <v>298</v>
      </c>
      <c r="X177" s="148" t="str">
        <f>IFERROR(Datos[[#This Row],[ARIBA PRECIO POR MILLAR (Dólares)]]/1000*Datos[[#This Row],[DEMANDA ANUAL]],"")</f>
        <v/>
      </c>
      <c r="Y177" s="153" t="str">
        <f>IFERROR((Datos[[#This Row],[INGRESO PRECIO ARIBA]]-Datos[[#This Row],[Costos Totales (Norwork)]])/Datos[[#This Row],[INGRESO PRECIO ARIBA]],"")</f>
        <v/>
      </c>
      <c r="Z177" s="148" t="str">
        <f>IFERROR(IF(Datos[[#This Row],[CON ETIQUETA]]="No",VALORHOJA(Datos[[#This Row],[NP]],$B$44),VALORHOJA(Datos[[#This Row],[NP]],$D$44)),"")</f>
        <v/>
      </c>
      <c r="AA177" s="148" t="str">
        <f>IFERROR(IF(Datos[[#This Row],[Precio / Millar (Norwork)]]&lt;&gt;"",PRODUCT(Datos[[#This Row],[Precio / Millar (Norwork)]]/1000,Datos[[#This Row],[DEMANDA ANUAL]]),""),"")</f>
        <v/>
      </c>
      <c r="AB17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77" s="148" t="str">
        <f>IFERROR(IF(Datos[[#This Row],[Precio / Millar (Norwork)]]&lt;&gt;"",SUM(Datos[[#This Row],[Ingresos Totales (Norwork)]],-Datos[[#This Row],[Costos Totales (Norwork)]]),""),"")</f>
        <v/>
      </c>
      <c r="AD177" s="153" t="str">
        <f>IFERROR(Datos[[#This Row],[Beneficio (Norwork)]]/Datos[[#This Row],[Ingresos Totales (Norwork)]],"")</f>
        <v/>
      </c>
    </row>
    <row r="178" spans="2:30" x14ac:dyDescent="0.3">
      <c r="B178" s="145" t="s">
        <v>531</v>
      </c>
      <c r="C178" s="145" t="s">
        <v>957</v>
      </c>
      <c r="D178" s="145"/>
      <c r="E178" s="145"/>
      <c r="G178" s="149">
        <v>3397</v>
      </c>
      <c r="H178" s="144"/>
      <c r="W178" s="148" t="s">
        <v>298</v>
      </c>
      <c r="X178" s="148" t="str">
        <f>IFERROR(Datos[[#This Row],[ARIBA PRECIO POR MILLAR (Dólares)]]/1000*Datos[[#This Row],[DEMANDA ANUAL]],"")</f>
        <v/>
      </c>
      <c r="Y178" s="153" t="str">
        <f>IFERROR((Datos[[#This Row],[INGRESO PRECIO ARIBA]]-Datos[[#This Row],[Costos Totales (Norwork)]])/Datos[[#This Row],[INGRESO PRECIO ARIBA]],"")</f>
        <v/>
      </c>
      <c r="Z178" s="148" t="str">
        <f>IFERROR(IF(Datos[[#This Row],[CON ETIQUETA]]="No",VALORHOJA(Datos[[#This Row],[NP]],$B$44),VALORHOJA(Datos[[#This Row],[NP]],$D$44)),"")</f>
        <v/>
      </c>
      <c r="AA178" s="148" t="str">
        <f>IFERROR(IF(Datos[[#This Row],[Precio / Millar (Norwork)]]&lt;&gt;"",PRODUCT(Datos[[#This Row],[Precio / Millar (Norwork)]]/1000,Datos[[#This Row],[DEMANDA ANUAL]]),""),"")</f>
        <v/>
      </c>
      <c r="AB17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78" s="148" t="str">
        <f>IFERROR(IF(Datos[[#This Row],[Precio / Millar (Norwork)]]&lt;&gt;"",SUM(Datos[[#This Row],[Ingresos Totales (Norwork)]],-Datos[[#This Row],[Costos Totales (Norwork)]]),""),"")</f>
        <v/>
      </c>
      <c r="AD178" s="153" t="str">
        <f>IFERROR(Datos[[#This Row],[Beneficio (Norwork)]]/Datos[[#This Row],[Ingresos Totales (Norwork)]],"")</f>
        <v/>
      </c>
    </row>
    <row r="179" spans="2:30" x14ac:dyDescent="0.3">
      <c r="B179" s="145" t="s">
        <v>492</v>
      </c>
      <c r="C179" s="177" t="s">
        <v>919</v>
      </c>
      <c r="D179" s="177"/>
      <c r="E179" s="145"/>
      <c r="G179" s="149">
        <v>3365</v>
      </c>
      <c r="H179" s="144"/>
      <c r="W179" s="148" t="s">
        <v>298</v>
      </c>
      <c r="X179" s="148" t="str">
        <f>IFERROR(Datos[[#This Row],[ARIBA PRECIO POR MILLAR (Dólares)]]/1000*Datos[[#This Row],[DEMANDA ANUAL]],"")</f>
        <v/>
      </c>
      <c r="Y179" s="153" t="str">
        <f>IFERROR((Datos[[#This Row],[INGRESO PRECIO ARIBA]]-Datos[[#This Row],[Costos Totales (Norwork)]])/Datos[[#This Row],[INGRESO PRECIO ARIBA]],"")</f>
        <v/>
      </c>
      <c r="Z179" s="148" t="str">
        <f>IFERROR(IF(Datos[[#This Row],[CON ETIQUETA]]="No",VALORHOJA(Datos[[#This Row],[NP]],$B$44),VALORHOJA(Datos[[#This Row],[NP]],$D$44)),"")</f>
        <v/>
      </c>
      <c r="AA179" s="148" t="str">
        <f>IFERROR(IF(Datos[[#This Row],[Precio / Millar (Norwork)]]&lt;&gt;"",PRODUCT(Datos[[#This Row],[Precio / Millar (Norwork)]]/1000,Datos[[#This Row],[DEMANDA ANUAL]]),""),"")</f>
        <v/>
      </c>
      <c r="AB17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79" s="148" t="str">
        <f>IFERROR(IF(Datos[[#This Row],[Precio / Millar (Norwork)]]&lt;&gt;"",SUM(Datos[[#This Row],[Ingresos Totales (Norwork)]],-Datos[[#This Row],[Costos Totales (Norwork)]]),""),"")</f>
        <v/>
      </c>
      <c r="AD179" s="153" t="str">
        <f>IFERROR(Datos[[#This Row],[Beneficio (Norwork)]]/Datos[[#This Row],[Ingresos Totales (Norwork)]],"")</f>
        <v/>
      </c>
    </row>
    <row r="180" spans="2:30" x14ac:dyDescent="0.3">
      <c r="B180" s="145" t="s">
        <v>493</v>
      </c>
      <c r="C180" s="177" t="s">
        <v>920</v>
      </c>
      <c r="D180" s="177"/>
      <c r="E180" s="145"/>
      <c r="G180" s="149">
        <v>3336</v>
      </c>
      <c r="H180" s="144"/>
      <c r="W180" s="148" t="s">
        <v>298</v>
      </c>
      <c r="X180" s="148" t="str">
        <f>IFERROR(Datos[[#This Row],[ARIBA PRECIO POR MILLAR (Dólares)]]/1000*Datos[[#This Row],[DEMANDA ANUAL]],"")</f>
        <v/>
      </c>
      <c r="Y180" s="153" t="str">
        <f>IFERROR((Datos[[#This Row],[INGRESO PRECIO ARIBA]]-Datos[[#This Row],[Costos Totales (Norwork)]])/Datos[[#This Row],[INGRESO PRECIO ARIBA]],"")</f>
        <v/>
      </c>
      <c r="Z180" s="148" t="str">
        <f>IFERROR(IF(Datos[[#This Row],[CON ETIQUETA]]="No",VALORHOJA(Datos[[#This Row],[NP]],$B$44),VALORHOJA(Datos[[#This Row],[NP]],$D$44)),"")</f>
        <v/>
      </c>
      <c r="AA180" s="148" t="str">
        <f>IFERROR(IF(Datos[[#This Row],[Precio / Millar (Norwork)]]&lt;&gt;"",PRODUCT(Datos[[#This Row],[Precio / Millar (Norwork)]]/1000,Datos[[#This Row],[DEMANDA ANUAL]]),""),"")</f>
        <v/>
      </c>
      <c r="AB18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80" s="148" t="str">
        <f>IFERROR(IF(Datos[[#This Row],[Precio / Millar (Norwork)]]&lt;&gt;"",SUM(Datos[[#This Row],[Ingresos Totales (Norwork)]],-Datos[[#This Row],[Costos Totales (Norwork)]]),""),"")</f>
        <v/>
      </c>
      <c r="AD180" s="153" t="str">
        <f>IFERROR(Datos[[#This Row],[Beneficio (Norwork)]]/Datos[[#This Row],[Ingresos Totales (Norwork)]],"")</f>
        <v/>
      </c>
    </row>
    <row r="181" spans="2:30" x14ac:dyDescent="0.3">
      <c r="B181" s="145" t="s">
        <v>562</v>
      </c>
      <c r="C181" s="145" t="s">
        <v>986</v>
      </c>
      <c r="D181" s="145"/>
      <c r="E181" s="145"/>
      <c r="G181" s="149">
        <v>3336</v>
      </c>
      <c r="H181" s="144"/>
      <c r="W181" s="148" t="s">
        <v>298</v>
      </c>
      <c r="X181" s="148" t="str">
        <f>IFERROR(Datos[[#This Row],[ARIBA PRECIO POR MILLAR (Dólares)]]/1000*Datos[[#This Row],[DEMANDA ANUAL]],"")</f>
        <v/>
      </c>
      <c r="Y181" s="153" t="str">
        <f>IFERROR((Datos[[#This Row],[INGRESO PRECIO ARIBA]]-Datos[[#This Row],[Costos Totales (Norwork)]])/Datos[[#This Row],[INGRESO PRECIO ARIBA]],"")</f>
        <v/>
      </c>
      <c r="Z181" s="148" t="str">
        <f>IFERROR(IF(Datos[[#This Row],[CON ETIQUETA]]="No",VALORHOJA(Datos[[#This Row],[NP]],$B$44),VALORHOJA(Datos[[#This Row],[NP]],$D$44)),"")</f>
        <v/>
      </c>
      <c r="AA181" s="148" t="str">
        <f>IFERROR(IF(Datos[[#This Row],[Precio / Millar (Norwork)]]&lt;&gt;"",PRODUCT(Datos[[#This Row],[Precio / Millar (Norwork)]]/1000,Datos[[#This Row],[DEMANDA ANUAL]]),""),"")</f>
        <v/>
      </c>
      <c r="AB18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81" s="148" t="str">
        <f>IFERROR(IF(Datos[[#This Row],[Precio / Millar (Norwork)]]&lt;&gt;"",SUM(Datos[[#This Row],[Ingresos Totales (Norwork)]],-Datos[[#This Row],[Costos Totales (Norwork)]]),""),"")</f>
        <v/>
      </c>
      <c r="AD181" s="153" t="str">
        <f>IFERROR(Datos[[#This Row],[Beneficio (Norwork)]]/Datos[[#This Row],[Ingresos Totales (Norwork)]],"")</f>
        <v/>
      </c>
    </row>
    <row r="182" spans="2:30" x14ac:dyDescent="0.3">
      <c r="B182" s="145" t="s">
        <v>563</v>
      </c>
      <c r="C182" s="145" t="s">
        <v>987</v>
      </c>
      <c r="D182" s="145"/>
      <c r="E182" s="145"/>
      <c r="G182" s="149">
        <v>3268</v>
      </c>
      <c r="H182" s="144"/>
      <c r="W182" s="148" t="s">
        <v>298</v>
      </c>
      <c r="X182" s="148" t="str">
        <f>IFERROR(Datos[[#This Row],[ARIBA PRECIO POR MILLAR (Dólares)]]/1000*Datos[[#This Row],[DEMANDA ANUAL]],"")</f>
        <v/>
      </c>
      <c r="Y182" s="153" t="str">
        <f>IFERROR((Datos[[#This Row],[INGRESO PRECIO ARIBA]]-Datos[[#This Row],[Costos Totales (Norwork)]])/Datos[[#This Row],[INGRESO PRECIO ARIBA]],"")</f>
        <v/>
      </c>
      <c r="Z182" s="148" t="str">
        <f>IFERROR(IF(Datos[[#This Row],[CON ETIQUETA]]="No",VALORHOJA(Datos[[#This Row],[NP]],$B$44),VALORHOJA(Datos[[#This Row],[NP]],$D$44)),"")</f>
        <v/>
      </c>
      <c r="AA182" s="148" t="str">
        <f>IFERROR(IF(Datos[[#This Row],[Precio / Millar (Norwork)]]&lt;&gt;"",PRODUCT(Datos[[#This Row],[Precio / Millar (Norwork)]]/1000,Datos[[#This Row],[DEMANDA ANUAL]]),""),"")</f>
        <v/>
      </c>
      <c r="AB18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82" s="148" t="str">
        <f>IFERROR(IF(Datos[[#This Row],[Precio / Millar (Norwork)]]&lt;&gt;"",SUM(Datos[[#This Row],[Ingresos Totales (Norwork)]],-Datos[[#This Row],[Costos Totales (Norwork)]]),""),"")</f>
        <v/>
      </c>
      <c r="AD182" s="153" t="str">
        <f>IFERROR(Datos[[#This Row],[Beneficio (Norwork)]]/Datos[[#This Row],[Ingresos Totales (Norwork)]],"")</f>
        <v/>
      </c>
    </row>
    <row r="183" spans="2:30" x14ac:dyDescent="0.3">
      <c r="B183" s="145" t="s">
        <v>564</v>
      </c>
      <c r="C183" s="145" t="s">
        <v>988</v>
      </c>
      <c r="D183" s="145"/>
      <c r="E183" s="145"/>
      <c r="G183" s="149">
        <v>3268</v>
      </c>
      <c r="H183" s="144"/>
      <c r="W183" s="148" t="s">
        <v>298</v>
      </c>
      <c r="X183" s="148" t="str">
        <f>IFERROR(Datos[[#This Row],[ARIBA PRECIO POR MILLAR (Dólares)]]/1000*Datos[[#This Row],[DEMANDA ANUAL]],"")</f>
        <v/>
      </c>
      <c r="Y183" s="153" t="str">
        <f>IFERROR((Datos[[#This Row],[INGRESO PRECIO ARIBA]]-Datos[[#This Row],[Costos Totales (Norwork)]])/Datos[[#This Row],[INGRESO PRECIO ARIBA]],"")</f>
        <v/>
      </c>
      <c r="Z183" s="148" t="str">
        <f>IFERROR(IF(Datos[[#This Row],[CON ETIQUETA]]="No",VALORHOJA(Datos[[#This Row],[NP]],$B$44),VALORHOJA(Datos[[#This Row],[NP]],$D$44)),"")</f>
        <v/>
      </c>
      <c r="AA183" s="148" t="str">
        <f>IFERROR(IF(Datos[[#This Row],[Precio / Millar (Norwork)]]&lt;&gt;"",PRODUCT(Datos[[#This Row],[Precio / Millar (Norwork)]]/1000,Datos[[#This Row],[DEMANDA ANUAL]]),""),"")</f>
        <v/>
      </c>
      <c r="AB18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83" s="148" t="str">
        <f>IFERROR(IF(Datos[[#This Row],[Precio / Millar (Norwork)]]&lt;&gt;"",SUM(Datos[[#This Row],[Ingresos Totales (Norwork)]],-Datos[[#This Row],[Costos Totales (Norwork)]]),""),"")</f>
        <v/>
      </c>
      <c r="AD183" s="153" t="str">
        <f>IFERROR(Datos[[#This Row],[Beneficio (Norwork)]]/Datos[[#This Row],[Ingresos Totales (Norwork)]],"")</f>
        <v/>
      </c>
    </row>
    <row r="184" spans="2:30" x14ac:dyDescent="0.3">
      <c r="B184" s="145" t="s">
        <v>567</v>
      </c>
      <c r="C184" s="178" t="s">
        <v>991</v>
      </c>
      <c r="D184" s="178"/>
      <c r="E184" s="145"/>
      <c r="G184" s="149">
        <v>3240</v>
      </c>
      <c r="H184" s="144"/>
      <c r="W184" s="148" t="s">
        <v>298</v>
      </c>
      <c r="X184" s="148" t="str">
        <f>IFERROR(Datos[[#This Row],[ARIBA PRECIO POR MILLAR (Dólares)]]/1000*Datos[[#This Row],[DEMANDA ANUAL]],"")</f>
        <v/>
      </c>
      <c r="Y184" s="153" t="str">
        <f>IFERROR((Datos[[#This Row],[INGRESO PRECIO ARIBA]]-Datos[[#This Row],[Costos Totales (Norwork)]])/Datos[[#This Row],[INGRESO PRECIO ARIBA]],"")</f>
        <v/>
      </c>
      <c r="Z184" s="148" t="str">
        <f>IFERROR(IF(Datos[[#This Row],[CON ETIQUETA]]="No",VALORHOJA(Datos[[#This Row],[NP]],$B$44),VALORHOJA(Datos[[#This Row],[NP]],$D$44)),"")</f>
        <v/>
      </c>
      <c r="AA184" s="148" t="str">
        <f>IFERROR(IF(Datos[[#This Row],[Precio / Millar (Norwork)]]&lt;&gt;"",PRODUCT(Datos[[#This Row],[Precio / Millar (Norwork)]]/1000,Datos[[#This Row],[DEMANDA ANUAL]]),""),"")</f>
        <v/>
      </c>
      <c r="AB18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84" s="148" t="str">
        <f>IFERROR(IF(Datos[[#This Row],[Precio / Millar (Norwork)]]&lt;&gt;"",SUM(Datos[[#This Row],[Ingresos Totales (Norwork)]],-Datos[[#This Row],[Costos Totales (Norwork)]]),""),"")</f>
        <v/>
      </c>
      <c r="AD184" s="153" t="str">
        <f>IFERROR(Datos[[#This Row],[Beneficio (Norwork)]]/Datos[[#This Row],[Ingresos Totales (Norwork)]],"")</f>
        <v/>
      </c>
    </row>
    <row r="185" spans="2:30" x14ac:dyDescent="0.3">
      <c r="B185" s="145" t="s">
        <v>568</v>
      </c>
      <c r="C185" s="178" t="s">
        <v>992</v>
      </c>
      <c r="D185" s="178"/>
      <c r="E185" s="145"/>
      <c r="G185" s="149">
        <v>3234</v>
      </c>
      <c r="H185" s="144"/>
      <c r="W185" s="148" t="s">
        <v>298</v>
      </c>
      <c r="X185" s="148" t="str">
        <f>IFERROR(Datos[[#This Row],[ARIBA PRECIO POR MILLAR (Dólares)]]/1000*Datos[[#This Row],[DEMANDA ANUAL]],"")</f>
        <v/>
      </c>
      <c r="Y185" s="153" t="str">
        <f>IFERROR((Datos[[#This Row],[INGRESO PRECIO ARIBA]]-Datos[[#This Row],[Costos Totales (Norwork)]])/Datos[[#This Row],[INGRESO PRECIO ARIBA]],"")</f>
        <v/>
      </c>
      <c r="Z185" s="148" t="str">
        <f>IFERROR(IF(Datos[[#This Row],[CON ETIQUETA]]="No",VALORHOJA(Datos[[#This Row],[NP]],$B$44),VALORHOJA(Datos[[#This Row],[NP]],$D$44)),"")</f>
        <v/>
      </c>
      <c r="AA185" s="148" t="str">
        <f>IFERROR(IF(Datos[[#This Row],[Precio / Millar (Norwork)]]&lt;&gt;"",PRODUCT(Datos[[#This Row],[Precio / Millar (Norwork)]]/1000,Datos[[#This Row],[DEMANDA ANUAL]]),""),"")</f>
        <v/>
      </c>
      <c r="AB18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85" s="148" t="str">
        <f>IFERROR(IF(Datos[[#This Row],[Precio / Millar (Norwork)]]&lt;&gt;"",SUM(Datos[[#This Row],[Ingresos Totales (Norwork)]],-Datos[[#This Row],[Costos Totales (Norwork)]]),""),"")</f>
        <v/>
      </c>
      <c r="AD185" s="153" t="str">
        <f>IFERROR(Datos[[#This Row],[Beneficio (Norwork)]]/Datos[[#This Row],[Ingresos Totales (Norwork)]],"")</f>
        <v/>
      </c>
    </row>
    <row r="186" spans="2:30" x14ac:dyDescent="0.3">
      <c r="B186" s="145" t="s">
        <v>559</v>
      </c>
      <c r="C186" s="145" t="s">
        <v>983</v>
      </c>
      <c r="D186" s="145"/>
      <c r="E186" s="145"/>
      <c r="G186" s="149">
        <v>3200</v>
      </c>
      <c r="H186" s="144"/>
      <c r="W186" s="148" t="s">
        <v>298</v>
      </c>
      <c r="X186" s="148" t="str">
        <f>IFERROR(Datos[[#This Row],[ARIBA PRECIO POR MILLAR (Dólares)]]/1000*Datos[[#This Row],[DEMANDA ANUAL]],"")</f>
        <v/>
      </c>
      <c r="Y186" s="153" t="str">
        <f>IFERROR((Datos[[#This Row],[INGRESO PRECIO ARIBA]]-Datos[[#This Row],[Costos Totales (Norwork)]])/Datos[[#This Row],[INGRESO PRECIO ARIBA]],"")</f>
        <v/>
      </c>
      <c r="Z186" s="148" t="str">
        <f>IFERROR(IF(Datos[[#This Row],[CON ETIQUETA]]="No",VALORHOJA(Datos[[#This Row],[NP]],$B$44),VALORHOJA(Datos[[#This Row],[NP]],$D$44)),"")</f>
        <v/>
      </c>
      <c r="AA186" s="148" t="str">
        <f>IFERROR(IF(Datos[[#This Row],[Precio / Millar (Norwork)]]&lt;&gt;"",PRODUCT(Datos[[#This Row],[Precio / Millar (Norwork)]]/1000,Datos[[#This Row],[DEMANDA ANUAL]]),""),"")</f>
        <v/>
      </c>
      <c r="AB18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86" s="148" t="str">
        <f>IFERROR(IF(Datos[[#This Row],[Precio / Millar (Norwork)]]&lt;&gt;"",SUM(Datos[[#This Row],[Ingresos Totales (Norwork)]],-Datos[[#This Row],[Costos Totales (Norwork)]]),""),"")</f>
        <v/>
      </c>
      <c r="AD186" s="153" t="str">
        <f>IFERROR(Datos[[#This Row],[Beneficio (Norwork)]]/Datos[[#This Row],[Ingresos Totales (Norwork)]],"")</f>
        <v/>
      </c>
    </row>
    <row r="187" spans="2:30" x14ac:dyDescent="0.3">
      <c r="B187" s="145" t="s">
        <v>472</v>
      </c>
      <c r="C187" s="145" t="s">
        <v>899</v>
      </c>
      <c r="D187" s="145"/>
      <c r="E187" s="145"/>
      <c r="G187" s="149">
        <v>3096</v>
      </c>
      <c r="H187" s="144"/>
      <c r="W187" s="148" t="s">
        <v>298</v>
      </c>
      <c r="X187" s="148" t="str">
        <f>IFERROR(Datos[[#This Row],[ARIBA PRECIO POR MILLAR (Dólares)]]/1000*Datos[[#This Row],[DEMANDA ANUAL]],"")</f>
        <v/>
      </c>
      <c r="Y187" s="153" t="str">
        <f>IFERROR((Datos[[#This Row],[INGRESO PRECIO ARIBA]]-Datos[[#This Row],[Costos Totales (Norwork)]])/Datos[[#This Row],[INGRESO PRECIO ARIBA]],"")</f>
        <v/>
      </c>
      <c r="Z187" s="148" t="str">
        <f>IFERROR(IF(Datos[[#This Row],[CON ETIQUETA]]="No",VALORHOJA(Datos[[#This Row],[NP]],$B$44),VALORHOJA(Datos[[#This Row],[NP]],$D$44)),"")</f>
        <v/>
      </c>
      <c r="AA187" s="148" t="str">
        <f>IFERROR(IF(Datos[[#This Row],[Precio / Millar (Norwork)]]&lt;&gt;"",PRODUCT(Datos[[#This Row],[Precio / Millar (Norwork)]]/1000,Datos[[#This Row],[DEMANDA ANUAL]]),""),"")</f>
        <v/>
      </c>
      <c r="AB18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87" s="148" t="str">
        <f>IFERROR(IF(Datos[[#This Row],[Precio / Millar (Norwork)]]&lt;&gt;"",SUM(Datos[[#This Row],[Ingresos Totales (Norwork)]],-Datos[[#This Row],[Costos Totales (Norwork)]]),""),"")</f>
        <v/>
      </c>
      <c r="AD187" s="153" t="str">
        <f>IFERROR(Datos[[#This Row],[Beneficio (Norwork)]]/Datos[[#This Row],[Ingresos Totales (Norwork)]],"")</f>
        <v/>
      </c>
    </row>
    <row r="188" spans="2:30" x14ac:dyDescent="0.3">
      <c r="B188" s="145" t="s">
        <v>536</v>
      </c>
      <c r="C188" s="145" t="s">
        <v>962</v>
      </c>
      <c r="D188" s="145"/>
      <c r="E188" s="145"/>
      <c r="G188" s="149">
        <v>3040</v>
      </c>
      <c r="H188" s="144"/>
      <c r="W188" s="148" t="s">
        <v>298</v>
      </c>
      <c r="X188" s="148" t="str">
        <f>IFERROR(Datos[[#This Row],[ARIBA PRECIO POR MILLAR (Dólares)]]/1000*Datos[[#This Row],[DEMANDA ANUAL]],"")</f>
        <v/>
      </c>
      <c r="Y188" s="153" t="str">
        <f>IFERROR((Datos[[#This Row],[INGRESO PRECIO ARIBA]]-Datos[[#This Row],[Costos Totales (Norwork)]])/Datos[[#This Row],[INGRESO PRECIO ARIBA]],"")</f>
        <v/>
      </c>
      <c r="Z188" s="148" t="str">
        <f>IFERROR(IF(Datos[[#This Row],[CON ETIQUETA]]="No",VALORHOJA(Datos[[#This Row],[NP]],$B$44),VALORHOJA(Datos[[#This Row],[NP]],$D$44)),"")</f>
        <v/>
      </c>
      <c r="AA188" s="148" t="str">
        <f>IFERROR(IF(Datos[[#This Row],[Precio / Millar (Norwork)]]&lt;&gt;"",PRODUCT(Datos[[#This Row],[Precio / Millar (Norwork)]]/1000,Datos[[#This Row],[DEMANDA ANUAL]]),""),"")</f>
        <v/>
      </c>
      <c r="AB18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88" s="148" t="str">
        <f>IFERROR(IF(Datos[[#This Row],[Precio / Millar (Norwork)]]&lt;&gt;"",SUM(Datos[[#This Row],[Ingresos Totales (Norwork)]],-Datos[[#This Row],[Costos Totales (Norwork)]]),""),"")</f>
        <v/>
      </c>
      <c r="AD188" s="153" t="str">
        <f>IFERROR(Datos[[#This Row],[Beneficio (Norwork)]]/Datos[[#This Row],[Ingresos Totales (Norwork)]],"")</f>
        <v/>
      </c>
    </row>
    <row r="189" spans="2:30" x14ac:dyDescent="0.3">
      <c r="B189" s="145" t="s">
        <v>377</v>
      </c>
      <c r="C189" s="176" t="s">
        <v>806</v>
      </c>
      <c r="D189" s="176"/>
      <c r="E189" s="145"/>
      <c r="F189" s="148"/>
      <c r="G189" s="149">
        <v>3022</v>
      </c>
      <c r="H189" s="144"/>
      <c r="W189" s="148" t="s">
        <v>298</v>
      </c>
      <c r="X189" s="148" t="str">
        <f>IFERROR(Datos[[#This Row],[ARIBA PRECIO POR MILLAR (Dólares)]]/1000*Datos[[#This Row],[DEMANDA ANUAL]],"")</f>
        <v/>
      </c>
      <c r="Y189" s="153" t="str">
        <f>IFERROR((Datos[[#This Row],[INGRESO PRECIO ARIBA]]-Datos[[#This Row],[Costos Totales (Norwork)]])/Datos[[#This Row],[INGRESO PRECIO ARIBA]],"")</f>
        <v/>
      </c>
      <c r="Z189" s="148" t="str">
        <f>IFERROR(IF(Datos[[#This Row],[CON ETIQUETA]]="No",VALORHOJA(Datos[[#This Row],[NP]],$B$44),VALORHOJA(Datos[[#This Row],[NP]],$D$44)),"")</f>
        <v/>
      </c>
      <c r="AA189" s="148" t="str">
        <f>IFERROR(IF(Datos[[#This Row],[Precio / Millar (Norwork)]]&lt;&gt;"",PRODUCT(Datos[[#This Row],[Precio / Millar (Norwork)]]/1000,Datos[[#This Row],[DEMANDA ANUAL]]),""),"")</f>
        <v/>
      </c>
      <c r="AB18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89" s="148" t="str">
        <f>IFERROR(IF(Datos[[#This Row],[Precio / Millar (Norwork)]]&lt;&gt;"",SUM(Datos[[#This Row],[Ingresos Totales (Norwork)]],-Datos[[#This Row],[Costos Totales (Norwork)]]),""),"")</f>
        <v/>
      </c>
      <c r="AD189" s="153" t="str">
        <f>IFERROR(Datos[[#This Row],[Beneficio (Norwork)]]/Datos[[#This Row],[Ingresos Totales (Norwork)]],"")</f>
        <v/>
      </c>
    </row>
    <row r="190" spans="2:30" x14ac:dyDescent="0.3">
      <c r="B190" s="145" t="s">
        <v>572</v>
      </c>
      <c r="C190" s="178" t="s">
        <v>996</v>
      </c>
      <c r="D190" s="178"/>
      <c r="E190" s="145"/>
      <c r="G190" s="149">
        <v>2928</v>
      </c>
      <c r="H190" s="144"/>
      <c r="W190" s="148" t="s">
        <v>298</v>
      </c>
      <c r="X190" s="148" t="str">
        <f>IFERROR(Datos[[#This Row],[ARIBA PRECIO POR MILLAR (Dólares)]]/1000*Datos[[#This Row],[DEMANDA ANUAL]],"")</f>
        <v/>
      </c>
      <c r="Y190" s="153" t="str">
        <f>IFERROR((Datos[[#This Row],[INGRESO PRECIO ARIBA]]-Datos[[#This Row],[Costos Totales (Norwork)]])/Datos[[#This Row],[INGRESO PRECIO ARIBA]],"")</f>
        <v/>
      </c>
      <c r="Z190" s="148" t="str">
        <f>IFERROR(IF(Datos[[#This Row],[CON ETIQUETA]]="No",VALORHOJA(Datos[[#This Row],[NP]],$B$44),VALORHOJA(Datos[[#This Row],[NP]],$D$44)),"")</f>
        <v/>
      </c>
      <c r="AA190" s="148" t="str">
        <f>IFERROR(IF(Datos[[#This Row],[Precio / Millar (Norwork)]]&lt;&gt;"",PRODUCT(Datos[[#This Row],[Precio / Millar (Norwork)]]/1000,Datos[[#This Row],[DEMANDA ANUAL]]),""),"")</f>
        <v/>
      </c>
      <c r="AB19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90" s="148" t="str">
        <f>IFERROR(IF(Datos[[#This Row],[Precio / Millar (Norwork)]]&lt;&gt;"",SUM(Datos[[#This Row],[Ingresos Totales (Norwork)]],-Datos[[#This Row],[Costos Totales (Norwork)]]),""),"")</f>
        <v/>
      </c>
      <c r="AD190" s="153" t="str">
        <f>IFERROR(Datos[[#This Row],[Beneficio (Norwork)]]/Datos[[#This Row],[Ingresos Totales (Norwork)]],"")</f>
        <v/>
      </c>
    </row>
    <row r="191" spans="2:30" x14ac:dyDescent="0.3">
      <c r="B191" s="145" t="s">
        <v>514</v>
      </c>
      <c r="C191" s="145" t="s">
        <v>941</v>
      </c>
      <c r="D191" s="145"/>
      <c r="E191" s="145"/>
      <c r="G191" s="149">
        <v>2904</v>
      </c>
      <c r="H191" s="144"/>
      <c r="W191" s="148" t="s">
        <v>298</v>
      </c>
      <c r="X191" s="148" t="str">
        <f>IFERROR(Datos[[#This Row],[ARIBA PRECIO POR MILLAR (Dólares)]]/1000*Datos[[#This Row],[DEMANDA ANUAL]],"")</f>
        <v/>
      </c>
      <c r="Y191" s="153" t="str">
        <f>IFERROR((Datos[[#This Row],[INGRESO PRECIO ARIBA]]-Datos[[#This Row],[Costos Totales (Norwork)]])/Datos[[#This Row],[INGRESO PRECIO ARIBA]],"")</f>
        <v/>
      </c>
      <c r="Z191" s="148" t="str">
        <f>IFERROR(IF(Datos[[#This Row],[CON ETIQUETA]]="No",VALORHOJA(Datos[[#This Row],[NP]],$B$44),VALORHOJA(Datos[[#This Row],[NP]],$D$44)),"")</f>
        <v/>
      </c>
      <c r="AA191" s="148" t="str">
        <f>IFERROR(IF(Datos[[#This Row],[Precio / Millar (Norwork)]]&lt;&gt;"",PRODUCT(Datos[[#This Row],[Precio / Millar (Norwork)]]/1000,Datos[[#This Row],[DEMANDA ANUAL]]),""),"")</f>
        <v/>
      </c>
      <c r="AB19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91" s="148" t="str">
        <f>IFERROR(IF(Datos[[#This Row],[Precio / Millar (Norwork)]]&lt;&gt;"",SUM(Datos[[#This Row],[Ingresos Totales (Norwork)]],-Datos[[#This Row],[Costos Totales (Norwork)]]),""),"")</f>
        <v/>
      </c>
      <c r="AD191" s="153" t="str">
        <f>IFERROR(Datos[[#This Row],[Beneficio (Norwork)]]/Datos[[#This Row],[Ingresos Totales (Norwork)]],"")</f>
        <v/>
      </c>
    </row>
    <row r="192" spans="2:30" x14ac:dyDescent="0.3">
      <c r="B192" s="145" t="s">
        <v>573</v>
      </c>
      <c r="C192" s="178" t="s">
        <v>997</v>
      </c>
      <c r="D192" s="178"/>
      <c r="E192" s="145"/>
      <c r="G192" s="149">
        <v>2880</v>
      </c>
      <c r="H192" s="144"/>
      <c r="W192" s="148" t="s">
        <v>298</v>
      </c>
      <c r="X192" s="148" t="str">
        <f>IFERROR(Datos[[#This Row],[ARIBA PRECIO POR MILLAR (Dólares)]]/1000*Datos[[#This Row],[DEMANDA ANUAL]],"")</f>
        <v/>
      </c>
      <c r="Y192" s="153" t="str">
        <f>IFERROR((Datos[[#This Row],[INGRESO PRECIO ARIBA]]-Datos[[#This Row],[Costos Totales (Norwork)]])/Datos[[#This Row],[INGRESO PRECIO ARIBA]],"")</f>
        <v/>
      </c>
      <c r="Z192" s="148" t="str">
        <f>IFERROR(IF(Datos[[#This Row],[CON ETIQUETA]]="No",VALORHOJA(Datos[[#This Row],[NP]],$B$44),VALORHOJA(Datos[[#This Row],[NP]],$D$44)),"")</f>
        <v/>
      </c>
      <c r="AA192" s="148" t="str">
        <f>IFERROR(IF(Datos[[#This Row],[Precio / Millar (Norwork)]]&lt;&gt;"",PRODUCT(Datos[[#This Row],[Precio / Millar (Norwork)]]/1000,Datos[[#This Row],[DEMANDA ANUAL]]),""),"")</f>
        <v/>
      </c>
      <c r="AB19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92" s="148" t="str">
        <f>IFERROR(IF(Datos[[#This Row],[Precio / Millar (Norwork)]]&lt;&gt;"",SUM(Datos[[#This Row],[Ingresos Totales (Norwork)]],-Datos[[#This Row],[Costos Totales (Norwork)]]),""),"")</f>
        <v/>
      </c>
      <c r="AD192" s="153" t="str">
        <f>IFERROR(Datos[[#This Row],[Beneficio (Norwork)]]/Datos[[#This Row],[Ingresos Totales (Norwork)]],"")</f>
        <v/>
      </c>
    </row>
    <row r="193" spans="2:30" x14ac:dyDescent="0.3">
      <c r="B193" s="145" t="s">
        <v>576</v>
      </c>
      <c r="C193" s="178" t="s">
        <v>1000</v>
      </c>
      <c r="D193" s="178"/>
      <c r="E193" s="145"/>
      <c r="G193" s="149">
        <v>2676</v>
      </c>
      <c r="H193" s="144"/>
      <c r="W193" s="148" t="s">
        <v>298</v>
      </c>
      <c r="X193" s="148" t="str">
        <f>IFERROR(Datos[[#This Row],[ARIBA PRECIO POR MILLAR (Dólares)]]/1000*Datos[[#This Row],[DEMANDA ANUAL]],"")</f>
        <v/>
      </c>
      <c r="Y193" s="153" t="str">
        <f>IFERROR((Datos[[#This Row],[INGRESO PRECIO ARIBA]]-Datos[[#This Row],[Costos Totales (Norwork)]])/Datos[[#This Row],[INGRESO PRECIO ARIBA]],"")</f>
        <v/>
      </c>
      <c r="Z193" s="148" t="str">
        <f>IFERROR(IF(Datos[[#This Row],[CON ETIQUETA]]="No",VALORHOJA(Datos[[#This Row],[NP]],$B$44),VALORHOJA(Datos[[#This Row],[NP]],$D$44)),"")</f>
        <v/>
      </c>
      <c r="AA193" s="148" t="str">
        <f>IFERROR(IF(Datos[[#This Row],[Precio / Millar (Norwork)]]&lt;&gt;"",PRODUCT(Datos[[#This Row],[Precio / Millar (Norwork)]]/1000,Datos[[#This Row],[DEMANDA ANUAL]]),""),"")</f>
        <v/>
      </c>
      <c r="AB19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93" s="148" t="str">
        <f>IFERROR(IF(Datos[[#This Row],[Precio / Millar (Norwork)]]&lt;&gt;"",SUM(Datos[[#This Row],[Ingresos Totales (Norwork)]],-Datos[[#This Row],[Costos Totales (Norwork)]]),""),"")</f>
        <v/>
      </c>
      <c r="AD193" s="153" t="str">
        <f>IFERROR(Datos[[#This Row],[Beneficio (Norwork)]]/Datos[[#This Row],[Ingresos Totales (Norwork)]],"")</f>
        <v/>
      </c>
    </row>
    <row r="194" spans="2:30" x14ac:dyDescent="0.3">
      <c r="B194" s="145" t="s">
        <v>356</v>
      </c>
      <c r="C194" s="145" t="s">
        <v>785</v>
      </c>
      <c r="D194" s="145"/>
      <c r="E194" s="145"/>
      <c r="G194" s="149">
        <v>2576</v>
      </c>
      <c r="H194" s="147"/>
      <c r="W194" s="148" t="s">
        <v>298</v>
      </c>
      <c r="X194" s="148" t="str">
        <f>IFERROR(Datos[[#This Row],[ARIBA PRECIO POR MILLAR (Dólares)]]/1000*Datos[[#This Row],[DEMANDA ANUAL]],"")</f>
        <v/>
      </c>
      <c r="Y194" s="153" t="str">
        <f>IFERROR((Datos[[#This Row],[INGRESO PRECIO ARIBA]]-Datos[[#This Row],[Costos Totales (Norwork)]])/Datos[[#This Row],[INGRESO PRECIO ARIBA]],"")</f>
        <v/>
      </c>
      <c r="Z194" s="148" t="str">
        <f>IFERROR(IF(Datos[[#This Row],[CON ETIQUETA]]="No",VALORHOJA(Datos[[#This Row],[NP]],$B$44),VALORHOJA(Datos[[#This Row],[NP]],$D$44)),"")</f>
        <v/>
      </c>
      <c r="AA194" s="148" t="str">
        <f>IFERROR(IF(Datos[[#This Row],[Precio / Millar (Norwork)]]&lt;&gt;"",PRODUCT(Datos[[#This Row],[Precio / Millar (Norwork)]]/1000,Datos[[#This Row],[DEMANDA ANUAL]]),""),"")</f>
        <v/>
      </c>
      <c r="AB19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94" s="148" t="str">
        <f>IFERROR(IF(Datos[[#This Row],[Precio / Millar (Norwork)]]&lt;&gt;"",SUM(Datos[[#This Row],[Ingresos Totales (Norwork)]],-Datos[[#This Row],[Costos Totales (Norwork)]]),""),"")</f>
        <v/>
      </c>
      <c r="AD194" s="153" t="str">
        <f>IFERROR(Datos[[#This Row],[Beneficio (Norwork)]]/Datos[[#This Row],[Ingresos Totales (Norwork)]],"")</f>
        <v/>
      </c>
    </row>
    <row r="195" spans="2:30" x14ac:dyDescent="0.3">
      <c r="B195" s="145" t="s">
        <v>440</v>
      </c>
      <c r="C195" s="176" t="s">
        <v>867</v>
      </c>
      <c r="D195" s="176"/>
      <c r="E195" s="145"/>
      <c r="F195" s="153"/>
      <c r="G195" s="149">
        <v>2576</v>
      </c>
      <c r="H195" s="144"/>
      <c r="W195" s="148" t="s">
        <v>298</v>
      </c>
      <c r="X195" s="148" t="str">
        <f>IFERROR(Datos[[#This Row],[ARIBA PRECIO POR MILLAR (Dólares)]]/1000*Datos[[#This Row],[DEMANDA ANUAL]],"")</f>
        <v/>
      </c>
      <c r="Y195" s="153" t="str">
        <f>IFERROR((Datos[[#This Row],[INGRESO PRECIO ARIBA]]-Datos[[#This Row],[Costos Totales (Norwork)]])/Datos[[#This Row],[INGRESO PRECIO ARIBA]],"")</f>
        <v/>
      </c>
      <c r="Z195" s="148" t="str">
        <f>IFERROR(IF(Datos[[#This Row],[CON ETIQUETA]]="No",VALORHOJA(Datos[[#This Row],[NP]],$B$44),VALORHOJA(Datos[[#This Row],[NP]],$D$44)),"")</f>
        <v/>
      </c>
      <c r="AA195" s="148" t="str">
        <f>IFERROR(IF(Datos[[#This Row],[Precio / Millar (Norwork)]]&lt;&gt;"",PRODUCT(Datos[[#This Row],[Precio / Millar (Norwork)]]/1000,Datos[[#This Row],[DEMANDA ANUAL]]),""),"")</f>
        <v/>
      </c>
      <c r="AB19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95" s="148" t="str">
        <f>IFERROR(IF(Datos[[#This Row],[Precio / Millar (Norwork)]]&lt;&gt;"",SUM(Datos[[#This Row],[Ingresos Totales (Norwork)]],-Datos[[#This Row],[Costos Totales (Norwork)]]),""),"")</f>
        <v/>
      </c>
      <c r="AD195" s="153" t="str">
        <f>IFERROR(Datos[[#This Row],[Beneficio (Norwork)]]/Datos[[#This Row],[Ingresos Totales (Norwork)]],"")</f>
        <v/>
      </c>
    </row>
    <row r="196" spans="2:30" x14ac:dyDescent="0.3">
      <c r="B196" s="145" t="s">
        <v>441</v>
      </c>
      <c r="C196" s="176" t="s">
        <v>868</v>
      </c>
      <c r="D196" s="176"/>
      <c r="E196" s="145"/>
      <c r="F196" s="153"/>
      <c r="G196" s="149">
        <v>2576</v>
      </c>
      <c r="H196" s="144"/>
      <c r="W196" s="148" t="s">
        <v>298</v>
      </c>
      <c r="X196" s="148" t="str">
        <f>IFERROR(Datos[[#This Row],[ARIBA PRECIO POR MILLAR (Dólares)]]/1000*Datos[[#This Row],[DEMANDA ANUAL]],"")</f>
        <v/>
      </c>
      <c r="Y196" s="153" t="str">
        <f>IFERROR((Datos[[#This Row],[INGRESO PRECIO ARIBA]]-Datos[[#This Row],[Costos Totales (Norwork)]])/Datos[[#This Row],[INGRESO PRECIO ARIBA]],"")</f>
        <v/>
      </c>
      <c r="Z196" s="148" t="str">
        <f>IFERROR(IF(Datos[[#This Row],[CON ETIQUETA]]="No",VALORHOJA(Datos[[#This Row],[NP]],$B$44),VALORHOJA(Datos[[#This Row],[NP]],$D$44)),"")</f>
        <v/>
      </c>
      <c r="AA196" s="148" t="str">
        <f>IFERROR(IF(Datos[[#This Row],[Precio / Millar (Norwork)]]&lt;&gt;"",PRODUCT(Datos[[#This Row],[Precio / Millar (Norwork)]]/1000,Datos[[#This Row],[DEMANDA ANUAL]]),""),"")</f>
        <v/>
      </c>
      <c r="AB19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96" s="148" t="str">
        <f>IFERROR(IF(Datos[[#This Row],[Precio / Millar (Norwork)]]&lt;&gt;"",SUM(Datos[[#This Row],[Ingresos Totales (Norwork)]],-Datos[[#This Row],[Costos Totales (Norwork)]]),""),"")</f>
        <v/>
      </c>
      <c r="AD196" s="153" t="str">
        <f>IFERROR(Datos[[#This Row],[Beneficio (Norwork)]]/Datos[[#This Row],[Ingresos Totales (Norwork)]],"")</f>
        <v/>
      </c>
    </row>
    <row r="197" spans="2:30" x14ac:dyDescent="0.3">
      <c r="B197" s="145" t="s">
        <v>578</v>
      </c>
      <c r="C197" s="178" t="s">
        <v>1002</v>
      </c>
      <c r="D197" s="178"/>
      <c r="E197" s="145"/>
      <c r="G197" s="149">
        <v>2571</v>
      </c>
      <c r="H197" s="144"/>
      <c r="W197" s="148" t="s">
        <v>298</v>
      </c>
      <c r="X197" s="148" t="str">
        <f>IFERROR(Datos[[#This Row],[ARIBA PRECIO POR MILLAR (Dólares)]]/1000*Datos[[#This Row],[DEMANDA ANUAL]],"")</f>
        <v/>
      </c>
      <c r="Y197" s="153" t="str">
        <f>IFERROR((Datos[[#This Row],[INGRESO PRECIO ARIBA]]-Datos[[#This Row],[Costos Totales (Norwork)]])/Datos[[#This Row],[INGRESO PRECIO ARIBA]],"")</f>
        <v/>
      </c>
      <c r="Z197" s="148" t="str">
        <f>IFERROR(IF(Datos[[#This Row],[CON ETIQUETA]]="No",VALORHOJA(Datos[[#This Row],[NP]],$B$44),VALORHOJA(Datos[[#This Row],[NP]],$D$44)),"")</f>
        <v/>
      </c>
      <c r="AA197" s="148" t="str">
        <f>IFERROR(IF(Datos[[#This Row],[Precio / Millar (Norwork)]]&lt;&gt;"",PRODUCT(Datos[[#This Row],[Precio / Millar (Norwork)]]/1000,Datos[[#This Row],[DEMANDA ANUAL]]),""),"")</f>
        <v/>
      </c>
      <c r="AB19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97" s="148" t="str">
        <f>IFERROR(IF(Datos[[#This Row],[Precio / Millar (Norwork)]]&lt;&gt;"",SUM(Datos[[#This Row],[Ingresos Totales (Norwork)]],-Datos[[#This Row],[Costos Totales (Norwork)]]),""),"")</f>
        <v/>
      </c>
      <c r="AD197" s="153" t="str">
        <f>IFERROR(Datos[[#This Row],[Beneficio (Norwork)]]/Datos[[#This Row],[Ingresos Totales (Norwork)]],"")</f>
        <v/>
      </c>
    </row>
    <row r="198" spans="2:30" x14ac:dyDescent="0.3">
      <c r="B198" s="145" t="s">
        <v>579</v>
      </c>
      <c r="C198" s="178" t="s">
        <v>1003</v>
      </c>
      <c r="D198" s="178"/>
      <c r="E198" s="145"/>
      <c r="G198" s="149">
        <v>2550</v>
      </c>
      <c r="H198" s="144"/>
      <c r="W198" s="148" t="s">
        <v>298</v>
      </c>
      <c r="X198" s="148" t="str">
        <f>IFERROR(Datos[[#This Row],[ARIBA PRECIO POR MILLAR (Dólares)]]/1000*Datos[[#This Row],[DEMANDA ANUAL]],"")</f>
        <v/>
      </c>
      <c r="Y198" s="153" t="str">
        <f>IFERROR((Datos[[#This Row],[INGRESO PRECIO ARIBA]]-Datos[[#This Row],[Costos Totales (Norwork)]])/Datos[[#This Row],[INGRESO PRECIO ARIBA]],"")</f>
        <v/>
      </c>
      <c r="Z198" s="148" t="str">
        <f>IFERROR(IF(Datos[[#This Row],[CON ETIQUETA]]="No",VALORHOJA(Datos[[#This Row],[NP]],$B$44),VALORHOJA(Datos[[#This Row],[NP]],$D$44)),"")</f>
        <v/>
      </c>
      <c r="AA198" s="148" t="str">
        <f>IFERROR(IF(Datos[[#This Row],[Precio / Millar (Norwork)]]&lt;&gt;"",PRODUCT(Datos[[#This Row],[Precio / Millar (Norwork)]]/1000,Datos[[#This Row],[DEMANDA ANUAL]]),""),"")</f>
        <v/>
      </c>
      <c r="AB19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98" s="148" t="str">
        <f>IFERROR(IF(Datos[[#This Row],[Precio / Millar (Norwork)]]&lt;&gt;"",SUM(Datos[[#This Row],[Ingresos Totales (Norwork)]],-Datos[[#This Row],[Costos Totales (Norwork)]]),""),"")</f>
        <v/>
      </c>
      <c r="AD198" s="153" t="str">
        <f>IFERROR(Datos[[#This Row],[Beneficio (Norwork)]]/Datos[[#This Row],[Ingresos Totales (Norwork)]],"")</f>
        <v/>
      </c>
    </row>
    <row r="199" spans="2:30" x14ac:dyDescent="0.3">
      <c r="B199" s="145" t="s">
        <v>422</v>
      </c>
      <c r="C199" s="145" t="s">
        <v>850</v>
      </c>
      <c r="D199" s="145"/>
      <c r="E199" s="145"/>
      <c r="G199" s="149">
        <v>2544</v>
      </c>
      <c r="H199" s="144"/>
      <c r="W199" s="148" t="s">
        <v>298</v>
      </c>
      <c r="X199" s="148" t="str">
        <f>IFERROR(Datos[[#This Row],[ARIBA PRECIO POR MILLAR (Dólares)]]/1000*Datos[[#This Row],[DEMANDA ANUAL]],"")</f>
        <v/>
      </c>
      <c r="Y199" s="153" t="str">
        <f>IFERROR((Datos[[#This Row],[INGRESO PRECIO ARIBA]]-Datos[[#This Row],[Costos Totales (Norwork)]])/Datos[[#This Row],[INGRESO PRECIO ARIBA]],"")</f>
        <v/>
      </c>
      <c r="Z199" s="148" t="str">
        <f>IFERROR(IF(Datos[[#This Row],[CON ETIQUETA]]="No",VALORHOJA(Datos[[#This Row],[NP]],$B$44),VALORHOJA(Datos[[#This Row],[NP]],$D$44)),"")</f>
        <v/>
      </c>
      <c r="AA199" s="148" t="str">
        <f>IFERROR(IF(Datos[[#This Row],[Precio / Millar (Norwork)]]&lt;&gt;"",PRODUCT(Datos[[#This Row],[Precio / Millar (Norwork)]]/1000,Datos[[#This Row],[DEMANDA ANUAL]]),""),"")</f>
        <v/>
      </c>
      <c r="AB19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199" s="148" t="str">
        <f>IFERROR(IF(Datos[[#This Row],[Precio / Millar (Norwork)]]&lt;&gt;"",SUM(Datos[[#This Row],[Ingresos Totales (Norwork)]],-Datos[[#This Row],[Costos Totales (Norwork)]]),""),"")</f>
        <v/>
      </c>
      <c r="AD199" s="153" t="str">
        <f>IFERROR(Datos[[#This Row],[Beneficio (Norwork)]]/Datos[[#This Row],[Ingresos Totales (Norwork)]],"")</f>
        <v/>
      </c>
    </row>
    <row r="200" spans="2:30" x14ac:dyDescent="0.3">
      <c r="B200" s="145" t="s">
        <v>542</v>
      </c>
      <c r="C200" s="145" t="s">
        <v>968</v>
      </c>
      <c r="D200" s="145"/>
      <c r="E200" s="145"/>
      <c r="G200" s="149">
        <v>2502</v>
      </c>
      <c r="H200" s="144"/>
      <c r="W200" s="148" t="s">
        <v>298</v>
      </c>
      <c r="X200" s="148" t="str">
        <f>IFERROR(Datos[[#This Row],[ARIBA PRECIO POR MILLAR (Dólares)]]/1000*Datos[[#This Row],[DEMANDA ANUAL]],"")</f>
        <v/>
      </c>
      <c r="Y200" s="153" t="str">
        <f>IFERROR((Datos[[#This Row],[INGRESO PRECIO ARIBA]]-Datos[[#This Row],[Costos Totales (Norwork)]])/Datos[[#This Row],[INGRESO PRECIO ARIBA]],"")</f>
        <v/>
      </c>
      <c r="Z200" s="148" t="str">
        <f>IFERROR(IF(Datos[[#This Row],[CON ETIQUETA]]="No",VALORHOJA(Datos[[#This Row],[NP]],$B$44),VALORHOJA(Datos[[#This Row],[NP]],$D$44)),"")</f>
        <v/>
      </c>
      <c r="AA200" s="148" t="str">
        <f>IFERROR(IF(Datos[[#This Row],[Precio / Millar (Norwork)]]&lt;&gt;"",PRODUCT(Datos[[#This Row],[Precio / Millar (Norwork)]]/1000,Datos[[#This Row],[DEMANDA ANUAL]]),""),"")</f>
        <v/>
      </c>
      <c r="AB20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00" s="148" t="str">
        <f>IFERROR(IF(Datos[[#This Row],[Precio / Millar (Norwork)]]&lt;&gt;"",SUM(Datos[[#This Row],[Ingresos Totales (Norwork)]],-Datos[[#This Row],[Costos Totales (Norwork)]]),""),"")</f>
        <v/>
      </c>
      <c r="AD200" s="153" t="str">
        <f>IFERROR(Datos[[#This Row],[Beneficio (Norwork)]]/Datos[[#This Row],[Ingresos Totales (Norwork)]],"")</f>
        <v/>
      </c>
    </row>
    <row r="201" spans="2:30" x14ac:dyDescent="0.3">
      <c r="B201" s="174" t="s">
        <v>294</v>
      </c>
      <c r="C201" s="145" t="s">
        <v>295</v>
      </c>
      <c r="D201" s="145"/>
      <c r="E201" s="145"/>
      <c r="F201" s="142" t="s">
        <v>202</v>
      </c>
      <c r="G201" s="149">
        <v>2424</v>
      </c>
      <c r="H201" s="145" t="s">
        <v>202</v>
      </c>
      <c r="I201" s="142" t="s">
        <v>202</v>
      </c>
      <c r="J201" s="145" t="s">
        <v>292</v>
      </c>
      <c r="K201" s="142" t="s">
        <v>197</v>
      </c>
      <c r="L201" s="142">
        <v>4</v>
      </c>
      <c r="M201" s="142">
        <v>2</v>
      </c>
      <c r="N201" s="142">
        <v>2</v>
      </c>
      <c r="O201" s="142" t="s">
        <v>195</v>
      </c>
      <c r="P201" s="142" t="s">
        <v>198</v>
      </c>
      <c r="Q201" s="145"/>
      <c r="R201" s="145"/>
      <c r="S201" s="145"/>
      <c r="T201" s="145" t="s">
        <v>326</v>
      </c>
      <c r="U201" s="145">
        <v>13</v>
      </c>
      <c r="W201" s="148">
        <v>1443.24</v>
      </c>
      <c r="X201" s="148">
        <f>IFERROR(Datos[[#This Row],[ARIBA PRECIO POR MILLAR (Dólares)]]/1000*Datos[[#This Row],[DEMANDA ANUAL]],"")</f>
        <v>3498.4137600000004</v>
      </c>
      <c r="Y201" s="153">
        <f>IFERROR((Datos[[#This Row],[INGRESO PRECIO ARIBA]]-Datos[[#This Row],[Costos Totales (Norwork)]])/Datos[[#This Row],[INGRESO PRECIO ARIBA]],"")</f>
        <v>0.86985965363534834</v>
      </c>
      <c r="Z201" s="148">
        <f>IFERROR(IF(Datos[[#This Row],[CON ETIQUETA]]="No",VALORHOJA(Datos[[#This Row],[NP]],$B$44),VALORHOJA(Datos[[#This Row],[NP]],$D$44)),"")</f>
        <v>1402.2658588021759</v>
      </c>
      <c r="AA201" s="148">
        <f>IFERROR(IF(Datos[[#This Row],[Precio / Millar (Norwork)]]&lt;&gt;"",PRODUCT(Datos[[#This Row],[Precio / Millar (Norwork)]]/1000,Datos[[#This Row],[DEMANDA ANUAL]]),""),"")</f>
        <v>3399.0924417364745</v>
      </c>
      <c r="AB201" s="155">
        <f>IFERROR(IF(Datos[[#This Row],[CON ETIQUETA]]="No",VALORHOJA(Datos[[#This Row],[NP]],$B$63)/VALORHOJA(Datos[[#This Row],[NP]],$B$42),VALORHOJA(Datos[[#This Row],[NP]],$D$63)/VALORHOJA(Datos[[#This Row],[NP]],$D$42)),"")</f>
        <v>455.28477845326307</v>
      </c>
      <c r="AC201" s="148">
        <f>IFERROR(IF(Datos[[#This Row],[Precio / Millar (Norwork)]]&lt;&gt;"",SUM(Datos[[#This Row],[Ingresos Totales (Norwork)]],-Datos[[#This Row],[Costos Totales (Norwork)]]),""),"")</f>
        <v>2943.8076632832112</v>
      </c>
      <c r="AD201" s="153">
        <f>IFERROR(Datos[[#This Row],[Beneficio (Norwork)]]/Datos[[#This Row],[Ingresos Totales (Norwork)]],"")</f>
        <v>0.86605695895087964</v>
      </c>
    </row>
    <row r="202" spans="2:30" x14ac:dyDescent="0.3">
      <c r="B202" s="145" t="s">
        <v>452</v>
      </c>
      <c r="C202" s="176" t="s">
        <v>879</v>
      </c>
      <c r="D202" s="176"/>
      <c r="E202" s="145"/>
      <c r="F202" s="153"/>
      <c r="G202" s="149">
        <v>2424</v>
      </c>
      <c r="H202" s="144"/>
      <c r="W202" s="148" t="s">
        <v>298</v>
      </c>
      <c r="X202" s="148" t="str">
        <f>IFERROR(Datos[[#This Row],[ARIBA PRECIO POR MILLAR (Dólares)]]/1000*Datos[[#This Row],[DEMANDA ANUAL]],"")</f>
        <v/>
      </c>
      <c r="Y202" s="153" t="str">
        <f>IFERROR((Datos[[#This Row],[INGRESO PRECIO ARIBA]]-Datos[[#This Row],[Costos Totales (Norwork)]])/Datos[[#This Row],[INGRESO PRECIO ARIBA]],"")</f>
        <v/>
      </c>
      <c r="Z202" s="148" t="str">
        <f>IFERROR(IF(Datos[[#This Row],[CON ETIQUETA]]="No",VALORHOJA(Datos[[#This Row],[NP]],$B$44),VALORHOJA(Datos[[#This Row],[NP]],$D$44)),"")</f>
        <v/>
      </c>
      <c r="AA202" s="148" t="str">
        <f>IFERROR(IF(Datos[[#This Row],[Precio / Millar (Norwork)]]&lt;&gt;"",PRODUCT(Datos[[#This Row],[Precio / Millar (Norwork)]]/1000,Datos[[#This Row],[DEMANDA ANUAL]]),""),"")</f>
        <v/>
      </c>
      <c r="AB20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02" s="148" t="str">
        <f>IFERROR(IF(Datos[[#This Row],[Precio / Millar (Norwork)]]&lt;&gt;"",SUM(Datos[[#This Row],[Ingresos Totales (Norwork)]],-Datos[[#This Row],[Costos Totales (Norwork)]]),""),"")</f>
        <v/>
      </c>
      <c r="AD202" s="153" t="str">
        <f>IFERROR(Datos[[#This Row],[Beneficio (Norwork)]]/Datos[[#This Row],[Ingresos Totales (Norwork)]],"")</f>
        <v/>
      </c>
    </row>
    <row r="203" spans="2:30" x14ac:dyDescent="0.3">
      <c r="B203" s="145" t="s">
        <v>581</v>
      </c>
      <c r="C203" s="178" t="s">
        <v>1005</v>
      </c>
      <c r="D203" s="178"/>
      <c r="E203" s="145"/>
      <c r="G203" s="149">
        <v>2410</v>
      </c>
      <c r="H203" s="144"/>
      <c r="W203" s="148" t="s">
        <v>298</v>
      </c>
      <c r="X203" s="148" t="str">
        <f>IFERROR(Datos[[#This Row],[ARIBA PRECIO POR MILLAR (Dólares)]]/1000*Datos[[#This Row],[DEMANDA ANUAL]],"")</f>
        <v/>
      </c>
      <c r="Y203" s="153" t="str">
        <f>IFERROR((Datos[[#This Row],[INGRESO PRECIO ARIBA]]-Datos[[#This Row],[Costos Totales (Norwork)]])/Datos[[#This Row],[INGRESO PRECIO ARIBA]],"")</f>
        <v/>
      </c>
      <c r="Z203" s="148" t="str">
        <f>IFERROR(IF(Datos[[#This Row],[CON ETIQUETA]]="No",VALORHOJA(Datos[[#This Row],[NP]],$B$44),VALORHOJA(Datos[[#This Row],[NP]],$D$44)),"")</f>
        <v/>
      </c>
      <c r="AA203" s="148" t="str">
        <f>IFERROR(IF(Datos[[#This Row],[Precio / Millar (Norwork)]]&lt;&gt;"",PRODUCT(Datos[[#This Row],[Precio / Millar (Norwork)]]/1000,Datos[[#This Row],[DEMANDA ANUAL]]),""),"")</f>
        <v/>
      </c>
      <c r="AB20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03" s="148" t="str">
        <f>IFERROR(IF(Datos[[#This Row],[Precio / Millar (Norwork)]]&lt;&gt;"",SUM(Datos[[#This Row],[Ingresos Totales (Norwork)]],-Datos[[#This Row],[Costos Totales (Norwork)]]),""),"")</f>
        <v/>
      </c>
      <c r="AD203" s="153" t="str">
        <f>IFERROR(Datos[[#This Row],[Beneficio (Norwork)]]/Datos[[#This Row],[Ingresos Totales (Norwork)]],"")</f>
        <v/>
      </c>
    </row>
    <row r="204" spans="2:30" x14ac:dyDescent="0.3">
      <c r="B204" s="145" t="s">
        <v>544</v>
      </c>
      <c r="C204" s="145" t="s">
        <v>970</v>
      </c>
      <c r="D204" s="145"/>
      <c r="E204" s="145"/>
      <c r="G204" s="149">
        <v>2334</v>
      </c>
      <c r="H204" s="144"/>
      <c r="W204" s="148" t="s">
        <v>298</v>
      </c>
      <c r="X204" s="148" t="str">
        <f>IFERROR(Datos[[#This Row],[ARIBA PRECIO POR MILLAR (Dólares)]]/1000*Datos[[#This Row],[DEMANDA ANUAL]],"")</f>
        <v/>
      </c>
      <c r="Y204" s="153" t="str">
        <f>IFERROR((Datos[[#This Row],[INGRESO PRECIO ARIBA]]-Datos[[#This Row],[Costos Totales (Norwork)]])/Datos[[#This Row],[INGRESO PRECIO ARIBA]],"")</f>
        <v/>
      </c>
      <c r="Z204" s="148" t="str">
        <f>IFERROR(IF(Datos[[#This Row],[CON ETIQUETA]]="No",VALORHOJA(Datos[[#This Row],[NP]],$B$44),VALORHOJA(Datos[[#This Row],[NP]],$D$44)),"")</f>
        <v/>
      </c>
      <c r="AA204" s="148" t="str">
        <f>IFERROR(IF(Datos[[#This Row],[Precio / Millar (Norwork)]]&lt;&gt;"",PRODUCT(Datos[[#This Row],[Precio / Millar (Norwork)]]/1000,Datos[[#This Row],[DEMANDA ANUAL]]),""),"")</f>
        <v/>
      </c>
      <c r="AB20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04" s="148" t="str">
        <f>IFERROR(IF(Datos[[#This Row],[Precio / Millar (Norwork)]]&lt;&gt;"",SUM(Datos[[#This Row],[Ingresos Totales (Norwork)]],-Datos[[#This Row],[Costos Totales (Norwork)]]),""),"")</f>
        <v/>
      </c>
      <c r="AD204" s="153" t="str">
        <f>IFERROR(Datos[[#This Row],[Beneficio (Norwork)]]/Datos[[#This Row],[Ingresos Totales (Norwork)]],"")</f>
        <v/>
      </c>
    </row>
    <row r="205" spans="2:30" x14ac:dyDescent="0.3">
      <c r="B205" s="145" t="s">
        <v>582</v>
      </c>
      <c r="C205" s="178" t="s">
        <v>1006</v>
      </c>
      <c r="D205" s="178"/>
      <c r="E205" s="145"/>
      <c r="G205" s="149">
        <v>2326</v>
      </c>
      <c r="H205" s="144"/>
      <c r="W205" s="148" t="s">
        <v>298</v>
      </c>
      <c r="X205" s="148" t="str">
        <f>IFERROR(Datos[[#This Row],[ARIBA PRECIO POR MILLAR (Dólares)]]/1000*Datos[[#This Row],[DEMANDA ANUAL]],"")</f>
        <v/>
      </c>
      <c r="Y205" s="153" t="str">
        <f>IFERROR((Datos[[#This Row],[INGRESO PRECIO ARIBA]]-Datos[[#This Row],[Costos Totales (Norwork)]])/Datos[[#This Row],[INGRESO PRECIO ARIBA]],"")</f>
        <v/>
      </c>
      <c r="Z205" s="148" t="str">
        <f>IFERROR(IF(Datos[[#This Row],[CON ETIQUETA]]="No",VALORHOJA(Datos[[#This Row],[NP]],$B$44),VALORHOJA(Datos[[#This Row],[NP]],$D$44)),"")</f>
        <v/>
      </c>
      <c r="AA205" s="148" t="str">
        <f>IFERROR(IF(Datos[[#This Row],[Precio / Millar (Norwork)]]&lt;&gt;"",PRODUCT(Datos[[#This Row],[Precio / Millar (Norwork)]]/1000,Datos[[#This Row],[DEMANDA ANUAL]]),""),"")</f>
        <v/>
      </c>
      <c r="AB20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05" s="148" t="str">
        <f>IFERROR(IF(Datos[[#This Row],[Precio / Millar (Norwork)]]&lt;&gt;"",SUM(Datos[[#This Row],[Ingresos Totales (Norwork)]],-Datos[[#This Row],[Costos Totales (Norwork)]]),""),"")</f>
        <v/>
      </c>
      <c r="AD205" s="153" t="str">
        <f>IFERROR(Datos[[#This Row],[Beneficio (Norwork)]]/Datos[[#This Row],[Ingresos Totales (Norwork)]],"")</f>
        <v/>
      </c>
    </row>
    <row r="206" spans="2:30" x14ac:dyDescent="0.3">
      <c r="B206" s="145" t="s">
        <v>583</v>
      </c>
      <c r="C206" s="145" t="s">
        <v>1007</v>
      </c>
      <c r="D206" s="145"/>
      <c r="E206" s="145"/>
      <c r="G206" s="149">
        <v>2315</v>
      </c>
      <c r="H206" s="144"/>
      <c r="W206" s="148" t="s">
        <v>298</v>
      </c>
      <c r="X206" s="148" t="str">
        <f>IFERROR(Datos[[#This Row],[ARIBA PRECIO POR MILLAR (Dólares)]]/1000*Datos[[#This Row],[DEMANDA ANUAL]],"")</f>
        <v/>
      </c>
      <c r="Y206" s="153" t="str">
        <f>IFERROR((Datos[[#This Row],[INGRESO PRECIO ARIBA]]-Datos[[#This Row],[Costos Totales (Norwork)]])/Datos[[#This Row],[INGRESO PRECIO ARIBA]],"")</f>
        <v/>
      </c>
      <c r="Z206" s="148" t="str">
        <f>IFERROR(IF(Datos[[#This Row],[CON ETIQUETA]]="No",VALORHOJA(Datos[[#This Row],[NP]],$B$44),VALORHOJA(Datos[[#This Row],[NP]],$D$44)),"")</f>
        <v/>
      </c>
      <c r="AA206" s="148" t="str">
        <f>IFERROR(IF(Datos[[#This Row],[Precio / Millar (Norwork)]]&lt;&gt;"",PRODUCT(Datos[[#This Row],[Precio / Millar (Norwork)]]/1000,Datos[[#This Row],[DEMANDA ANUAL]]),""),"")</f>
        <v/>
      </c>
      <c r="AB20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06" s="148" t="str">
        <f>IFERROR(IF(Datos[[#This Row],[Precio / Millar (Norwork)]]&lt;&gt;"",SUM(Datos[[#This Row],[Ingresos Totales (Norwork)]],-Datos[[#This Row],[Costos Totales (Norwork)]]),""),"")</f>
        <v/>
      </c>
      <c r="AD206" s="153" t="str">
        <f>IFERROR(Datos[[#This Row],[Beneficio (Norwork)]]/Datos[[#This Row],[Ingresos Totales (Norwork)]],"")</f>
        <v/>
      </c>
    </row>
    <row r="207" spans="2:30" x14ac:dyDescent="0.3">
      <c r="B207" s="145" t="s">
        <v>519</v>
      </c>
      <c r="C207" s="145" t="s">
        <v>945</v>
      </c>
      <c r="D207" s="145"/>
      <c r="E207" s="145"/>
      <c r="G207" s="149">
        <v>2304</v>
      </c>
      <c r="H207" s="144"/>
      <c r="W207" s="148" t="s">
        <v>298</v>
      </c>
      <c r="X207" s="148" t="str">
        <f>IFERROR(Datos[[#This Row],[ARIBA PRECIO POR MILLAR (Dólares)]]/1000*Datos[[#This Row],[DEMANDA ANUAL]],"")</f>
        <v/>
      </c>
      <c r="Y207" s="153" t="str">
        <f>IFERROR((Datos[[#This Row],[INGRESO PRECIO ARIBA]]-Datos[[#This Row],[Costos Totales (Norwork)]])/Datos[[#This Row],[INGRESO PRECIO ARIBA]],"")</f>
        <v/>
      </c>
      <c r="Z207" s="148" t="str">
        <f>IFERROR(IF(Datos[[#This Row],[CON ETIQUETA]]="No",VALORHOJA(Datos[[#This Row],[NP]],$B$44),VALORHOJA(Datos[[#This Row],[NP]],$D$44)),"")</f>
        <v/>
      </c>
      <c r="AA207" s="148" t="str">
        <f>IFERROR(IF(Datos[[#This Row],[Precio / Millar (Norwork)]]&lt;&gt;"",PRODUCT(Datos[[#This Row],[Precio / Millar (Norwork)]]/1000,Datos[[#This Row],[DEMANDA ANUAL]]),""),"")</f>
        <v/>
      </c>
      <c r="AB20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07" s="148" t="str">
        <f>IFERROR(IF(Datos[[#This Row],[Precio / Millar (Norwork)]]&lt;&gt;"",SUM(Datos[[#This Row],[Ingresos Totales (Norwork)]],-Datos[[#This Row],[Costos Totales (Norwork)]]),""),"")</f>
        <v/>
      </c>
      <c r="AD207" s="153" t="str">
        <f>IFERROR(Datos[[#This Row],[Beneficio (Norwork)]]/Datos[[#This Row],[Ingresos Totales (Norwork)]],"")</f>
        <v/>
      </c>
    </row>
    <row r="208" spans="2:30" x14ac:dyDescent="0.3">
      <c r="B208" s="145" t="s">
        <v>437</v>
      </c>
      <c r="C208" s="176" t="s">
        <v>864</v>
      </c>
      <c r="D208" s="176"/>
      <c r="E208" s="145"/>
      <c r="F208" s="153"/>
      <c r="G208" s="149">
        <v>2276</v>
      </c>
      <c r="H208" s="144"/>
      <c r="W208" s="148" t="s">
        <v>298</v>
      </c>
      <c r="X208" s="148" t="str">
        <f>IFERROR(Datos[[#This Row],[ARIBA PRECIO POR MILLAR (Dólares)]]/1000*Datos[[#This Row],[DEMANDA ANUAL]],"")</f>
        <v/>
      </c>
      <c r="Y208" s="153" t="str">
        <f>IFERROR((Datos[[#This Row],[INGRESO PRECIO ARIBA]]-Datos[[#This Row],[Costos Totales (Norwork)]])/Datos[[#This Row],[INGRESO PRECIO ARIBA]],"")</f>
        <v/>
      </c>
      <c r="Z208" s="148" t="str">
        <f>IFERROR(IF(Datos[[#This Row],[CON ETIQUETA]]="No",VALORHOJA(Datos[[#This Row],[NP]],$B$44),VALORHOJA(Datos[[#This Row],[NP]],$D$44)),"")</f>
        <v/>
      </c>
      <c r="AA208" s="148" t="str">
        <f>IFERROR(IF(Datos[[#This Row],[Precio / Millar (Norwork)]]&lt;&gt;"",PRODUCT(Datos[[#This Row],[Precio / Millar (Norwork)]]/1000,Datos[[#This Row],[DEMANDA ANUAL]]),""),"")</f>
        <v/>
      </c>
      <c r="AB20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08" s="148" t="str">
        <f>IFERROR(IF(Datos[[#This Row],[Precio / Millar (Norwork)]]&lt;&gt;"",SUM(Datos[[#This Row],[Ingresos Totales (Norwork)]],-Datos[[#This Row],[Costos Totales (Norwork)]]),""),"")</f>
        <v/>
      </c>
      <c r="AD208" s="153" t="str">
        <f>IFERROR(Datos[[#This Row],[Beneficio (Norwork)]]/Datos[[#This Row],[Ingresos Totales (Norwork)]],"")</f>
        <v/>
      </c>
    </row>
    <row r="209" spans="2:30" x14ac:dyDescent="0.3">
      <c r="B209" s="145" t="s">
        <v>438</v>
      </c>
      <c r="C209" s="176" t="s">
        <v>865</v>
      </c>
      <c r="D209" s="176"/>
      <c r="E209" s="145"/>
      <c r="F209" s="153"/>
      <c r="G209" s="149">
        <v>2276</v>
      </c>
      <c r="H209" s="144"/>
      <c r="W209" s="148" t="s">
        <v>298</v>
      </c>
      <c r="X209" s="148" t="str">
        <f>IFERROR(Datos[[#This Row],[ARIBA PRECIO POR MILLAR (Dólares)]]/1000*Datos[[#This Row],[DEMANDA ANUAL]],"")</f>
        <v/>
      </c>
      <c r="Y209" s="153" t="str">
        <f>IFERROR((Datos[[#This Row],[INGRESO PRECIO ARIBA]]-Datos[[#This Row],[Costos Totales (Norwork)]])/Datos[[#This Row],[INGRESO PRECIO ARIBA]],"")</f>
        <v/>
      </c>
      <c r="Z209" s="148" t="str">
        <f>IFERROR(IF(Datos[[#This Row],[CON ETIQUETA]]="No",VALORHOJA(Datos[[#This Row],[NP]],$B$44),VALORHOJA(Datos[[#This Row],[NP]],$D$44)),"")</f>
        <v/>
      </c>
      <c r="AA209" s="148" t="str">
        <f>IFERROR(IF(Datos[[#This Row],[Precio / Millar (Norwork)]]&lt;&gt;"",PRODUCT(Datos[[#This Row],[Precio / Millar (Norwork)]]/1000,Datos[[#This Row],[DEMANDA ANUAL]]),""),"")</f>
        <v/>
      </c>
      <c r="AB20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09" s="148" t="str">
        <f>IFERROR(IF(Datos[[#This Row],[Precio / Millar (Norwork)]]&lt;&gt;"",SUM(Datos[[#This Row],[Ingresos Totales (Norwork)]],-Datos[[#This Row],[Costos Totales (Norwork)]]),""),"")</f>
        <v/>
      </c>
      <c r="AD209" s="153" t="str">
        <f>IFERROR(Datos[[#This Row],[Beneficio (Norwork)]]/Datos[[#This Row],[Ingresos Totales (Norwork)]],"")</f>
        <v/>
      </c>
    </row>
    <row r="210" spans="2:30" x14ac:dyDescent="0.3">
      <c r="B210" s="145" t="s">
        <v>521</v>
      </c>
      <c r="C210" s="145" t="s">
        <v>947</v>
      </c>
      <c r="D210" s="145"/>
      <c r="E210" s="145"/>
      <c r="G210" s="149">
        <v>2262</v>
      </c>
      <c r="H210" s="144"/>
      <c r="W210" s="148" t="s">
        <v>298</v>
      </c>
      <c r="X210" s="148" t="str">
        <f>IFERROR(Datos[[#This Row],[ARIBA PRECIO POR MILLAR (Dólares)]]/1000*Datos[[#This Row],[DEMANDA ANUAL]],"")</f>
        <v/>
      </c>
      <c r="Y210" s="153" t="str">
        <f>IFERROR((Datos[[#This Row],[INGRESO PRECIO ARIBA]]-Datos[[#This Row],[Costos Totales (Norwork)]])/Datos[[#This Row],[INGRESO PRECIO ARIBA]],"")</f>
        <v/>
      </c>
      <c r="Z210" s="148" t="str">
        <f>IFERROR(IF(Datos[[#This Row],[CON ETIQUETA]]="No",VALORHOJA(Datos[[#This Row],[NP]],$B$44),VALORHOJA(Datos[[#This Row],[NP]],$D$44)),"")</f>
        <v/>
      </c>
      <c r="AA210" s="148" t="str">
        <f>IFERROR(IF(Datos[[#This Row],[Precio / Millar (Norwork)]]&lt;&gt;"",PRODUCT(Datos[[#This Row],[Precio / Millar (Norwork)]]/1000,Datos[[#This Row],[DEMANDA ANUAL]]),""),"")</f>
        <v/>
      </c>
      <c r="AB21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10" s="148" t="str">
        <f>IFERROR(IF(Datos[[#This Row],[Precio / Millar (Norwork)]]&lt;&gt;"",SUM(Datos[[#This Row],[Ingresos Totales (Norwork)]],-Datos[[#This Row],[Costos Totales (Norwork)]]),""),"")</f>
        <v/>
      </c>
      <c r="AD210" s="153" t="str">
        <f>IFERROR(Datos[[#This Row],[Beneficio (Norwork)]]/Datos[[#This Row],[Ingresos Totales (Norwork)]],"")</f>
        <v/>
      </c>
    </row>
    <row r="211" spans="2:30" x14ac:dyDescent="0.3">
      <c r="B211" s="145" t="s">
        <v>548</v>
      </c>
      <c r="C211" s="145" t="s">
        <v>548</v>
      </c>
      <c r="D211" s="145"/>
      <c r="E211" s="145"/>
      <c r="G211" s="149">
        <v>2213</v>
      </c>
      <c r="H211" s="144"/>
      <c r="W211" s="148" t="s">
        <v>298</v>
      </c>
      <c r="X211" s="148" t="str">
        <f>IFERROR(Datos[[#This Row],[ARIBA PRECIO POR MILLAR (Dólares)]]/1000*Datos[[#This Row],[DEMANDA ANUAL]],"")</f>
        <v/>
      </c>
      <c r="Y211" s="153" t="str">
        <f>IFERROR((Datos[[#This Row],[INGRESO PRECIO ARIBA]]-Datos[[#This Row],[Costos Totales (Norwork)]])/Datos[[#This Row],[INGRESO PRECIO ARIBA]],"")</f>
        <v/>
      </c>
      <c r="Z211" s="148" t="str">
        <f>IFERROR(IF(Datos[[#This Row],[CON ETIQUETA]]="No",VALORHOJA(Datos[[#This Row],[NP]],$B$44),VALORHOJA(Datos[[#This Row],[NP]],$D$44)),"")</f>
        <v/>
      </c>
      <c r="AA211" s="148" t="str">
        <f>IFERROR(IF(Datos[[#This Row],[Precio / Millar (Norwork)]]&lt;&gt;"",PRODUCT(Datos[[#This Row],[Precio / Millar (Norwork)]]/1000,Datos[[#This Row],[DEMANDA ANUAL]]),""),"")</f>
        <v/>
      </c>
      <c r="AB21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11" s="148" t="str">
        <f>IFERROR(IF(Datos[[#This Row],[Precio / Millar (Norwork)]]&lt;&gt;"",SUM(Datos[[#This Row],[Ingresos Totales (Norwork)]],-Datos[[#This Row],[Costos Totales (Norwork)]]),""),"")</f>
        <v/>
      </c>
      <c r="AD211" s="153" t="str">
        <f>IFERROR(Datos[[#This Row],[Beneficio (Norwork)]]/Datos[[#This Row],[Ingresos Totales (Norwork)]],"")</f>
        <v/>
      </c>
    </row>
    <row r="212" spans="2:30" x14ac:dyDescent="0.3">
      <c r="B212" s="145" t="s">
        <v>407</v>
      </c>
      <c r="C212" s="145" t="s">
        <v>835</v>
      </c>
      <c r="D212" s="145"/>
      <c r="E212" s="145"/>
      <c r="G212" s="149">
        <v>2176</v>
      </c>
      <c r="H212" s="144"/>
      <c r="W212" s="148" t="s">
        <v>298</v>
      </c>
      <c r="X212" s="148" t="str">
        <f>IFERROR(Datos[[#This Row],[ARIBA PRECIO POR MILLAR (Dólares)]]/1000*Datos[[#This Row],[DEMANDA ANUAL]],"")</f>
        <v/>
      </c>
      <c r="Y212" s="153" t="str">
        <f>IFERROR((Datos[[#This Row],[INGRESO PRECIO ARIBA]]-Datos[[#This Row],[Costos Totales (Norwork)]])/Datos[[#This Row],[INGRESO PRECIO ARIBA]],"")</f>
        <v/>
      </c>
      <c r="Z212" s="148" t="str">
        <f>IFERROR(IF(Datos[[#This Row],[CON ETIQUETA]]="No",VALORHOJA(Datos[[#This Row],[NP]],$B$44),VALORHOJA(Datos[[#This Row],[NP]],$D$44)),"")</f>
        <v/>
      </c>
      <c r="AA212" s="148" t="str">
        <f>IFERROR(IF(Datos[[#This Row],[Precio / Millar (Norwork)]]&lt;&gt;"",PRODUCT(Datos[[#This Row],[Precio / Millar (Norwork)]]/1000,Datos[[#This Row],[DEMANDA ANUAL]]),""),"")</f>
        <v/>
      </c>
      <c r="AB21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12" s="148" t="str">
        <f>IFERROR(IF(Datos[[#This Row],[Precio / Millar (Norwork)]]&lt;&gt;"",SUM(Datos[[#This Row],[Ingresos Totales (Norwork)]],-Datos[[#This Row],[Costos Totales (Norwork)]]),""),"")</f>
        <v/>
      </c>
      <c r="AD212" s="153" t="str">
        <f>IFERROR(Datos[[#This Row],[Beneficio (Norwork)]]/Datos[[#This Row],[Ingresos Totales (Norwork)]],"")</f>
        <v/>
      </c>
    </row>
    <row r="213" spans="2:30" x14ac:dyDescent="0.3">
      <c r="B213" s="145" t="s">
        <v>511</v>
      </c>
      <c r="C213" s="145" t="s">
        <v>938</v>
      </c>
      <c r="D213" s="145"/>
      <c r="E213" s="145"/>
      <c r="G213" s="149">
        <v>2112</v>
      </c>
      <c r="H213" s="144"/>
      <c r="W213" s="148" t="s">
        <v>298</v>
      </c>
      <c r="X213" s="148" t="str">
        <f>IFERROR(Datos[[#This Row],[ARIBA PRECIO POR MILLAR (Dólares)]]/1000*Datos[[#This Row],[DEMANDA ANUAL]],"")</f>
        <v/>
      </c>
      <c r="Y213" s="153" t="str">
        <f>IFERROR((Datos[[#This Row],[INGRESO PRECIO ARIBA]]-Datos[[#This Row],[Costos Totales (Norwork)]])/Datos[[#This Row],[INGRESO PRECIO ARIBA]],"")</f>
        <v/>
      </c>
      <c r="Z213" s="148" t="str">
        <f>IFERROR(IF(Datos[[#This Row],[CON ETIQUETA]]="No",VALORHOJA(Datos[[#This Row],[NP]],$B$44),VALORHOJA(Datos[[#This Row],[NP]],$D$44)),"")</f>
        <v/>
      </c>
      <c r="AA213" s="148" t="str">
        <f>IFERROR(IF(Datos[[#This Row],[Precio / Millar (Norwork)]]&lt;&gt;"",PRODUCT(Datos[[#This Row],[Precio / Millar (Norwork)]]/1000,Datos[[#This Row],[DEMANDA ANUAL]]),""),"")</f>
        <v/>
      </c>
      <c r="AB21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13" s="148" t="str">
        <f>IFERROR(IF(Datos[[#This Row],[Precio / Millar (Norwork)]]&lt;&gt;"",SUM(Datos[[#This Row],[Ingresos Totales (Norwork)]],-Datos[[#This Row],[Costos Totales (Norwork)]]),""),"")</f>
        <v/>
      </c>
      <c r="AD213" s="153" t="str">
        <f>IFERROR(Datos[[#This Row],[Beneficio (Norwork)]]/Datos[[#This Row],[Ingresos Totales (Norwork)]],"")</f>
        <v/>
      </c>
    </row>
    <row r="214" spans="2:30" x14ac:dyDescent="0.3">
      <c r="B214" s="145" t="s">
        <v>525</v>
      </c>
      <c r="C214" s="145" t="s">
        <v>951</v>
      </c>
      <c r="D214" s="145"/>
      <c r="E214" s="145"/>
      <c r="G214" s="149">
        <v>2075</v>
      </c>
      <c r="H214" s="144"/>
      <c r="W214" s="148" t="s">
        <v>298</v>
      </c>
      <c r="X214" s="148" t="str">
        <f>IFERROR(Datos[[#This Row],[ARIBA PRECIO POR MILLAR (Dólares)]]/1000*Datos[[#This Row],[DEMANDA ANUAL]],"")</f>
        <v/>
      </c>
      <c r="Y214" s="153" t="str">
        <f>IFERROR((Datos[[#This Row],[INGRESO PRECIO ARIBA]]-Datos[[#This Row],[Costos Totales (Norwork)]])/Datos[[#This Row],[INGRESO PRECIO ARIBA]],"")</f>
        <v/>
      </c>
      <c r="Z214" s="148" t="str">
        <f>IFERROR(IF(Datos[[#This Row],[CON ETIQUETA]]="No",VALORHOJA(Datos[[#This Row],[NP]],$B$44),VALORHOJA(Datos[[#This Row],[NP]],$D$44)),"")</f>
        <v/>
      </c>
      <c r="AA214" s="148" t="str">
        <f>IFERROR(IF(Datos[[#This Row],[Precio / Millar (Norwork)]]&lt;&gt;"",PRODUCT(Datos[[#This Row],[Precio / Millar (Norwork)]]/1000,Datos[[#This Row],[DEMANDA ANUAL]]),""),"")</f>
        <v/>
      </c>
      <c r="AB21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14" s="148" t="str">
        <f>IFERROR(IF(Datos[[#This Row],[Precio / Millar (Norwork)]]&lt;&gt;"",SUM(Datos[[#This Row],[Ingresos Totales (Norwork)]],-Datos[[#This Row],[Costos Totales (Norwork)]]),""),"")</f>
        <v/>
      </c>
      <c r="AD214" s="153" t="str">
        <f>IFERROR(Datos[[#This Row],[Beneficio (Norwork)]]/Datos[[#This Row],[Ingresos Totales (Norwork)]],"")</f>
        <v/>
      </c>
    </row>
    <row r="215" spans="2:30" x14ac:dyDescent="0.3">
      <c r="B215" s="145" t="s">
        <v>447</v>
      </c>
      <c r="C215" s="176" t="s">
        <v>874</v>
      </c>
      <c r="D215" s="176"/>
      <c r="E215" s="145"/>
      <c r="F215" s="153"/>
      <c r="G215" s="149">
        <v>2068</v>
      </c>
      <c r="H215" s="144"/>
      <c r="W215" s="148" t="s">
        <v>298</v>
      </c>
      <c r="X215" s="148" t="str">
        <f>IFERROR(Datos[[#This Row],[ARIBA PRECIO POR MILLAR (Dólares)]]/1000*Datos[[#This Row],[DEMANDA ANUAL]],"")</f>
        <v/>
      </c>
      <c r="Y215" s="153" t="str">
        <f>IFERROR((Datos[[#This Row],[INGRESO PRECIO ARIBA]]-Datos[[#This Row],[Costos Totales (Norwork)]])/Datos[[#This Row],[INGRESO PRECIO ARIBA]],"")</f>
        <v/>
      </c>
      <c r="Z215" s="148" t="str">
        <f>IFERROR(IF(Datos[[#This Row],[CON ETIQUETA]]="No",VALORHOJA(Datos[[#This Row],[NP]],$B$44),VALORHOJA(Datos[[#This Row],[NP]],$D$44)),"")</f>
        <v/>
      </c>
      <c r="AA215" s="148" t="str">
        <f>IFERROR(IF(Datos[[#This Row],[Precio / Millar (Norwork)]]&lt;&gt;"",PRODUCT(Datos[[#This Row],[Precio / Millar (Norwork)]]/1000,Datos[[#This Row],[DEMANDA ANUAL]]),""),"")</f>
        <v/>
      </c>
      <c r="AB21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15" s="148" t="str">
        <f>IFERROR(IF(Datos[[#This Row],[Precio / Millar (Norwork)]]&lt;&gt;"",SUM(Datos[[#This Row],[Ingresos Totales (Norwork)]],-Datos[[#This Row],[Costos Totales (Norwork)]]),""),"")</f>
        <v/>
      </c>
      <c r="AD215" s="153" t="str">
        <f>IFERROR(Datos[[#This Row],[Beneficio (Norwork)]]/Datos[[#This Row],[Ingresos Totales (Norwork)]],"")</f>
        <v/>
      </c>
    </row>
    <row r="216" spans="2:30" x14ac:dyDescent="0.3">
      <c r="B216" s="145" t="s">
        <v>448</v>
      </c>
      <c r="C216" s="176" t="s">
        <v>875</v>
      </c>
      <c r="D216" s="176"/>
      <c r="E216" s="145"/>
      <c r="F216" s="153"/>
      <c r="G216" s="149">
        <v>2068</v>
      </c>
      <c r="H216" s="144"/>
      <c r="W216" s="148" t="s">
        <v>298</v>
      </c>
      <c r="X216" s="148" t="str">
        <f>IFERROR(Datos[[#This Row],[ARIBA PRECIO POR MILLAR (Dólares)]]/1000*Datos[[#This Row],[DEMANDA ANUAL]],"")</f>
        <v/>
      </c>
      <c r="Y216" s="153" t="str">
        <f>IFERROR((Datos[[#This Row],[INGRESO PRECIO ARIBA]]-Datos[[#This Row],[Costos Totales (Norwork)]])/Datos[[#This Row],[INGRESO PRECIO ARIBA]],"")</f>
        <v/>
      </c>
      <c r="Z216" s="148" t="str">
        <f>IFERROR(IF(Datos[[#This Row],[CON ETIQUETA]]="No",VALORHOJA(Datos[[#This Row],[NP]],$B$44),VALORHOJA(Datos[[#This Row],[NP]],$D$44)),"")</f>
        <v/>
      </c>
      <c r="AA216" s="148" t="str">
        <f>IFERROR(IF(Datos[[#This Row],[Precio / Millar (Norwork)]]&lt;&gt;"",PRODUCT(Datos[[#This Row],[Precio / Millar (Norwork)]]/1000,Datos[[#This Row],[DEMANDA ANUAL]]),""),"")</f>
        <v/>
      </c>
      <c r="AB21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16" s="148" t="str">
        <f>IFERROR(IF(Datos[[#This Row],[Precio / Millar (Norwork)]]&lt;&gt;"",SUM(Datos[[#This Row],[Ingresos Totales (Norwork)]],-Datos[[#This Row],[Costos Totales (Norwork)]]),""),"")</f>
        <v/>
      </c>
      <c r="AD216" s="153" t="str">
        <f>IFERROR(Datos[[#This Row],[Beneficio (Norwork)]]/Datos[[#This Row],[Ingresos Totales (Norwork)]],"")</f>
        <v/>
      </c>
    </row>
    <row r="217" spans="2:30" x14ac:dyDescent="0.3">
      <c r="B217" s="145" t="s">
        <v>586</v>
      </c>
      <c r="C217" s="145" t="s">
        <v>1010</v>
      </c>
      <c r="D217" s="145"/>
      <c r="E217" s="145"/>
      <c r="G217" s="149">
        <v>1984</v>
      </c>
      <c r="H217" s="144"/>
      <c r="W217" s="148" t="s">
        <v>298</v>
      </c>
      <c r="X217" s="148" t="str">
        <f>IFERROR(Datos[[#This Row],[ARIBA PRECIO POR MILLAR (Dólares)]]/1000*Datos[[#This Row],[DEMANDA ANUAL]],"")</f>
        <v/>
      </c>
      <c r="Y217" s="153" t="str">
        <f>IFERROR((Datos[[#This Row],[INGRESO PRECIO ARIBA]]-Datos[[#This Row],[Costos Totales (Norwork)]])/Datos[[#This Row],[INGRESO PRECIO ARIBA]],"")</f>
        <v/>
      </c>
      <c r="Z217" s="148" t="str">
        <f>IFERROR(IF(Datos[[#This Row],[CON ETIQUETA]]="No",VALORHOJA(Datos[[#This Row],[NP]],$B$44),VALORHOJA(Datos[[#This Row],[NP]],$D$44)),"")</f>
        <v/>
      </c>
      <c r="AA217" s="148" t="str">
        <f>IFERROR(IF(Datos[[#This Row],[Precio / Millar (Norwork)]]&lt;&gt;"",PRODUCT(Datos[[#This Row],[Precio / Millar (Norwork)]]/1000,Datos[[#This Row],[DEMANDA ANUAL]]),""),"")</f>
        <v/>
      </c>
      <c r="AB21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17" s="148" t="str">
        <f>IFERROR(IF(Datos[[#This Row],[Precio / Millar (Norwork)]]&lt;&gt;"",SUM(Datos[[#This Row],[Ingresos Totales (Norwork)]],-Datos[[#This Row],[Costos Totales (Norwork)]]),""),"")</f>
        <v/>
      </c>
      <c r="AD217" s="153" t="str">
        <f>IFERROR(Datos[[#This Row],[Beneficio (Norwork)]]/Datos[[#This Row],[Ingresos Totales (Norwork)]],"")</f>
        <v/>
      </c>
    </row>
    <row r="218" spans="2:30" x14ac:dyDescent="0.3">
      <c r="B218" s="145" t="s">
        <v>473</v>
      </c>
      <c r="C218" s="145" t="s">
        <v>900</v>
      </c>
      <c r="D218" s="145"/>
      <c r="E218" s="145"/>
      <c r="G218" s="149">
        <v>1952</v>
      </c>
      <c r="H218" s="144"/>
      <c r="W218" s="148" t="s">
        <v>298</v>
      </c>
      <c r="X218" s="148" t="str">
        <f>IFERROR(Datos[[#This Row],[ARIBA PRECIO POR MILLAR (Dólares)]]/1000*Datos[[#This Row],[DEMANDA ANUAL]],"")</f>
        <v/>
      </c>
      <c r="Y218" s="153" t="str">
        <f>IFERROR((Datos[[#This Row],[INGRESO PRECIO ARIBA]]-Datos[[#This Row],[Costos Totales (Norwork)]])/Datos[[#This Row],[INGRESO PRECIO ARIBA]],"")</f>
        <v/>
      </c>
      <c r="Z218" s="148" t="str">
        <f>IFERROR(IF(Datos[[#This Row],[CON ETIQUETA]]="No",VALORHOJA(Datos[[#This Row],[NP]],$B$44),VALORHOJA(Datos[[#This Row],[NP]],$D$44)),"")</f>
        <v/>
      </c>
      <c r="AA218" s="148" t="str">
        <f>IFERROR(IF(Datos[[#This Row],[Precio / Millar (Norwork)]]&lt;&gt;"",PRODUCT(Datos[[#This Row],[Precio / Millar (Norwork)]]/1000,Datos[[#This Row],[DEMANDA ANUAL]]),""),"")</f>
        <v/>
      </c>
      <c r="AB21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18" s="148" t="str">
        <f>IFERROR(IF(Datos[[#This Row],[Precio / Millar (Norwork)]]&lt;&gt;"",SUM(Datos[[#This Row],[Ingresos Totales (Norwork)]],-Datos[[#This Row],[Costos Totales (Norwork)]]),""),"")</f>
        <v/>
      </c>
      <c r="AD218" s="153" t="str">
        <f>IFERROR(Datos[[#This Row],[Beneficio (Norwork)]]/Datos[[#This Row],[Ingresos Totales (Norwork)]],"")</f>
        <v/>
      </c>
    </row>
    <row r="219" spans="2:30" x14ac:dyDescent="0.3">
      <c r="B219" s="145" t="s">
        <v>556</v>
      </c>
      <c r="C219" s="145" t="s">
        <v>980</v>
      </c>
      <c r="D219" s="145"/>
      <c r="E219" s="145"/>
      <c r="G219" s="149">
        <v>1920</v>
      </c>
      <c r="H219" s="144"/>
      <c r="W219" s="148" t="s">
        <v>298</v>
      </c>
      <c r="X219" s="148" t="str">
        <f>IFERROR(Datos[[#This Row],[ARIBA PRECIO POR MILLAR (Dólares)]]/1000*Datos[[#This Row],[DEMANDA ANUAL]],"")</f>
        <v/>
      </c>
      <c r="Y219" s="153" t="str">
        <f>IFERROR((Datos[[#This Row],[INGRESO PRECIO ARIBA]]-Datos[[#This Row],[Costos Totales (Norwork)]])/Datos[[#This Row],[INGRESO PRECIO ARIBA]],"")</f>
        <v/>
      </c>
      <c r="Z219" s="148" t="str">
        <f>IFERROR(IF(Datos[[#This Row],[CON ETIQUETA]]="No",VALORHOJA(Datos[[#This Row],[NP]],$B$44),VALORHOJA(Datos[[#This Row],[NP]],$D$44)),"")</f>
        <v/>
      </c>
      <c r="AA219" s="148" t="str">
        <f>IFERROR(IF(Datos[[#This Row],[Precio / Millar (Norwork)]]&lt;&gt;"",PRODUCT(Datos[[#This Row],[Precio / Millar (Norwork)]]/1000,Datos[[#This Row],[DEMANDA ANUAL]]),""),"")</f>
        <v/>
      </c>
      <c r="AB21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19" s="148" t="str">
        <f>IFERROR(IF(Datos[[#This Row],[Precio / Millar (Norwork)]]&lt;&gt;"",SUM(Datos[[#This Row],[Ingresos Totales (Norwork)]],-Datos[[#This Row],[Costos Totales (Norwork)]]),""),"")</f>
        <v/>
      </c>
      <c r="AD219" s="153" t="str">
        <f>IFERROR(Datos[[#This Row],[Beneficio (Norwork)]]/Datos[[#This Row],[Ingresos Totales (Norwork)]],"")</f>
        <v/>
      </c>
    </row>
    <row r="220" spans="2:30" x14ac:dyDescent="0.3">
      <c r="B220" s="145" t="s">
        <v>592</v>
      </c>
      <c r="C220" s="145" t="s">
        <v>1016</v>
      </c>
      <c r="D220" s="145"/>
      <c r="E220" s="145"/>
      <c r="G220" s="149">
        <v>1786</v>
      </c>
      <c r="H220" s="144"/>
      <c r="W220" s="148" t="s">
        <v>298</v>
      </c>
      <c r="X220" s="148" t="str">
        <f>IFERROR(Datos[[#This Row],[ARIBA PRECIO POR MILLAR (Dólares)]]/1000*Datos[[#This Row],[DEMANDA ANUAL]],"")</f>
        <v/>
      </c>
      <c r="Y220" s="153" t="str">
        <f>IFERROR((Datos[[#This Row],[INGRESO PRECIO ARIBA]]-Datos[[#This Row],[Costos Totales (Norwork)]])/Datos[[#This Row],[INGRESO PRECIO ARIBA]],"")</f>
        <v/>
      </c>
      <c r="Z220" s="148" t="str">
        <f>IFERROR(IF(Datos[[#This Row],[CON ETIQUETA]]="No",VALORHOJA(Datos[[#This Row],[NP]],$B$44),VALORHOJA(Datos[[#This Row],[NP]],$D$44)),"")</f>
        <v/>
      </c>
      <c r="AA220" s="148" t="str">
        <f>IFERROR(IF(Datos[[#This Row],[Precio / Millar (Norwork)]]&lt;&gt;"",PRODUCT(Datos[[#This Row],[Precio / Millar (Norwork)]]/1000,Datos[[#This Row],[DEMANDA ANUAL]]),""),"")</f>
        <v/>
      </c>
      <c r="AB22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20" s="148" t="str">
        <f>IFERROR(IF(Datos[[#This Row],[Precio / Millar (Norwork)]]&lt;&gt;"",SUM(Datos[[#This Row],[Ingresos Totales (Norwork)]],-Datos[[#This Row],[Costos Totales (Norwork)]]),""),"")</f>
        <v/>
      </c>
      <c r="AD220" s="153" t="str">
        <f>IFERROR(Datos[[#This Row],[Beneficio (Norwork)]]/Datos[[#This Row],[Ingresos Totales (Norwork)]],"")</f>
        <v/>
      </c>
    </row>
    <row r="221" spans="2:30" x14ac:dyDescent="0.3">
      <c r="B221" s="145" t="s">
        <v>594</v>
      </c>
      <c r="C221" s="145" t="s">
        <v>1018</v>
      </c>
      <c r="D221" s="145"/>
      <c r="E221" s="145"/>
      <c r="G221" s="149">
        <v>1728</v>
      </c>
      <c r="H221" s="144"/>
      <c r="W221" s="148" t="s">
        <v>298</v>
      </c>
      <c r="X221" s="148" t="str">
        <f>IFERROR(Datos[[#This Row],[ARIBA PRECIO POR MILLAR (Dólares)]]/1000*Datos[[#This Row],[DEMANDA ANUAL]],"")</f>
        <v/>
      </c>
      <c r="Y221" s="153" t="str">
        <f>IFERROR((Datos[[#This Row],[INGRESO PRECIO ARIBA]]-Datos[[#This Row],[Costos Totales (Norwork)]])/Datos[[#This Row],[INGRESO PRECIO ARIBA]],"")</f>
        <v/>
      </c>
      <c r="Z221" s="148" t="str">
        <f>IFERROR(IF(Datos[[#This Row],[CON ETIQUETA]]="No",VALORHOJA(Datos[[#This Row],[NP]],$B$44),VALORHOJA(Datos[[#This Row],[NP]],$D$44)),"")</f>
        <v/>
      </c>
      <c r="AA221" s="148" t="str">
        <f>IFERROR(IF(Datos[[#This Row],[Precio / Millar (Norwork)]]&lt;&gt;"",PRODUCT(Datos[[#This Row],[Precio / Millar (Norwork)]]/1000,Datos[[#This Row],[DEMANDA ANUAL]]),""),"")</f>
        <v/>
      </c>
      <c r="AB22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21" s="148" t="str">
        <f>IFERROR(IF(Datos[[#This Row],[Precio / Millar (Norwork)]]&lt;&gt;"",SUM(Datos[[#This Row],[Ingresos Totales (Norwork)]],-Datos[[#This Row],[Costos Totales (Norwork)]]),""),"")</f>
        <v/>
      </c>
      <c r="AD221" s="153" t="str">
        <f>IFERROR(Datos[[#This Row],[Beneficio (Norwork)]]/Datos[[#This Row],[Ingresos Totales (Norwork)]],"")</f>
        <v/>
      </c>
    </row>
    <row r="222" spans="2:30" x14ac:dyDescent="0.3">
      <c r="B222" s="145" t="s">
        <v>532</v>
      </c>
      <c r="C222" s="145" t="s">
        <v>958</v>
      </c>
      <c r="D222" s="145"/>
      <c r="E222" s="145"/>
      <c r="G222" s="149">
        <v>1692</v>
      </c>
      <c r="H222" s="144"/>
      <c r="W222" s="148" t="s">
        <v>298</v>
      </c>
      <c r="X222" s="148" t="str">
        <f>IFERROR(Datos[[#This Row],[ARIBA PRECIO POR MILLAR (Dólares)]]/1000*Datos[[#This Row],[DEMANDA ANUAL]],"")</f>
        <v/>
      </c>
      <c r="Y222" s="153" t="str">
        <f>IFERROR((Datos[[#This Row],[INGRESO PRECIO ARIBA]]-Datos[[#This Row],[Costos Totales (Norwork)]])/Datos[[#This Row],[INGRESO PRECIO ARIBA]],"")</f>
        <v/>
      </c>
      <c r="Z222" s="148" t="str">
        <f>IFERROR(IF(Datos[[#This Row],[CON ETIQUETA]]="No",VALORHOJA(Datos[[#This Row],[NP]],$B$44),VALORHOJA(Datos[[#This Row],[NP]],$D$44)),"")</f>
        <v/>
      </c>
      <c r="AA222" s="148" t="str">
        <f>IFERROR(IF(Datos[[#This Row],[Precio / Millar (Norwork)]]&lt;&gt;"",PRODUCT(Datos[[#This Row],[Precio / Millar (Norwork)]]/1000,Datos[[#This Row],[DEMANDA ANUAL]]),""),"")</f>
        <v/>
      </c>
      <c r="AB22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22" s="148" t="str">
        <f>IFERROR(IF(Datos[[#This Row],[Precio / Millar (Norwork)]]&lt;&gt;"",SUM(Datos[[#This Row],[Ingresos Totales (Norwork)]],-Datos[[#This Row],[Costos Totales (Norwork)]]),""),"")</f>
        <v/>
      </c>
      <c r="AD222" s="153" t="str">
        <f>IFERROR(Datos[[#This Row],[Beneficio (Norwork)]]/Datos[[#This Row],[Ingresos Totales (Norwork)]],"")</f>
        <v/>
      </c>
    </row>
    <row r="223" spans="2:30" x14ac:dyDescent="0.3">
      <c r="B223" s="145" t="s">
        <v>561</v>
      </c>
      <c r="C223" s="145" t="s">
        <v>985</v>
      </c>
      <c r="D223" s="145"/>
      <c r="E223" s="145"/>
      <c r="G223" s="149">
        <v>1680</v>
      </c>
      <c r="H223" s="144"/>
      <c r="W223" s="148" t="s">
        <v>298</v>
      </c>
      <c r="X223" s="148" t="str">
        <f>IFERROR(Datos[[#This Row],[ARIBA PRECIO POR MILLAR (Dólares)]]/1000*Datos[[#This Row],[DEMANDA ANUAL]],"")</f>
        <v/>
      </c>
      <c r="Y223" s="153" t="str">
        <f>IFERROR((Datos[[#This Row],[INGRESO PRECIO ARIBA]]-Datos[[#This Row],[Costos Totales (Norwork)]])/Datos[[#This Row],[INGRESO PRECIO ARIBA]],"")</f>
        <v/>
      </c>
      <c r="Z223" s="148" t="str">
        <f>IFERROR(IF(Datos[[#This Row],[CON ETIQUETA]]="No",VALORHOJA(Datos[[#This Row],[NP]],$B$44),VALORHOJA(Datos[[#This Row],[NP]],$D$44)),"")</f>
        <v/>
      </c>
      <c r="AA223" s="148" t="str">
        <f>IFERROR(IF(Datos[[#This Row],[Precio / Millar (Norwork)]]&lt;&gt;"",PRODUCT(Datos[[#This Row],[Precio / Millar (Norwork)]]/1000,Datos[[#This Row],[DEMANDA ANUAL]]),""),"")</f>
        <v/>
      </c>
      <c r="AB22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23" s="148" t="str">
        <f>IFERROR(IF(Datos[[#This Row],[Precio / Millar (Norwork)]]&lt;&gt;"",SUM(Datos[[#This Row],[Ingresos Totales (Norwork)]],-Datos[[#This Row],[Costos Totales (Norwork)]]),""),"")</f>
        <v/>
      </c>
      <c r="AD223" s="153" t="str">
        <f>IFERROR(Datos[[#This Row],[Beneficio (Norwork)]]/Datos[[#This Row],[Ingresos Totales (Norwork)]],"")</f>
        <v/>
      </c>
    </row>
    <row r="224" spans="2:30" x14ac:dyDescent="0.3">
      <c r="B224" s="145" t="s">
        <v>597</v>
      </c>
      <c r="C224" s="145" t="s">
        <v>1021</v>
      </c>
      <c r="D224" s="145"/>
      <c r="E224" s="145"/>
      <c r="G224" s="149">
        <v>1650</v>
      </c>
      <c r="H224" s="144"/>
      <c r="W224" s="148" t="s">
        <v>298</v>
      </c>
      <c r="X224" s="148" t="str">
        <f>IFERROR(Datos[[#This Row],[ARIBA PRECIO POR MILLAR (Dólares)]]/1000*Datos[[#This Row],[DEMANDA ANUAL]],"")</f>
        <v/>
      </c>
      <c r="Y224" s="153" t="str">
        <f>IFERROR((Datos[[#This Row],[INGRESO PRECIO ARIBA]]-Datos[[#This Row],[Costos Totales (Norwork)]])/Datos[[#This Row],[INGRESO PRECIO ARIBA]],"")</f>
        <v/>
      </c>
      <c r="Z224" s="148" t="str">
        <f>IFERROR(IF(Datos[[#This Row],[CON ETIQUETA]]="No",VALORHOJA(Datos[[#This Row],[NP]],$B$44),VALORHOJA(Datos[[#This Row],[NP]],$D$44)),"")</f>
        <v/>
      </c>
      <c r="AA224" s="148" t="str">
        <f>IFERROR(IF(Datos[[#This Row],[Precio / Millar (Norwork)]]&lt;&gt;"",PRODUCT(Datos[[#This Row],[Precio / Millar (Norwork)]]/1000,Datos[[#This Row],[DEMANDA ANUAL]]),""),"")</f>
        <v/>
      </c>
      <c r="AB22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24" s="148" t="str">
        <f>IFERROR(IF(Datos[[#This Row],[Precio / Millar (Norwork)]]&lt;&gt;"",SUM(Datos[[#This Row],[Ingresos Totales (Norwork)]],-Datos[[#This Row],[Costos Totales (Norwork)]]),""),"")</f>
        <v/>
      </c>
      <c r="AD224" s="153" t="str">
        <f>IFERROR(Datos[[#This Row],[Beneficio (Norwork)]]/Datos[[#This Row],[Ingresos Totales (Norwork)]],"")</f>
        <v/>
      </c>
    </row>
    <row r="225" spans="2:30" x14ac:dyDescent="0.3">
      <c r="B225" s="145" t="s">
        <v>534</v>
      </c>
      <c r="C225" s="145" t="s">
        <v>960</v>
      </c>
      <c r="D225" s="145"/>
      <c r="E225" s="145"/>
      <c r="G225" s="149">
        <v>1636</v>
      </c>
      <c r="H225" s="144"/>
      <c r="W225" s="148" t="s">
        <v>298</v>
      </c>
      <c r="X225" s="148" t="str">
        <f>IFERROR(Datos[[#This Row],[ARIBA PRECIO POR MILLAR (Dólares)]]/1000*Datos[[#This Row],[DEMANDA ANUAL]],"")</f>
        <v/>
      </c>
      <c r="Y225" s="153" t="str">
        <f>IFERROR((Datos[[#This Row],[INGRESO PRECIO ARIBA]]-Datos[[#This Row],[Costos Totales (Norwork)]])/Datos[[#This Row],[INGRESO PRECIO ARIBA]],"")</f>
        <v/>
      </c>
      <c r="Z225" s="148" t="str">
        <f>IFERROR(IF(Datos[[#This Row],[CON ETIQUETA]]="No",VALORHOJA(Datos[[#This Row],[NP]],$B$44),VALORHOJA(Datos[[#This Row],[NP]],$D$44)),"")</f>
        <v/>
      </c>
      <c r="AA225" s="148" t="str">
        <f>IFERROR(IF(Datos[[#This Row],[Precio / Millar (Norwork)]]&lt;&gt;"",PRODUCT(Datos[[#This Row],[Precio / Millar (Norwork)]]/1000,Datos[[#This Row],[DEMANDA ANUAL]]),""),"")</f>
        <v/>
      </c>
      <c r="AB22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25" s="148" t="str">
        <f>IFERROR(IF(Datos[[#This Row],[Precio / Millar (Norwork)]]&lt;&gt;"",SUM(Datos[[#This Row],[Ingresos Totales (Norwork)]],-Datos[[#This Row],[Costos Totales (Norwork)]]),""),"")</f>
        <v/>
      </c>
      <c r="AD225" s="153" t="str">
        <f>IFERROR(Datos[[#This Row],[Beneficio (Norwork)]]/Datos[[#This Row],[Ingresos Totales (Norwork)]],"")</f>
        <v/>
      </c>
    </row>
    <row r="226" spans="2:30" x14ac:dyDescent="0.3">
      <c r="B226" s="145" t="s">
        <v>565</v>
      </c>
      <c r="C226" s="178" t="s">
        <v>989</v>
      </c>
      <c r="D226" s="178"/>
      <c r="E226" s="145"/>
      <c r="G226" s="149">
        <v>1628</v>
      </c>
      <c r="H226" s="144"/>
      <c r="W226" s="148" t="s">
        <v>298</v>
      </c>
      <c r="X226" s="148" t="str">
        <f>IFERROR(Datos[[#This Row],[ARIBA PRECIO POR MILLAR (Dólares)]]/1000*Datos[[#This Row],[DEMANDA ANUAL]],"")</f>
        <v/>
      </c>
      <c r="Y226" s="153" t="str">
        <f>IFERROR((Datos[[#This Row],[INGRESO PRECIO ARIBA]]-Datos[[#This Row],[Costos Totales (Norwork)]])/Datos[[#This Row],[INGRESO PRECIO ARIBA]],"")</f>
        <v/>
      </c>
      <c r="Z226" s="148" t="str">
        <f>IFERROR(IF(Datos[[#This Row],[CON ETIQUETA]]="No",VALORHOJA(Datos[[#This Row],[NP]],$B$44),VALORHOJA(Datos[[#This Row],[NP]],$D$44)),"")</f>
        <v/>
      </c>
      <c r="AA226" s="148" t="str">
        <f>IFERROR(IF(Datos[[#This Row],[Precio / Millar (Norwork)]]&lt;&gt;"",PRODUCT(Datos[[#This Row],[Precio / Millar (Norwork)]]/1000,Datos[[#This Row],[DEMANDA ANUAL]]),""),"")</f>
        <v/>
      </c>
      <c r="AB22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26" s="148" t="str">
        <f>IFERROR(IF(Datos[[#This Row],[Precio / Millar (Norwork)]]&lt;&gt;"",SUM(Datos[[#This Row],[Ingresos Totales (Norwork)]],-Datos[[#This Row],[Costos Totales (Norwork)]]),""),"")</f>
        <v/>
      </c>
      <c r="AD226" s="153" t="str">
        <f>IFERROR(Datos[[#This Row],[Beneficio (Norwork)]]/Datos[[#This Row],[Ingresos Totales (Norwork)]],"")</f>
        <v/>
      </c>
    </row>
    <row r="227" spans="2:30" x14ac:dyDescent="0.3">
      <c r="B227" s="145" t="s">
        <v>535</v>
      </c>
      <c r="C227" s="145" t="s">
        <v>961</v>
      </c>
      <c r="D227" s="145"/>
      <c r="E227" s="145"/>
      <c r="G227" s="149">
        <v>1624</v>
      </c>
      <c r="H227" s="144"/>
      <c r="W227" s="148" t="s">
        <v>298</v>
      </c>
      <c r="X227" s="148" t="str">
        <f>IFERROR(Datos[[#This Row],[ARIBA PRECIO POR MILLAR (Dólares)]]/1000*Datos[[#This Row],[DEMANDA ANUAL]],"")</f>
        <v/>
      </c>
      <c r="Y227" s="153" t="str">
        <f>IFERROR((Datos[[#This Row],[INGRESO PRECIO ARIBA]]-Datos[[#This Row],[Costos Totales (Norwork)]])/Datos[[#This Row],[INGRESO PRECIO ARIBA]],"")</f>
        <v/>
      </c>
      <c r="Z227" s="148" t="str">
        <f>IFERROR(IF(Datos[[#This Row],[CON ETIQUETA]]="No",VALORHOJA(Datos[[#This Row],[NP]],$B$44),VALORHOJA(Datos[[#This Row],[NP]],$D$44)),"")</f>
        <v/>
      </c>
      <c r="AA227" s="148" t="str">
        <f>IFERROR(IF(Datos[[#This Row],[Precio / Millar (Norwork)]]&lt;&gt;"",PRODUCT(Datos[[#This Row],[Precio / Millar (Norwork)]]/1000,Datos[[#This Row],[DEMANDA ANUAL]]),""),"")</f>
        <v/>
      </c>
      <c r="AB22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27" s="148" t="str">
        <f>IFERROR(IF(Datos[[#This Row],[Precio / Millar (Norwork)]]&lt;&gt;"",SUM(Datos[[#This Row],[Ingresos Totales (Norwork)]],-Datos[[#This Row],[Costos Totales (Norwork)]]),""),"")</f>
        <v/>
      </c>
      <c r="AD227" s="153" t="str">
        <f>IFERROR(Datos[[#This Row],[Beneficio (Norwork)]]/Datos[[#This Row],[Ingresos Totales (Norwork)]],"")</f>
        <v/>
      </c>
    </row>
    <row r="228" spans="2:30" x14ac:dyDescent="0.3">
      <c r="B228" s="145" t="s">
        <v>566</v>
      </c>
      <c r="C228" s="178" t="s">
        <v>990</v>
      </c>
      <c r="D228" s="178"/>
      <c r="E228" s="145"/>
      <c r="G228" s="149">
        <v>1624</v>
      </c>
      <c r="H228" s="144"/>
      <c r="W228" s="148" t="s">
        <v>298</v>
      </c>
      <c r="X228" s="148" t="str">
        <f>IFERROR(Datos[[#This Row],[ARIBA PRECIO POR MILLAR (Dólares)]]/1000*Datos[[#This Row],[DEMANDA ANUAL]],"")</f>
        <v/>
      </c>
      <c r="Y228" s="153" t="str">
        <f>IFERROR((Datos[[#This Row],[INGRESO PRECIO ARIBA]]-Datos[[#This Row],[Costos Totales (Norwork)]])/Datos[[#This Row],[INGRESO PRECIO ARIBA]],"")</f>
        <v/>
      </c>
      <c r="Z228" s="148" t="str">
        <f>IFERROR(IF(Datos[[#This Row],[CON ETIQUETA]]="No",VALORHOJA(Datos[[#This Row],[NP]],$B$44),VALORHOJA(Datos[[#This Row],[NP]],$D$44)),"")</f>
        <v/>
      </c>
      <c r="AA228" s="148" t="str">
        <f>IFERROR(IF(Datos[[#This Row],[Precio / Millar (Norwork)]]&lt;&gt;"",PRODUCT(Datos[[#This Row],[Precio / Millar (Norwork)]]/1000,Datos[[#This Row],[DEMANDA ANUAL]]),""),"")</f>
        <v/>
      </c>
      <c r="AB22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28" s="148" t="str">
        <f>IFERROR(IF(Datos[[#This Row],[Precio / Millar (Norwork)]]&lt;&gt;"",SUM(Datos[[#This Row],[Ingresos Totales (Norwork)]],-Datos[[#This Row],[Costos Totales (Norwork)]]),""),"")</f>
        <v/>
      </c>
      <c r="AD228" s="153" t="str">
        <f>IFERROR(Datos[[#This Row],[Beneficio (Norwork)]]/Datos[[#This Row],[Ingresos Totales (Norwork)]],"")</f>
        <v/>
      </c>
    </row>
    <row r="229" spans="2:30" x14ac:dyDescent="0.3">
      <c r="B229" s="145" t="s">
        <v>483</v>
      </c>
      <c r="C229" s="145" t="s">
        <v>910</v>
      </c>
      <c r="D229" s="145"/>
      <c r="E229" s="145"/>
      <c r="G229" s="149">
        <v>1600</v>
      </c>
      <c r="H229" s="144"/>
      <c r="W229" s="148" t="s">
        <v>298</v>
      </c>
      <c r="X229" s="148" t="str">
        <f>IFERROR(Datos[[#This Row],[ARIBA PRECIO POR MILLAR (Dólares)]]/1000*Datos[[#This Row],[DEMANDA ANUAL]],"")</f>
        <v/>
      </c>
      <c r="Y229" s="153" t="str">
        <f>IFERROR((Datos[[#This Row],[INGRESO PRECIO ARIBA]]-Datos[[#This Row],[Costos Totales (Norwork)]])/Datos[[#This Row],[INGRESO PRECIO ARIBA]],"")</f>
        <v/>
      </c>
      <c r="Z229" s="148" t="str">
        <f>IFERROR(IF(Datos[[#This Row],[CON ETIQUETA]]="No",VALORHOJA(Datos[[#This Row],[NP]],$B$44),VALORHOJA(Datos[[#This Row],[NP]],$D$44)),"")</f>
        <v/>
      </c>
      <c r="AA229" s="148" t="str">
        <f>IFERROR(IF(Datos[[#This Row],[Precio / Millar (Norwork)]]&lt;&gt;"",PRODUCT(Datos[[#This Row],[Precio / Millar (Norwork)]]/1000,Datos[[#This Row],[DEMANDA ANUAL]]),""),"")</f>
        <v/>
      </c>
      <c r="AB22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29" s="148" t="str">
        <f>IFERROR(IF(Datos[[#This Row],[Precio / Millar (Norwork)]]&lt;&gt;"",SUM(Datos[[#This Row],[Ingresos Totales (Norwork)]],-Datos[[#This Row],[Costos Totales (Norwork)]]),""),"")</f>
        <v/>
      </c>
      <c r="AD229" s="153" t="str">
        <f>IFERROR(Datos[[#This Row],[Beneficio (Norwork)]]/Datos[[#This Row],[Ingresos Totales (Norwork)]],"")</f>
        <v/>
      </c>
    </row>
    <row r="230" spans="2:30" x14ac:dyDescent="0.3">
      <c r="B230" s="145" t="s">
        <v>599</v>
      </c>
      <c r="C230" s="145" t="s">
        <v>1023</v>
      </c>
      <c r="D230" s="145"/>
      <c r="E230" s="145"/>
      <c r="G230" s="149">
        <v>1596</v>
      </c>
      <c r="H230" s="144"/>
      <c r="W230" s="148" t="s">
        <v>298</v>
      </c>
      <c r="X230" s="148" t="str">
        <f>IFERROR(Datos[[#This Row],[ARIBA PRECIO POR MILLAR (Dólares)]]/1000*Datos[[#This Row],[DEMANDA ANUAL]],"")</f>
        <v/>
      </c>
      <c r="Y230" s="153" t="str">
        <f>IFERROR((Datos[[#This Row],[INGRESO PRECIO ARIBA]]-Datos[[#This Row],[Costos Totales (Norwork)]])/Datos[[#This Row],[INGRESO PRECIO ARIBA]],"")</f>
        <v/>
      </c>
      <c r="Z230" s="148" t="str">
        <f>IFERROR(IF(Datos[[#This Row],[CON ETIQUETA]]="No",VALORHOJA(Datos[[#This Row],[NP]],$B$44),VALORHOJA(Datos[[#This Row],[NP]],$D$44)),"")</f>
        <v/>
      </c>
      <c r="AA230" s="148" t="str">
        <f>IFERROR(IF(Datos[[#This Row],[Precio / Millar (Norwork)]]&lt;&gt;"",PRODUCT(Datos[[#This Row],[Precio / Millar (Norwork)]]/1000,Datos[[#This Row],[DEMANDA ANUAL]]),""),"")</f>
        <v/>
      </c>
      <c r="AB23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30" s="148" t="str">
        <f>IFERROR(IF(Datos[[#This Row],[Precio / Millar (Norwork)]]&lt;&gt;"",SUM(Datos[[#This Row],[Ingresos Totales (Norwork)]],-Datos[[#This Row],[Costos Totales (Norwork)]]),""),"")</f>
        <v/>
      </c>
      <c r="AD230" s="153" t="str">
        <f>IFERROR(Datos[[#This Row],[Beneficio (Norwork)]]/Datos[[#This Row],[Ingresos Totales (Norwork)]],"")</f>
        <v/>
      </c>
    </row>
    <row r="231" spans="2:30" x14ac:dyDescent="0.3">
      <c r="B231" s="145" t="s">
        <v>569</v>
      </c>
      <c r="C231" s="178" t="s">
        <v>993</v>
      </c>
      <c r="D231" s="178"/>
      <c r="E231" s="145"/>
      <c r="G231" s="149">
        <v>1572</v>
      </c>
      <c r="H231" s="144"/>
      <c r="W231" s="148" t="s">
        <v>298</v>
      </c>
      <c r="X231" s="148" t="str">
        <f>IFERROR(Datos[[#This Row],[ARIBA PRECIO POR MILLAR (Dólares)]]/1000*Datos[[#This Row],[DEMANDA ANUAL]],"")</f>
        <v/>
      </c>
      <c r="Y231" s="153" t="str">
        <f>IFERROR((Datos[[#This Row],[INGRESO PRECIO ARIBA]]-Datos[[#This Row],[Costos Totales (Norwork)]])/Datos[[#This Row],[INGRESO PRECIO ARIBA]],"")</f>
        <v/>
      </c>
      <c r="Z231" s="148" t="str">
        <f>IFERROR(IF(Datos[[#This Row],[CON ETIQUETA]]="No",VALORHOJA(Datos[[#This Row],[NP]],$B$44),VALORHOJA(Datos[[#This Row],[NP]],$D$44)),"")</f>
        <v/>
      </c>
      <c r="AA231" s="148" t="str">
        <f>IFERROR(IF(Datos[[#This Row],[Precio / Millar (Norwork)]]&lt;&gt;"",PRODUCT(Datos[[#This Row],[Precio / Millar (Norwork)]]/1000,Datos[[#This Row],[DEMANDA ANUAL]]),""),"")</f>
        <v/>
      </c>
      <c r="AB23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31" s="148" t="str">
        <f>IFERROR(IF(Datos[[#This Row],[Precio / Millar (Norwork)]]&lt;&gt;"",SUM(Datos[[#This Row],[Ingresos Totales (Norwork)]],-Datos[[#This Row],[Costos Totales (Norwork)]]),""),"")</f>
        <v/>
      </c>
      <c r="AD231" s="153" t="str">
        <f>IFERROR(Datos[[#This Row],[Beneficio (Norwork)]]/Datos[[#This Row],[Ingresos Totales (Norwork)]],"")</f>
        <v/>
      </c>
    </row>
    <row r="232" spans="2:30" x14ac:dyDescent="0.3">
      <c r="B232" s="145" t="s">
        <v>476</v>
      </c>
      <c r="C232" s="145" t="s">
        <v>903</v>
      </c>
      <c r="D232" s="145"/>
      <c r="E232" s="145"/>
      <c r="G232" s="149">
        <v>1560</v>
      </c>
      <c r="H232" s="144"/>
      <c r="W232" s="148" t="s">
        <v>298</v>
      </c>
      <c r="X232" s="148" t="str">
        <f>IFERROR(Datos[[#This Row],[ARIBA PRECIO POR MILLAR (Dólares)]]/1000*Datos[[#This Row],[DEMANDA ANUAL]],"")</f>
        <v/>
      </c>
      <c r="Y232" s="153" t="str">
        <f>IFERROR((Datos[[#This Row],[INGRESO PRECIO ARIBA]]-Datos[[#This Row],[Costos Totales (Norwork)]])/Datos[[#This Row],[INGRESO PRECIO ARIBA]],"")</f>
        <v/>
      </c>
      <c r="Z232" s="148" t="str">
        <f>IFERROR(IF(Datos[[#This Row],[CON ETIQUETA]]="No",VALORHOJA(Datos[[#This Row],[NP]],$B$44),VALORHOJA(Datos[[#This Row],[NP]],$D$44)),"")</f>
        <v/>
      </c>
      <c r="AA232" s="148" t="str">
        <f>IFERROR(IF(Datos[[#This Row],[Precio / Millar (Norwork)]]&lt;&gt;"",PRODUCT(Datos[[#This Row],[Precio / Millar (Norwork)]]/1000,Datos[[#This Row],[DEMANDA ANUAL]]),""),"")</f>
        <v/>
      </c>
      <c r="AB23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32" s="148" t="str">
        <f>IFERROR(IF(Datos[[#This Row],[Precio / Millar (Norwork)]]&lt;&gt;"",SUM(Datos[[#This Row],[Ingresos Totales (Norwork)]],-Datos[[#This Row],[Costos Totales (Norwork)]]),""),"")</f>
        <v/>
      </c>
      <c r="AD232" s="153" t="str">
        <f>IFERROR(Datos[[#This Row],[Beneficio (Norwork)]]/Datos[[#This Row],[Ingresos Totales (Norwork)]],"")</f>
        <v/>
      </c>
    </row>
    <row r="233" spans="2:30" x14ac:dyDescent="0.3">
      <c r="B233" s="145" t="s">
        <v>512</v>
      </c>
      <c r="C233" s="145" t="s">
        <v>939</v>
      </c>
      <c r="D233" s="145"/>
      <c r="E233" s="145"/>
      <c r="G233" s="149">
        <v>1552</v>
      </c>
      <c r="H233" s="144"/>
      <c r="W233" s="148" t="s">
        <v>298</v>
      </c>
      <c r="X233" s="148" t="str">
        <f>IFERROR(Datos[[#This Row],[ARIBA PRECIO POR MILLAR (Dólares)]]/1000*Datos[[#This Row],[DEMANDA ANUAL]],"")</f>
        <v/>
      </c>
      <c r="Y233" s="153" t="str">
        <f>IFERROR((Datos[[#This Row],[INGRESO PRECIO ARIBA]]-Datos[[#This Row],[Costos Totales (Norwork)]])/Datos[[#This Row],[INGRESO PRECIO ARIBA]],"")</f>
        <v/>
      </c>
      <c r="Z233" s="148" t="str">
        <f>IFERROR(IF(Datos[[#This Row],[CON ETIQUETA]]="No",VALORHOJA(Datos[[#This Row],[NP]],$B$44),VALORHOJA(Datos[[#This Row],[NP]],$D$44)),"")</f>
        <v/>
      </c>
      <c r="AA233" s="148" t="str">
        <f>IFERROR(IF(Datos[[#This Row],[Precio / Millar (Norwork)]]&lt;&gt;"",PRODUCT(Datos[[#This Row],[Precio / Millar (Norwork)]]/1000,Datos[[#This Row],[DEMANDA ANUAL]]),""),"")</f>
        <v/>
      </c>
      <c r="AB23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33" s="148" t="str">
        <f>IFERROR(IF(Datos[[#This Row],[Precio / Millar (Norwork)]]&lt;&gt;"",SUM(Datos[[#This Row],[Ingresos Totales (Norwork)]],-Datos[[#This Row],[Costos Totales (Norwork)]]),""),"")</f>
        <v/>
      </c>
      <c r="AD233" s="153" t="str">
        <f>IFERROR(Datos[[#This Row],[Beneficio (Norwork)]]/Datos[[#This Row],[Ingresos Totales (Norwork)]],"")</f>
        <v/>
      </c>
    </row>
    <row r="234" spans="2:30" x14ac:dyDescent="0.3">
      <c r="B234" s="145" t="s">
        <v>570</v>
      </c>
      <c r="C234" s="178" t="s">
        <v>994</v>
      </c>
      <c r="D234" s="178"/>
      <c r="E234" s="145"/>
      <c r="G234" s="149">
        <v>1521</v>
      </c>
      <c r="H234" s="144"/>
      <c r="W234" s="148" t="s">
        <v>298</v>
      </c>
      <c r="X234" s="148" t="str">
        <f>IFERROR(Datos[[#This Row],[ARIBA PRECIO POR MILLAR (Dólares)]]/1000*Datos[[#This Row],[DEMANDA ANUAL]],"")</f>
        <v/>
      </c>
      <c r="Y234" s="153" t="str">
        <f>IFERROR((Datos[[#This Row],[INGRESO PRECIO ARIBA]]-Datos[[#This Row],[Costos Totales (Norwork)]])/Datos[[#This Row],[INGRESO PRECIO ARIBA]],"")</f>
        <v/>
      </c>
      <c r="Z234" s="148" t="str">
        <f>IFERROR(IF(Datos[[#This Row],[CON ETIQUETA]]="No",VALORHOJA(Datos[[#This Row],[NP]],$B$44),VALORHOJA(Datos[[#This Row],[NP]],$D$44)),"")</f>
        <v/>
      </c>
      <c r="AA234" s="148" t="str">
        <f>IFERROR(IF(Datos[[#This Row],[Precio / Millar (Norwork)]]&lt;&gt;"",PRODUCT(Datos[[#This Row],[Precio / Millar (Norwork)]]/1000,Datos[[#This Row],[DEMANDA ANUAL]]),""),"")</f>
        <v/>
      </c>
      <c r="AB23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34" s="148" t="str">
        <f>IFERROR(IF(Datos[[#This Row],[Precio / Millar (Norwork)]]&lt;&gt;"",SUM(Datos[[#This Row],[Ingresos Totales (Norwork)]],-Datos[[#This Row],[Costos Totales (Norwork)]]),""),"")</f>
        <v/>
      </c>
      <c r="AD234" s="153" t="str">
        <f>IFERROR(Datos[[#This Row],[Beneficio (Norwork)]]/Datos[[#This Row],[Ingresos Totales (Norwork)]],"")</f>
        <v/>
      </c>
    </row>
    <row r="235" spans="2:30" x14ac:dyDescent="0.3">
      <c r="B235" s="145" t="s">
        <v>537</v>
      </c>
      <c r="C235" s="145" t="s">
        <v>963</v>
      </c>
      <c r="D235" s="145"/>
      <c r="E235" s="145"/>
      <c r="G235" s="149">
        <v>1512</v>
      </c>
      <c r="H235" s="144"/>
      <c r="W235" s="148" t="s">
        <v>298</v>
      </c>
      <c r="X235" s="148" t="str">
        <f>IFERROR(Datos[[#This Row],[ARIBA PRECIO POR MILLAR (Dólares)]]/1000*Datos[[#This Row],[DEMANDA ANUAL]],"")</f>
        <v/>
      </c>
      <c r="Y235" s="153" t="str">
        <f>IFERROR((Datos[[#This Row],[INGRESO PRECIO ARIBA]]-Datos[[#This Row],[Costos Totales (Norwork)]])/Datos[[#This Row],[INGRESO PRECIO ARIBA]],"")</f>
        <v/>
      </c>
      <c r="Z235" s="148" t="str">
        <f>IFERROR(IF(Datos[[#This Row],[CON ETIQUETA]]="No",VALORHOJA(Datos[[#This Row],[NP]],$B$44),VALORHOJA(Datos[[#This Row],[NP]],$D$44)),"")</f>
        <v/>
      </c>
      <c r="AA235" s="148" t="str">
        <f>IFERROR(IF(Datos[[#This Row],[Precio / Millar (Norwork)]]&lt;&gt;"",PRODUCT(Datos[[#This Row],[Precio / Millar (Norwork)]]/1000,Datos[[#This Row],[DEMANDA ANUAL]]),""),"")</f>
        <v/>
      </c>
      <c r="AB23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35" s="148" t="str">
        <f>IFERROR(IF(Datos[[#This Row],[Precio / Millar (Norwork)]]&lt;&gt;"",SUM(Datos[[#This Row],[Ingresos Totales (Norwork)]],-Datos[[#This Row],[Costos Totales (Norwork)]]),""),"")</f>
        <v/>
      </c>
      <c r="AD235" s="153" t="str">
        <f>IFERROR(Datos[[#This Row],[Beneficio (Norwork)]]/Datos[[#This Row],[Ingresos Totales (Norwork)]],"")</f>
        <v/>
      </c>
    </row>
    <row r="236" spans="2:30" x14ac:dyDescent="0.3">
      <c r="B236" s="145" t="s">
        <v>390</v>
      </c>
      <c r="C236" s="176" t="s">
        <v>818</v>
      </c>
      <c r="D236" s="176"/>
      <c r="E236" s="145"/>
      <c r="F236" s="148"/>
      <c r="G236" s="149">
        <v>1476</v>
      </c>
      <c r="H236" s="144"/>
      <c r="W236" s="148" t="s">
        <v>298</v>
      </c>
      <c r="X236" s="148" t="str">
        <f>IFERROR(Datos[[#This Row],[ARIBA PRECIO POR MILLAR (Dólares)]]/1000*Datos[[#This Row],[DEMANDA ANUAL]],"")</f>
        <v/>
      </c>
      <c r="Y236" s="153" t="str">
        <f>IFERROR((Datos[[#This Row],[INGRESO PRECIO ARIBA]]-Datos[[#This Row],[Costos Totales (Norwork)]])/Datos[[#This Row],[INGRESO PRECIO ARIBA]],"")</f>
        <v/>
      </c>
      <c r="Z236" s="148" t="str">
        <f>IFERROR(IF(Datos[[#This Row],[CON ETIQUETA]]="No",VALORHOJA(Datos[[#This Row],[NP]],$B$44),VALORHOJA(Datos[[#This Row],[NP]],$D$44)),"")</f>
        <v/>
      </c>
      <c r="AA236" s="148" t="str">
        <f>IFERROR(IF(Datos[[#This Row],[Precio / Millar (Norwork)]]&lt;&gt;"",PRODUCT(Datos[[#This Row],[Precio / Millar (Norwork)]]/1000,Datos[[#This Row],[DEMANDA ANUAL]]),""),"")</f>
        <v/>
      </c>
      <c r="AB23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36" s="148" t="str">
        <f>IFERROR(IF(Datos[[#This Row],[Precio / Millar (Norwork)]]&lt;&gt;"",SUM(Datos[[#This Row],[Ingresos Totales (Norwork)]],-Datos[[#This Row],[Costos Totales (Norwork)]]),""),"")</f>
        <v/>
      </c>
      <c r="AD236" s="153" t="str">
        <f>IFERROR(Datos[[#This Row],[Beneficio (Norwork)]]/Datos[[#This Row],[Ingresos Totales (Norwork)]],"")</f>
        <v/>
      </c>
    </row>
    <row r="237" spans="2:30" x14ac:dyDescent="0.3">
      <c r="B237" s="145" t="s">
        <v>439</v>
      </c>
      <c r="C237" s="176" t="s">
        <v>866</v>
      </c>
      <c r="D237" s="176"/>
      <c r="E237" s="145"/>
      <c r="F237" s="153"/>
      <c r="G237" s="149">
        <v>1476</v>
      </c>
      <c r="H237" s="144"/>
      <c r="W237" s="148" t="s">
        <v>298</v>
      </c>
      <c r="X237" s="148" t="str">
        <f>IFERROR(Datos[[#This Row],[ARIBA PRECIO POR MILLAR (Dólares)]]/1000*Datos[[#This Row],[DEMANDA ANUAL]],"")</f>
        <v/>
      </c>
      <c r="Y237" s="153" t="str">
        <f>IFERROR((Datos[[#This Row],[INGRESO PRECIO ARIBA]]-Datos[[#This Row],[Costos Totales (Norwork)]])/Datos[[#This Row],[INGRESO PRECIO ARIBA]],"")</f>
        <v/>
      </c>
      <c r="Z237" s="148" t="str">
        <f>IFERROR(IF(Datos[[#This Row],[CON ETIQUETA]]="No",VALORHOJA(Datos[[#This Row],[NP]],$B$44),VALORHOJA(Datos[[#This Row],[NP]],$D$44)),"")</f>
        <v/>
      </c>
      <c r="AA237" s="148" t="str">
        <f>IFERROR(IF(Datos[[#This Row],[Precio / Millar (Norwork)]]&lt;&gt;"",PRODUCT(Datos[[#This Row],[Precio / Millar (Norwork)]]/1000,Datos[[#This Row],[DEMANDA ANUAL]]),""),"")</f>
        <v/>
      </c>
      <c r="AB23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37" s="148" t="str">
        <f>IFERROR(IF(Datos[[#This Row],[Precio / Millar (Norwork)]]&lt;&gt;"",SUM(Datos[[#This Row],[Ingresos Totales (Norwork)]],-Datos[[#This Row],[Costos Totales (Norwork)]]),""),"")</f>
        <v/>
      </c>
      <c r="AD237" s="153" t="str">
        <f>IFERROR(Datos[[#This Row],[Beneficio (Norwork)]]/Datos[[#This Row],[Ingresos Totales (Norwork)]],"")</f>
        <v/>
      </c>
    </row>
    <row r="238" spans="2:30" x14ac:dyDescent="0.3">
      <c r="B238" s="145" t="s">
        <v>601</v>
      </c>
      <c r="C238" s="145" t="s">
        <v>1025</v>
      </c>
      <c r="D238" s="145"/>
      <c r="E238" s="145"/>
      <c r="G238" s="149">
        <v>1460</v>
      </c>
      <c r="H238" s="144"/>
      <c r="W238" s="148" t="s">
        <v>298</v>
      </c>
      <c r="X238" s="148" t="str">
        <f>IFERROR(Datos[[#This Row],[ARIBA PRECIO POR MILLAR (Dólares)]]/1000*Datos[[#This Row],[DEMANDA ANUAL]],"")</f>
        <v/>
      </c>
      <c r="Y238" s="153" t="str">
        <f>IFERROR((Datos[[#This Row],[INGRESO PRECIO ARIBA]]-Datos[[#This Row],[Costos Totales (Norwork)]])/Datos[[#This Row],[INGRESO PRECIO ARIBA]],"")</f>
        <v/>
      </c>
      <c r="Z238" s="148" t="str">
        <f>IFERROR(IF(Datos[[#This Row],[CON ETIQUETA]]="No",VALORHOJA(Datos[[#This Row],[NP]],$B$44),VALORHOJA(Datos[[#This Row],[NP]],$D$44)),"")</f>
        <v/>
      </c>
      <c r="AA238" s="148" t="str">
        <f>IFERROR(IF(Datos[[#This Row],[Precio / Millar (Norwork)]]&lt;&gt;"",PRODUCT(Datos[[#This Row],[Precio / Millar (Norwork)]]/1000,Datos[[#This Row],[DEMANDA ANUAL]]),""),"")</f>
        <v/>
      </c>
      <c r="AB23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38" s="148" t="str">
        <f>IFERROR(IF(Datos[[#This Row],[Precio / Millar (Norwork)]]&lt;&gt;"",SUM(Datos[[#This Row],[Ingresos Totales (Norwork)]],-Datos[[#This Row],[Costos Totales (Norwork)]]),""),"")</f>
        <v/>
      </c>
      <c r="AD238" s="153" t="str">
        <f>IFERROR(Datos[[#This Row],[Beneficio (Norwork)]]/Datos[[#This Row],[Ingresos Totales (Norwork)]],"")</f>
        <v/>
      </c>
    </row>
    <row r="239" spans="2:30" x14ac:dyDescent="0.3">
      <c r="B239" s="145" t="s">
        <v>460</v>
      </c>
      <c r="C239" s="176" t="s">
        <v>887</v>
      </c>
      <c r="D239" s="176"/>
      <c r="E239" s="145"/>
      <c r="F239" s="153"/>
      <c r="G239" s="149">
        <v>1433</v>
      </c>
      <c r="H239" s="144"/>
      <c r="W239" s="148" t="s">
        <v>298</v>
      </c>
      <c r="X239" s="148" t="str">
        <f>IFERROR(Datos[[#This Row],[ARIBA PRECIO POR MILLAR (Dólares)]]/1000*Datos[[#This Row],[DEMANDA ANUAL]],"")</f>
        <v/>
      </c>
      <c r="Y239" s="153" t="str">
        <f>IFERROR((Datos[[#This Row],[INGRESO PRECIO ARIBA]]-Datos[[#This Row],[Costos Totales (Norwork)]])/Datos[[#This Row],[INGRESO PRECIO ARIBA]],"")</f>
        <v/>
      </c>
      <c r="Z239" s="148" t="str">
        <f>IFERROR(IF(Datos[[#This Row],[CON ETIQUETA]]="No",VALORHOJA(Datos[[#This Row],[NP]],$B$44),VALORHOJA(Datos[[#This Row],[NP]],$D$44)),"")</f>
        <v/>
      </c>
      <c r="AA239" s="148" t="str">
        <f>IFERROR(IF(Datos[[#This Row],[Precio / Millar (Norwork)]]&lt;&gt;"",PRODUCT(Datos[[#This Row],[Precio / Millar (Norwork)]]/1000,Datos[[#This Row],[DEMANDA ANUAL]]),""),"")</f>
        <v/>
      </c>
      <c r="AB23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39" s="148" t="str">
        <f>IFERROR(IF(Datos[[#This Row],[Precio / Millar (Norwork)]]&lt;&gt;"",SUM(Datos[[#This Row],[Ingresos Totales (Norwork)]],-Datos[[#This Row],[Costos Totales (Norwork)]]),""),"")</f>
        <v/>
      </c>
      <c r="AD239" s="153" t="str">
        <f>IFERROR(Datos[[#This Row],[Beneficio (Norwork)]]/Datos[[#This Row],[Ingresos Totales (Norwork)]],"")</f>
        <v/>
      </c>
    </row>
    <row r="240" spans="2:30" x14ac:dyDescent="0.3">
      <c r="B240" s="145" t="s">
        <v>454</v>
      </c>
      <c r="C240" s="176" t="s">
        <v>881</v>
      </c>
      <c r="D240" s="176"/>
      <c r="E240" s="145"/>
      <c r="F240" s="153"/>
      <c r="G240" s="149">
        <v>1422</v>
      </c>
      <c r="H240" s="144"/>
      <c r="W240" s="148" t="s">
        <v>298</v>
      </c>
      <c r="X240" s="148" t="str">
        <f>IFERROR(Datos[[#This Row],[ARIBA PRECIO POR MILLAR (Dólares)]]/1000*Datos[[#This Row],[DEMANDA ANUAL]],"")</f>
        <v/>
      </c>
      <c r="Y240" s="153" t="str">
        <f>IFERROR((Datos[[#This Row],[INGRESO PRECIO ARIBA]]-Datos[[#This Row],[Costos Totales (Norwork)]])/Datos[[#This Row],[INGRESO PRECIO ARIBA]],"")</f>
        <v/>
      </c>
      <c r="Z240" s="148" t="str">
        <f>IFERROR(IF(Datos[[#This Row],[CON ETIQUETA]]="No",VALORHOJA(Datos[[#This Row],[NP]],$B$44),VALORHOJA(Datos[[#This Row],[NP]],$D$44)),"")</f>
        <v/>
      </c>
      <c r="AA240" s="148" t="str">
        <f>IFERROR(IF(Datos[[#This Row],[Precio / Millar (Norwork)]]&lt;&gt;"",PRODUCT(Datos[[#This Row],[Precio / Millar (Norwork)]]/1000,Datos[[#This Row],[DEMANDA ANUAL]]),""),"")</f>
        <v/>
      </c>
      <c r="AB24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40" s="148" t="str">
        <f>IFERROR(IF(Datos[[#This Row],[Precio / Millar (Norwork)]]&lt;&gt;"",SUM(Datos[[#This Row],[Ingresos Totales (Norwork)]],-Datos[[#This Row],[Costos Totales (Norwork)]]),""),"")</f>
        <v/>
      </c>
      <c r="AD240" s="153" t="str">
        <f>IFERROR(Datos[[#This Row],[Beneficio (Norwork)]]/Datos[[#This Row],[Ingresos Totales (Norwork)]],"")</f>
        <v/>
      </c>
    </row>
    <row r="241" spans="2:30" x14ac:dyDescent="0.3">
      <c r="B241" s="145" t="s">
        <v>455</v>
      </c>
      <c r="C241" s="176" t="s">
        <v>882</v>
      </c>
      <c r="D241" s="176"/>
      <c r="E241" s="145"/>
      <c r="F241" s="153"/>
      <c r="G241" s="149">
        <v>1422</v>
      </c>
      <c r="H241" s="144"/>
      <c r="W241" s="148" t="s">
        <v>298</v>
      </c>
      <c r="X241" s="148" t="str">
        <f>IFERROR(Datos[[#This Row],[ARIBA PRECIO POR MILLAR (Dólares)]]/1000*Datos[[#This Row],[DEMANDA ANUAL]],"")</f>
        <v/>
      </c>
      <c r="Y241" s="153" t="str">
        <f>IFERROR((Datos[[#This Row],[INGRESO PRECIO ARIBA]]-Datos[[#This Row],[Costos Totales (Norwork)]])/Datos[[#This Row],[INGRESO PRECIO ARIBA]],"")</f>
        <v/>
      </c>
      <c r="Z241" s="148" t="str">
        <f>IFERROR(IF(Datos[[#This Row],[CON ETIQUETA]]="No",VALORHOJA(Datos[[#This Row],[NP]],$B$44),VALORHOJA(Datos[[#This Row],[NP]],$D$44)),"")</f>
        <v/>
      </c>
      <c r="AA241" s="148" t="str">
        <f>IFERROR(IF(Datos[[#This Row],[Precio / Millar (Norwork)]]&lt;&gt;"",PRODUCT(Datos[[#This Row],[Precio / Millar (Norwork)]]/1000,Datos[[#This Row],[DEMANDA ANUAL]]),""),"")</f>
        <v/>
      </c>
      <c r="AB24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41" s="148" t="str">
        <f>IFERROR(IF(Datos[[#This Row],[Precio / Millar (Norwork)]]&lt;&gt;"",SUM(Datos[[#This Row],[Ingresos Totales (Norwork)]],-Datos[[#This Row],[Costos Totales (Norwork)]]),""),"")</f>
        <v/>
      </c>
      <c r="AD241" s="153" t="str">
        <f>IFERROR(Datos[[#This Row],[Beneficio (Norwork)]]/Datos[[#This Row],[Ingresos Totales (Norwork)]],"")</f>
        <v/>
      </c>
    </row>
    <row r="242" spans="2:30" x14ac:dyDescent="0.3">
      <c r="B242" s="145" t="s">
        <v>603</v>
      </c>
      <c r="C242" s="145" t="s">
        <v>1027</v>
      </c>
      <c r="D242" s="145"/>
      <c r="E242" s="145"/>
      <c r="G242" s="149">
        <v>1359</v>
      </c>
      <c r="H242" s="144"/>
      <c r="W242" s="148" t="s">
        <v>298</v>
      </c>
      <c r="X242" s="148" t="str">
        <f>IFERROR(Datos[[#This Row],[ARIBA PRECIO POR MILLAR (Dólares)]]/1000*Datos[[#This Row],[DEMANDA ANUAL]],"")</f>
        <v/>
      </c>
      <c r="Y242" s="153" t="str">
        <f>IFERROR((Datos[[#This Row],[INGRESO PRECIO ARIBA]]-Datos[[#This Row],[Costos Totales (Norwork)]])/Datos[[#This Row],[INGRESO PRECIO ARIBA]],"")</f>
        <v/>
      </c>
      <c r="Z242" s="148" t="str">
        <f>IFERROR(IF(Datos[[#This Row],[CON ETIQUETA]]="No",VALORHOJA(Datos[[#This Row],[NP]],$B$44),VALORHOJA(Datos[[#This Row],[NP]],$D$44)),"")</f>
        <v/>
      </c>
      <c r="AA242" s="148" t="str">
        <f>IFERROR(IF(Datos[[#This Row],[Precio / Millar (Norwork)]]&lt;&gt;"",PRODUCT(Datos[[#This Row],[Precio / Millar (Norwork)]]/1000,Datos[[#This Row],[DEMANDA ANUAL]]),""),"")</f>
        <v/>
      </c>
      <c r="AB24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42" s="148" t="str">
        <f>IFERROR(IF(Datos[[#This Row],[Precio / Millar (Norwork)]]&lt;&gt;"",SUM(Datos[[#This Row],[Ingresos Totales (Norwork)]],-Datos[[#This Row],[Costos Totales (Norwork)]]),""),"")</f>
        <v/>
      </c>
      <c r="AD242" s="153" t="str">
        <f>IFERROR(Datos[[#This Row],[Beneficio (Norwork)]]/Datos[[#This Row],[Ingresos Totales (Norwork)]],"")</f>
        <v/>
      </c>
    </row>
    <row r="243" spans="2:30" x14ac:dyDescent="0.3">
      <c r="B243" s="145" t="s">
        <v>606</v>
      </c>
      <c r="C243" s="145" t="s">
        <v>1030</v>
      </c>
      <c r="D243" s="145"/>
      <c r="E243" s="145"/>
      <c r="G243" s="149">
        <v>1278</v>
      </c>
      <c r="H243" s="144"/>
      <c r="W243" s="148" t="s">
        <v>298</v>
      </c>
      <c r="X243" s="148" t="str">
        <f>IFERROR(Datos[[#This Row],[ARIBA PRECIO POR MILLAR (Dólares)]]/1000*Datos[[#This Row],[DEMANDA ANUAL]],"")</f>
        <v/>
      </c>
      <c r="Y243" s="153" t="str">
        <f>IFERROR((Datos[[#This Row],[INGRESO PRECIO ARIBA]]-Datos[[#This Row],[Costos Totales (Norwork)]])/Datos[[#This Row],[INGRESO PRECIO ARIBA]],"")</f>
        <v/>
      </c>
      <c r="Z243" s="148" t="str">
        <f>IFERROR(IF(Datos[[#This Row],[CON ETIQUETA]]="No",VALORHOJA(Datos[[#This Row],[NP]],$B$44),VALORHOJA(Datos[[#This Row],[NP]],$D$44)),"")</f>
        <v/>
      </c>
      <c r="AA243" s="148" t="str">
        <f>IFERROR(IF(Datos[[#This Row],[Precio / Millar (Norwork)]]&lt;&gt;"",PRODUCT(Datos[[#This Row],[Precio / Millar (Norwork)]]/1000,Datos[[#This Row],[DEMANDA ANUAL]]),""),"")</f>
        <v/>
      </c>
      <c r="AB24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43" s="148" t="str">
        <f>IFERROR(IF(Datos[[#This Row],[Precio / Millar (Norwork)]]&lt;&gt;"",SUM(Datos[[#This Row],[Ingresos Totales (Norwork)]],-Datos[[#This Row],[Costos Totales (Norwork)]]),""),"")</f>
        <v/>
      </c>
      <c r="AD243" s="153" t="str">
        <f>IFERROR(Datos[[#This Row],[Beneficio (Norwork)]]/Datos[[#This Row],[Ingresos Totales (Norwork)]],"")</f>
        <v/>
      </c>
    </row>
    <row r="244" spans="2:30" x14ac:dyDescent="0.3">
      <c r="B244" s="145" t="s">
        <v>376</v>
      </c>
      <c r="C244" s="176" t="s">
        <v>805</v>
      </c>
      <c r="D244" s="176"/>
      <c r="E244" s="145"/>
      <c r="F244" s="148"/>
      <c r="G244" s="149">
        <v>1277</v>
      </c>
      <c r="H244" s="144"/>
      <c r="W244" s="148" t="s">
        <v>298</v>
      </c>
      <c r="X244" s="148" t="str">
        <f>IFERROR(Datos[[#This Row],[ARIBA PRECIO POR MILLAR (Dólares)]]/1000*Datos[[#This Row],[DEMANDA ANUAL]],"")</f>
        <v/>
      </c>
      <c r="Y244" s="153" t="str">
        <f>IFERROR((Datos[[#This Row],[INGRESO PRECIO ARIBA]]-Datos[[#This Row],[Costos Totales (Norwork)]])/Datos[[#This Row],[INGRESO PRECIO ARIBA]],"")</f>
        <v/>
      </c>
      <c r="Z244" s="148" t="str">
        <f>IFERROR(IF(Datos[[#This Row],[CON ETIQUETA]]="No",VALORHOJA(Datos[[#This Row],[NP]],$B$44),VALORHOJA(Datos[[#This Row],[NP]],$D$44)),"")</f>
        <v/>
      </c>
      <c r="AA244" s="148" t="str">
        <f>IFERROR(IF(Datos[[#This Row],[Precio / Millar (Norwork)]]&lt;&gt;"",PRODUCT(Datos[[#This Row],[Precio / Millar (Norwork)]]/1000,Datos[[#This Row],[DEMANDA ANUAL]]),""),"")</f>
        <v/>
      </c>
      <c r="AB24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44" s="148" t="str">
        <f>IFERROR(IF(Datos[[#This Row],[Precio / Millar (Norwork)]]&lt;&gt;"",SUM(Datos[[#This Row],[Ingresos Totales (Norwork)]],-Datos[[#This Row],[Costos Totales (Norwork)]]),""),"")</f>
        <v/>
      </c>
      <c r="AD244" s="153" t="str">
        <f>IFERROR(Datos[[#This Row],[Beneficio (Norwork)]]/Datos[[#This Row],[Ingresos Totales (Norwork)]],"")</f>
        <v/>
      </c>
    </row>
    <row r="245" spans="2:30" x14ac:dyDescent="0.3">
      <c r="B245" s="145" t="s">
        <v>607</v>
      </c>
      <c r="C245" s="145" t="s">
        <v>1031</v>
      </c>
      <c r="D245" s="145"/>
      <c r="E245" s="145"/>
      <c r="G245" s="149">
        <v>1269</v>
      </c>
      <c r="H245" s="144"/>
      <c r="W245" s="148" t="s">
        <v>298</v>
      </c>
      <c r="X245" s="148" t="str">
        <f>IFERROR(Datos[[#This Row],[ARIBA PRECIO POR MILLAR (Dólares)]]/1000*Datos[[#This Row],[DEMANDA ANUAL]],"")</f>
        <v/>
      </c>
      <c r="Y245" s="153" t="str">
        <f>IFERROR((Datos[[#This Row],[INGRESO PRECIO ARIBA]]-Datos[[#This Row],[Costos Totales (Norwork)]])/Datos[[#This Row],[INGRESO PRECIO ARIBA]],"")</f>
        <v/>
      </c>
      <c r="Z245" s="148" t="str">
        <f>IFERROR(IF(Datos[[#This Row],[CON ETIQUETA]]="No",VALORHOJA(Datos[[#This Row],[NP]],$B$44),VALORHOJA(Datos[[#This Row],[NP]],$D$44)),"")</f>
        <v/>
      </c>
      <c r="AA245" s="148" t="str">
        <f>IFERROR(IF(Datos[[#This Row],[Precio / Millar (Norwork)]]&lt;&gt;"",PRODUCT(Datos[[#This Row],[Precio / Millar (Norwork)]]/1000,Datos[[#This Row],[DEMANDA ANUAL]]),""),"")</f>
        <v/>
      </c>
      <c r="AB24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45" s="148" t="str">
        <f>IFERROR(IF(Datos[[#This Row],[Precio / Millar (Norwork)]]&lt;&gt;"",SUM(Datos[[#This Row],[Ingresos Totales (Norwork)]],-Datos[[#This Row],[Costos Totales (Norwork)]]),""),"")</f>
        <v/>
      </c>
      <c r="AD245" s="153" t="str">
        <f>IFERROR(Datos[[#This Row],[Beneficio (Norwork)]]/Datos[[#This Row],[Ingresos Totales (Norwork)]],"")</f>
        <v/>
      </c>
    </row>
    <row r="246" spans="2:30" x14ac:dyDescent="0.3">
      <c r="B246" s="145" t="s">
        <v>421</v>
      </c>
      <c r="C246" s="145" t="s">
        <v>849</v>
      </c>
      <c r="D246" s="145"/>
      <c r="E246" s="145"/>
      <c r="G246" s="149">
        <v>1260</v>
      </c>
      <c r="H246" s="144"/>
      <c r="W246" s="148" t="s">
        <v>298</v>
      </c>
      <c r="X246" s="148" t="str">
        <f>IFERROR(Datos[[#This Row],[ARIBA PRECIO POR MILLAR (Dólares)]]/1000*Datos[[#This Row],[DEMANDA ANUAL]],"")</f>
        <v/>
      </c>
      <c r="Y246" s="153" t="str">
        <f>IFERROR((Datos[[#This Row],[INGRESO PRECIO ARIBA]]-Datos[[#This Row],[Costos Totales (Norwork)]])/Datos[[#This Row],[INGRESO PRECIO ARIBA]],"")</f>
        <v/>
      </c>
      <c r="Z246" s="148" t="str">
        <f>IFERROR(IF(Datos[[#This Row],[CON ETIQUETA]]="No",VALORHOJA(Datos[[#This Row],[NP]],$B$44),VALORHOJA(Datos[[#This Row],[NP]],$D$44)),"")</f>
        <v/>
      </c>
      <c r="AA246" s="148" t="str">
        <f>IFERROR(IF(Datos[[#This Row],[Precio / Millar (Norwork)]]&lt;&gt;"",PRODUCT(Datos[[#This Row],[Precio / Millar (Norwork)]]/1000,Datos[[#This Row],[DEMANDA ANUAL]]),""),"")</f>
        <v/>
      </c>
      <c r="AB24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46" s="148" t="str">
        <f>IFERROR(IF(Datos[[#This Row],[Precio / Millar (Norwork)]]&lt;&gt;"",SUM(Datos[[#This Row],[Ingresos Totales (Norwork)]],-Datos[[#This Row],[Costos Totales (Norwork)]]),""),"")</f>
        <v/>
      </c>
      <c r="AD246" s="153" t="str">
        <f>IFERROR(Datos[[#This Row],[Beneficio (Norwork)]]/Datos[[#This Row],[Ingresos Totales (Norwork)]],"")</f>
        <v/>
      </c>
    </row>
    <row r="247" spans="2:30" x14ac:dyDescent="0.3">
      <c r="B247" s="145" t="s">
        <v>482</v>
      </c>
      <c r="C247" s="145" t="s">
        <v>909</v>
      </c>
      <c r="D247" s="145"/>
      <c r="E247" s="145"/>
      <c r="G247" s="149">
        <v>1260</v>
      </c>
      <c r="H247" s="144"/>
      <c r="W247" s="148" t="s">
        <v>298</v>
      </c>
      <c r="X247" s="148" t="str">
        <f>IFERROR(Datos[[#This Row],[ARIBA PRECIO POR MILLAR (Dólares)]]/1000*Datos[[#This Row],[DEMANDA ANUAL]],"")</f>
        <v/>
      </c>
      <c r="Y247" s="153" t="str">
        <f>IFERROR((Datos[[#This Row],[INGRESO PRECIO ARIBA]]-Datos[[#This Row],[Costos Totales (Norwork)]])/Datos[[#This Row],[INGRESO PRECIO ARIBA]],"")</f>
        <v/>
      </c>
      <c r="Z247" s="148" t="str">
        <f>IFERROR(IF(Datos[[#This Row],[CON ETIQUETA]]="No",VALORHOJA(Datos[[#This Row],[NP]],$B$44),VALORHOJA(Datos[[#This Row],[NP]],$D$44)),"")</f>
        <v/>
      </c>
      <c r="AA247" s="148" t="str">
        <f>IFERROR(IF(Datos[[#This Row],[Precio / Millar (Norwork)]]&lt;&gt;"",PRODUCT(Datos[[#This Row],[Precio / Millar (Norwork)]]/1000,Datos[[#This Row],[DEMANDA ANUAL]]),""),"")</f>
        <v/>
      </c>
      <c r="AB24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47" s="148" t="str">
        <f>IFERROR(IF(Datos[[#This Row],[Precio / Millar (Norwork)]]&lt;&gt;"",SUM(Datos[[#This Row],[Ingresos Totales (Norwork)]],-Datos[[#This Row],[Costos Totales (Norwork)]]),""),"")</f>
        <v/>
      </c>
      <c r="AD247" s="153" t="str">
        <f>IFERROR(Datos[[#This Row],[Beneficio (Norwork)]]/Datos[[#This Row],[Ingresos Totales (Norwork)]],"")</f>
        <v/>
      </c>
    </row>
    <row r="248" spans="2:30" x14ac:dyDescent="0.3">
      <c r="B248" s="145" t="s">
        <v>608</v>
      </c>
      <c r="C248" s="145" t="s">
        <v>1032</v>
      </c>
      <c r="D248" s="145"/>
      <c r="E248" s="145"/>
      <c r="G248" s="149">
        <v>1240</v>
      </c>
      <c r="H248" s="144"/>
      <c r="W248" s="148" t="s">
        <v>298</v>
      </c>
      <c r="X248" s="148" t="str">
        <f>IFERROR(Datos[[#This Row],[ARIBA PRECIO POR MILLAR (Dólares)]]/1000*Datos[[#This Row],[DEMANDA ANUAL]],"")</f>
        <v/>
      </c>
      <c r="Y248" s="153" t="str">
        <f>IFERROR((Datos[[#This Row],[INGRESO PRECIO ARIBA]]-Datos[[#This Row],[Costos Totales (Norwork)]])/Datos[[#This Row],[INGRESO PRECIO ARIBA]],"")</f>
        <v/>
      </c>
      <c r="Z248" s="148" t="str">
        <f>IFERROR(IF(Datos[[#This Row],[CON ETIQUETA]]="No",VALORHOJA(Datos[[#This Row],[NP]],$B$44),VALORHOJA(Datos[[#This Row],[NP]],$D$44)),"")</f>
        <v/>
      </c>
      <c r="AA248" s="148" t="str">
        <f>IFERROR(IF(Datos[[#This Row],[Precio / Millar (Norwork)]]&lt;&gt;"",PRODUCT(Datos[[#This Row],[Precio / Millar (Norwork)]]/1000,Datos[[#This Row],[DEMANDA ANUAL]]),""),"")</f>
        <v/>
      </c>
      <c r="AB24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48" s="148" t="str">
        <f>IFERROR(IF(Datos[[#This Row],[Precio / Millar (Norwork)]]&lt;&gt;"",SUM(Datos[[#This Row],[Ingresos Totales (Norwork)]],-Datos[[#This Row],[Costos Totales (Norwork)]]),""),"")</f>
        <v/>
      </c>
      <c r="AD248" s="153" t="str">
        <f>IFERROR(Datos[[#This Row],[Beneficio (Norwork)]]/Datos[[#This Row],[Ingresos Totales (Norwork)]],"")</f>
        <v/>
      </c>
    </row>
    <row r="249" spans="2:30" x14ac:dyDescent="0.3">
      <c r="B249" s="145" t="s">
        <v>528</v>
      </c>
      <c r="C249" s="145" t="s">
        <v>954</v>
      </c>
      <c r="D249" s="145"/>
      <c r="E249" s="145"/>
      <c r="G249" s="149">
        <v>1188</v>
      </c>
      <c r="H249" s="144"/>
      <c r="W249" s="148" t="s">
        <v>298</v>
      </c>
      <c r="X249" s="148" t="str">
        <f>IFERROR(Datos[[#This Row],[ARIBA PRECIO POR MILLAR (Dólares)]]/1000*Datos[[#This Row],[DEMANDA ANUAL]],"")</f>
        <v/>
      </c>
      <c r="Y249" s="153" t="str">
        <f>IFERROR((Datos[[#This Row],[INGRESO PRECIO ARIBA]]-Datos[[#This Row],[Costos Totales (Norwork)]])/Datos[[#This Row],[INGRESO PRECIO ARIBA]],"")</f>
        <v/>
      </c>
      <c r="Z249" s="148" t="str">
        <f>IFERROR(IF(Datos[[#This Row],[CON ETIQUETA]]="No",VALORHOJA(Datos[[#This Row],[NP]],$B$44),VALORHOJA(Datos[[#This Row],[NP]],$D$44)),"")</f>
        <v/>
      </c>
      <c r="AA249" s="148" t="str">
        <f>IFERROR(IF(Datos[[#This Row],[Precio / Millar (Norwork)]]&lt;&gt;"",PRODUCT(Datos[[#This Row],[Precio / Millar (Norwork)]]/1000,Datos[[#This Row],[DEMANDA ANUAL]]),""),"")</f>
        <v/>
      </c>
      <c r="AB24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49" s="148" t="str">
        <f>IFERROR(IF(Datos[[#This Row],[Precio / Millar (Norwork)]]&lt;&gt;"",SUM(Datos[[#This Row],[Ingresos Totales (Norwork)]],-Datos[[#This Row],[Costos Totales (Norwork)]]),""),"")</f>
        <v/>
      </c>
      <c r="AD249" s="153" t="str">
        <f>IFERROR(Datos[[#This Row],[Beneficio (Norwork)]]/Datos[[#This Row],[Ingresos Totales (Norwork)]],"")</f>
        <v/>
      </c>
    </row>
    <row r="250" spans="2:30" x14ac:dyDescent="0.3">
      <c r="B250" s="145" t="s">
        <v>499</v>
      </c>
      <c r="C250" s="145" t="s">
        <v>926</v>
      </c>
      <c r="D250" s="145"/>
      <c r="E250" s="145"/>
      <c r="G250" s="149">
        <v>1180</v>
      </c>
      <c r="H250" s="144"/>
      <c r="W250" s="148" t="s">
        <v>298</v>
      </c>
      <c r="X250" s="148" t="str">
        <f>IFERROR(Datos[[#This Row],[ARIBA PRECIO POR MILLAR (Dólares)]]/1000*Datos[[#This Row],[DEMANDA ANUAL]],"")</f>
        <v/>
      </c>
      <c r="Y250" s="153" t="str">
        <f>IFERROR((Datos[[#This Row],[INGRESO PRECIO ARIBA]]-Datos[[#This Row],[Costos Totales (Norwork)]])/Datos[[#This Row],[INGRESO PRECIO ARIBA]],"")</f>
        <v/>
      </c>
      <c r="Z250" s="148" t="str">
        <f>IFERROR(IF(Datos[[#This Row],[CON ETIQUETA]]="No",VALORHOJA(Datos[[#This Row],[NP]],$B$44),VALORHOJA(Datos[[#This Row],[NP]],$D$44)),"")</f>
        <v/>
      </c>
      <c r="AA250" s="148" t="str">
        <f>IFERROR(IF(Datos[[#This Row],[Precio / Millar (Norwork)]]&lt;&gt;"",PRODUCT(Datos[[#This Row],[Precio / Millar (Norwork)]]/1000,Datos[[#This Row],[DEMANDA ANUAL]]),""),"")</f>
        <v/>
      </c>
      <c r="AB25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50" s="148" t="str">
        <f>IFERROR(IF(Datos[[#This Row],[Precio / Millar (Norwork)]]&lt;&gt;"",SUM(Datos[[#This Row],[Ingresos Totales (Norwork)]],-Datos[[#This Row],[Costos Totales (Norwork)]]),""),"")</f>
        <v/>
      </c>
      <c r="AD250" s="153" t="str">
        <f>IFERROR(Datos[[#This Row],[Beneficio (Norwork)]]/Datos[[#This Row],[Ingresos Totales (Norwork)]],"")</f>
        <v/>
      </c>
    </row>
    <row r="251" spans="2:30" x14ac:dyDescent="0.3">
      <c r="B251" s="145" t="s">
        <v>611</v>
      </c>
      <c r="C251" s="145" t="s">
        <v>1035</v>
      </c>
      <c r="D251" s="145"/>
      <c r="E251" s="145"/>
      <c r="G251" s="149">
        <v>1159</v>
      </c>
      <c r="H251" s="144"/>
      <c r="W251" s="148" t="s">
        <v>298</v>
      </c>
      <c r="X251" s="148" t="str">
        <f>IFERROR(Datos[[#This Row],[ARIBA PRECIO POR MILLAR (Dólares)]]/1000*Datos[[#This Row],[DEMANDA ANUAL]],"")</f>
        <v/>
      </c>
      <c r="Y251" s="153" t="str">
        <f>IFERROR((Datos[[#This Row],[INGRESO PRECIO ARIBA]]-Datos[[#This Row],[Costos Totales (Norwork)]])/Datos[[#This Row],[INGRESO PRECIO ARIBA]],"")</f>
        <v/>
      </c>
      <c r="Z251" s="148" t="str">
        <f>IFERROR(IF(Datos[[#This Row],[CON ETIQUETA]]="No",VALORHOJA(Datos[[#This Row],[NP]],$B$44),VALORHOJA(Datos[[#This Row],[NP]],$D$44)),"")</f>
        <v/>
      </c>
      <c r="AA251" s="148" t="str">
        <f>IFERROR(IF(Datos[[#This Row],[Precio / Millar (Norwork)]]&lt;&gt;"",PRODUCT(Datos[[#This Row],[Precio / Millar (Norwork)]]/1000,Datos[[#This Row],[DEMANDA ANUAL]]),""),"")</f>
        <v/>
      </c>
      <c r="AB25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51" s="148" t="str">
        <f>IFERROR(IF(Datos[[#This Row],[Precio / Millar (Norwork)]]&lt;&gt;"",SUM(Datos[[#This Row],[Ingresos Totales (Norwork)]],-Datos[[#This Row],[Costos Totales (Norwork)]]),""),"")</f>
        <v/>
      </c>
      <c r="AD251" s="153" t="str">
        <f>IFERROR(Datos[[#This Row],[Beneficio (Norwork)]]/Datos[[#This Row],[Ingresos Totales (Norwork)]],"")</f>
        <v/>
      </c>
    </row>
    <row r="252" spans="2:30" x14ac:dyDescent="0.3">
      <c r="B252" s="171" t="s">
        <v>224</v>
      </c>
      <c r="C252" s="145" t="s">
        <v>225</v>
      </c>
      <c r="D252" s="176" t="s">
        <v>1204</v>
      </c>
      <c r="E252" s="145">
        <v>2</v>
      </c>
      <c r="F252" s="145" t="s">
        <v>202</v>
      </c>
      <c r="G252" s="149">
        <v>1136</v>
      </c>
      <c r="H252" s="145" t="s">
        <v>202</v>
      </c>
      <c r="I252" s="145" t="s">
        <v>202</v>
      </c>
      <c r="J252" s="145" t="s">
        <v>196</v>
      </c>
      <c r="K252" s="145" t="s">
        <v>203</v>
      </c>
      <c r="L252" s="145">
        <v>1</v>
      </c>
      <c r="M252" s="145">
        <v>2</v>
      </c>
      <c r="N252" s="145">
        <v>376</v>
      </c>
      <c r="O252" s="145" t="s">
        <v>195</v>
      </c>
      <c r="P252" s="145" t="s">
        <v>198</v>
      </c>
      <c r="Q252" s="142" t="s">
        <v>199</v>
      </c>
      <c r="R252" s="145"/>
      <c r="S252" s="145"/>
      <c r="T252" s="145" t="s">
        <v>327</v>
      </c>
      <c r="U252" s="145">
        <v>5</v>
      </c>
      <c r="V252" s="145"/>
      <c r="W252" s="148">
        <v>2800</v>
      </c>
      <c r="X252" s="148">
        <f>IFERROR(Datos[[#This Row],[ARIBA PRECIO POR MILLAR (Dólares)]]/1000*Datos[[#This Row],[DEMANDA ANUAL]],"")</f>
        <v>3180.7999999999997</v>
      </c>
      <c r="Y252" s="153">
        <f>IFERROR((Datos[[#This Row],[INGRESO PRECIO ARIBA]]-Datos[[#This Row],[Costos Totales (Norwork)]])/Datos[[#This Row],[INGRESO PRECIO ARIBA]],"")</f>
        <v>0.32060876633330426</v>
      </c>
      <c r="Z252" s="148">
        <f>IFERROR(IF(Datos[[#This Row],[CON ETIQUETA]]="No",VALORHOJA(Datos[[#This Row],[NP]],$B$44),VALORHOJA(Datos[[#This Row],[NP]],$D$44)),"")</f>
        <v>2717.5649346667828</v>
      </c>
      <c r="AA252" s="148">
        <f>IFERROR(IF(Datos[[#This Row],[Precio / Millar (Norwork)]]&lt;&gt;"",PRODUCT(Datos[[#This Row],[Precio / Millar (Norwork)]]/1000,Datos[[#This Row],[DEMANDA ANUAL]]),""),"")</f>
        <v>3087.1537657814656</v>
      </c>
      <c r="AB252" s="155">
        <f>IFERROR(IF(Datos[[#This Row],[CON ETIQUETA]]="No",VALORHOJA(Datos[[#This Row],[NP]],$B$63)/VALORHOJA(Datos[[#This Row],[NP]],$B$42),VALORHOJA(Datos[[#This Row],[NP]],$D$63)/VALORHOJA(Datos[[#This Row],[NP]],$D$42)),"")</f>
        <v>2161.0076360470257</v>
      </c>
      <c r="AC252" s="148">
        <f>IFERROR(IF(Datos[[#This Row],[Precio / Millar (Norwork)]]&lt;&gt;"",SUM(Datos[[#This Row],[Ingresos Totales (Norwork)]],-Datos[[#This Row],[Costos Totales (Norwork)]]),""),"")</f>
        <v>926.14612973443991</v>
      </c>
      <c r="AD252" s="153">
        <f>IFERROR(Datos[[#This Row],[Beneficio (Norwork)]]/Datos[[#This Row],[Ingresos Totales (Norwork)]],"")</f>
        <v>0.3000000000000001</v>
      </c>
    </row>
    <row r="253" spans="2:30" x14ac:dyDescent="0.3">
      <c r="B253" s="145" t="s">
        <v>468</v>
      </c>
      <c r="C253" s="176" t="s">
        <v>895</v>
      </c>
      <c r="D253" s="176"/>
      <c r="E253" s="145"/>
      <c r="F253" s="153"/>
      <c r="G253" s="149">
        <v>1136</v>
      </c>
      <c r="H253" s="144"/>
      <c r="W253" s="148" t="s">
        <v>298</v>
      </c>
      <c r="X253" s="148" t="str">
        <f>IFERROR(Datos[[#This Row],[ARIBA PRECIO POR MILLAR (Dólares)]]/1000*Datos[[#This Row],[DEMANDA ANUAL]],"")</f>
        <v/>
      </c>
      <c r="Y253" s="153" t="str">
        <f>IFERROR((Datos[[#This Row],[INGRESO PRECIO ARIBA]]-Datos[[#This Row],[Costos Totales (Norwork)]])/Datos[[#This Row],[INGRESO PRECIO ARIBA]],"")</f>
        <v/>
      </c>
      <c r="Z253" s="148" t="str">
        <f>IFERROR(IF(Datos[[#This Row],[CON ETIQUETA]]="No",VALORHOJA(Datos[[#This Row],[NP]],$B$44),VALORHOJA(Datos[[#This Row],[NP]],$D$44)),"")</f>
        <v/>
      </c>
      <c r="AA253" s="148" t="str">
        <f>IFERROR(IF(Datos[[#This Row],[Precio / Millar (Norwork)]]&lt;&gt;"",PRODUCT(Datos[[#This Row],[Precio / Millar (Norwork)]]/1000,Datos[[#This Row],[DEMANDA ANUAL]]),""),"")</f>
        <v/>
      </c>
      <c r="AB25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53" s="148" t="str">
        <f>IFERROR(IF(Datos[[#This Row],[Precio / Millar (Norwork)]]&lt;&gt;"",SUM(Datos[[#This Row],[Ingresos Totales (Norwork)]],-Datos[[#This Row],[Costos Totales (Norwork)]]),""),"")</f>
        <v/>
      </c>
      <c r="AD253" s="153" t="str">
        <f>IFERROR(Datos[[#This Row],[Beneficio (Norwork)]]/Datos[[#This Row],[Ingresos Totales (Norwork)]],"")</f>
        <v/>
      </c>
    </row>
    <row r="254" spans="2:30" x14ac:dyDescent="0.3">
      <c r="B254" s="145" t="s">
        <v>530</v>
      </c>
      <c r="C254" s="145" t="s">
        <v>956</v>
      </c>
      <c r="D254" s="145"/>
      <c r="E254" s="145"/>
      <c r="G254" s="149">
        <v>1136</v>
      </c>
      <c r="H254" s="144"/>
      <c r="W254" s="148" t="s">
        <v>298</v>
      </c>
      <c r="X254" s="148" t="str">
        <f>IFERROR(Datos[[#This Row],[ARIBA PRECIO POR MILLAR (Dólares)]]/1000*Datos[[#This Row],[DEMANDA ANUAL]],"")</f>
        <v/>
      </c>
      <c r="Y254" s="153" t="str">
        <f>IFERROR((Datos[[#This Row],[INGRESO PRECIO ARIBA]]-Datos[[#This Row],[Costos Totales (Norwork)]])/Datos[[#This Row],[INGRESO PRECIO ARIBA]],"")</f>
        <v/>
      </c>
      <c r="Z254" s="148" t="str">
        <f>IFERROR(IF(Datos[[#This Row],[CON ETIQUETA]]="No",VALORHOJA(Datos[[#This Row],[NP]],$B$44),VALORHOJA(Datos[[#This Row],[NP]],$D$44)),"")</f>
        <v/>
      </c>
      <c r="AA254" s="148" t="str">
        <f>IFERROR(IF(Datos[[#This Row],[Precio / Millar (Norwork)]]&lt;&gt;"",PRODUCT(Datos[[#This Row],[Precio / Millar (Norwork)]]/1000,Datos[[#This Row],[DEMANDA ANUAL]]),""),"")</f>
        <v/>
      </c>
      <c r="AB25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54" s="148" t="str">
        <f>IFERROR(IF(Datos[[#This Row],[Precio / Millar (Norwork)]]&lt;&gt;"",SUM(Datos[[#This Row],[Ingresos Totales (Norwork)]],-Datos[[#This Row],[Costos Totales (Norwork)]]),""),"")</f>
        <v/>
      </c>
      <c r="AD254" s="153" t="str">
        <f>IFERROR(Datos[[#This Row],[Beneficio (Norwork)]]/Datos[[#This Row],[Ingresos Totales (Norwork)]],"")</f>
        <v/>
      </c>
    </row>
    <row r="255" spans="2:30" x14ac:dyDescent="0.3">
      <c r="B255" s="145" t="s">
        <v>547</v>
      </c>
      <c r="C255" s="145" t="s">
        <v>973</v>
      </c>
      <c r="D255" s="145"/>
      <c r="E255" s="145"/>
      <c r="G255" s="149">
        <v>1080</v>
      </c>
      <c r="H255" s="144"/>
      <c r="W255" s="148" t="s">
        <v>298</v>
      </c>
      <c r="X255" s="148" t="str">
        <f>IFERROR(Datos[[#This Row],[ARIBA PRECIO POR MILLAR (Dólares)]]/1000*Datos[[#This Row],[DEMANDA ANUAL]],"")</f>
        <v/>
      </c>
      <c r="Y255" s="153" t="str">
        <f>IFERROR((Datos[[#This Row],[INGRESO PRECIO ARIBA]]-Datos[[#This Row],[Costos Totales (Norwork)]])/Datos[[#This Row],[INGRESO PRECIO ARIBA]],"")</f>
        <v/>
      </c>
      <c r="Z255" s="148" t="str">
        <f>IFERROR(IF(Datos[[#This Row],[CON ETIQUETA]]="No",VALORHOJA(Datos[[#This Row],[NP]],$B$44),VALORHOJA(Datos[[#This Row],[NP]],$D$44)),"")</f>
        <v/>
      </c>
      <c r="AA255" s="148" t="str">
        <f>IFERROR(IF(Datos[[#This Row],[Precio / Millar (Norwork)]]&lt;&gt;"",PRODUCT(Datos[[#This Row],[Precio / Millar (Norwork)]]/1000,Datos[[#This Row],[DEMANDA ANUAL]]),""),"")</f>
        <v/>
      </c>
      <c r="AB25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55" s="148" t="str">
        <f>IFERROR(IF(Datos[[#This Row],[Precio / Millar (Norwork)]]&lt;&gt;"",SUM(Datos[[#This Row],[Ingresos Totales (Norwork)]],-Datos[[#This Row],[Costos Totales (Norwork)]]),""),"")</f>
        <v/>
      </c>
      <c r="AD255" s="153" t="str">
        <f>IFERROR(Datos[[#This Row],[Beneficio (Norwork)]]/Datos[[#This Row],[Ingresos Totales (Norwork)]],"")</f>
        <v/>
      </c>
    </row>
    <row r="256" spans="2:30" x14ac:dyDescent="0.3">
      <c r="B256" s="145" t="s">
        <v>614</v>
      </c>
      <c r="C256" s="145" t="s">
        <v>1038</v>
      </c>
      <c r="D256" s="145"/>
      <c r="E256" s="145"/>
      <c r="G256" s="149">
        <v>1080</v>
      </c>
      <c r="H256" s="144"/>
      <c r="W256" s="148" t="s">
        <v>298</v>
      </c>
      <c r="X256" s="148" t="str">
        <f>IFERROR(Datos[[#This Row],[ARIBA PRECIO POR MILLAR (Dólares)]]/1000*Datos[[#This Row],[DEMANDA ANUAL]],"")</f>
        <v/>
      </c>
      <c r="Y256" s="153" t="str">
        <f>IFERROR((Datos[[#This Row],[INGRESO PRECIO ARIBA]]-Datos[[#This Row],[Costos Totales (Norwork)]])/Datos[[#This Row],[INGRESO PRECIO ARIBA]],"")</f>
        <v/>
      </c>
      <c r="Z256" s="148" t="str">
        <f>IFERROR(IF(Datos[[#This Row],[CON ETIQUETA]]="No",VALORHOJA(Datos[[#This Row],[NP]],$B$44),VALORHOJA(Datos[[#This Row],[NP]],$D$44)),"")</f>
        <v/>
      </c>
      <c r="AA256" s="148" t="str">
        <f>IFERROR(IF(Datos[[#This Row],[Precio / Millar (Norwork)]]&lt;&gt;"",PRODUCT(Datos[[#This Row],[Precio / Millar (Norwork)]]/1000,Datos[[#This Row],[DEMANDA ANUAL]]),""),"")</f>
        <v/>
      </c>
      <c r="AB25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56" s="148" t="str">
        <f>IFERROR(IF(Datos[[#This Row],[Precio / Millar (Norwork)]]&lt;&gt;"",SUM(Datos[[#This Row],[Ingresos Totales (Norwork)]],-Datos[[#This Row],[Costos Totales (Norwork)]]),""),"")</f>
        <v/>
      </c>
      <c r="AD256" s="153" t="str">
        <f>IFERROR(Datos[[#This Row],[Beneficio (Norwork)]]/Datos[[#This Row],[Ingresos Totales (Norwork)]],"")</f>
        <v/>
      </c>
    </row>
    <row r="257" spans="2:30" x14ac:dyDescent="0.3">
      <c r="B257" s="145" t="s">
        <v>550</v>
      </c>
      <c r="C257" s="145" t="s">
        <v>975</v>
      </c>
      <c r="D257" s="145"/>
      <c r="E257" s="145"/>
      <c r="G257" s="149">
        <v>1040</v>
      </c>
      <c r="H257" s="144"/>
      <c r="W257" s="148" t="s">
        <v>298</v>
      </c>
      <c r="X257" s="148" t="str">
        <f>IFERROR(Datos[[#This Row],[ARIBA PRECIO POR MILLAR (Dólares)]]/1000*Datos[[#This Row],[DEMANDA ANUAL]],"")</f>
        <v/>
      </c>
      <c r="Y257" s="153" t="str">
        <f>IFERROR((Datos[[#This Row],[INGRESO PRECIO ARIBA]]-Datos[[#This Row],[Costos Totales (Norwork)]])/Datos[[#This Row],[INGRESO PRECIO ARIBA]],"")</f>
        <v/>
      </c>
      <c r="Z257" s="148" t="str">
        <f>IFERROR(IF(Datos[[#This Row],[CON ETIQUETA]]="No",VALORHOJA(Datos[[#This Row],[NP]],$B$44),VALORHOJA(Datos[[#This Row],[NP]],$D$44)),"")</f>
        <v/>
      </c>
      <c r="AA257" s="148" t="str">
        <f>IFERROR(IF(Datos[[#This Row],[Precio / Millar (Norwork)]]&lt;&gt;"",PRODUCT(Datos[[#This Row],[Precio / Millar (Norwork)]]/1000,Datos[[#This Row],[DEMANDA ANUAL]]),""),"")</f>
        <v/>
      </c>
      <c r="AB25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57" s="148" t="str">
        <f>IFERROR(IF(Datos[[#This Row],[Precio / Millar (Norwork)]]&lt;&gt;"",SUM(Datos[[#This Row],[Ingresos Totales (Norwork)]],-Datos[[#This Row],[Costos Totales (Norwork)]]),""),"")</f>
        <v/>
      </c>
      <c r="AD257" s="153" t="str">
        <f>IFERROR(Datos[[#This Row],[Beneficio (Norwork)]]/Datos[[#This Row],[Ingresos Totales (Norwork)]],"")</f>
        <v/>
      </c>
    </row>
    <row r="258" spans="2:30" x14ac:dyDescent="0.3">
      <c r="B258" s="145" t="s">
        <v>487</v>
      </c>
      <c r="C258" s="145" t="s">
        <v>914</v>
      </c>
      <c r="D258" s="145"/>
      <c r="E258" s="145"/>
      <c r="G258" s="149">
        <v>1012</v>
      </c>
      <c r="H258" s="144"/>
      <c r="W258" s="148" t="s">
        <v>298</v>
      </c>
      <c r="X258" s="148" t="str">
        <f>IFERROR(Datos[[#This Row],[ARIBA PRECIO POR MILLAR (Dólares)]]/1000*Datos[[#This Row],[DEMANDA ANUAL]],"")</f>
        <v/>
      </c>
      <c r="Y258" s="153" t="str">
        <f>IFERROR((Datos[[#This Row],[INGRESO PRECIO ARIBA]]-Datos[[#This Row],[Costos Totales (Norwork)]])/Datos[[#This Row],[INGRESO PRECIO ARIBA]],"")</f>
        <v/>
      </c>
      <c r="Z258" s="148" t="str">
        <f>IFERROR(IF(Datos[[#This Row],[CON ETIQUETA]]="No",VALORHOJA(Datos[[#This Row],[NP]],$B$44),VALORHOJA(Datos[[#This Row],[NP]],$D$44)),"")</f>
        <v/>
      </c>
      <c r="AA258" s="148" t="str">
        <f>IFERROR(IF(Datos[[#This Row],[Precio / Millar (Norwork)]]&lt;&gt;"",PRODUCT(Datos[[#This Row],[Precio / Millar (Norwork)]]/1000,Datos[[#This Row],[DEMANDA ANUAL]]),""),"")</f>
        <v/>
      </c>
      <c r="AB25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58" s="148" t="str">
        <f>IFERROR(IF(Datos[[#This Row],[Precio / Millar (Norwork)]]&lt;&gt;"",SUM(Datos[[#This Row],[Ingresos Totales (Norwork)]],-Datos[[#This Row],[Costos Totales (Norwork)]]),""),"")</f>
        <v/>
      </c>
      <c r="AD258" s="153" t="str">
        <f>IFERROR(Datos[[#This Row],[Beneficio (Norwork)]]/Datos[[#This Row],[Ingresos Totales (Norwork)]],"")</f>
        <v/>
      </c>
    </row>
    <row r="259" spans="2:30" x14ac:dyDescent="0.3">
      <c r="B259" s="145" t="s">
        <v>618</v>
      </c>
      <c r="C259" s="145" t="s">
        <v>1041</v>
      </c>
      <c r="D259" s="145"/>
      <c r="E259" s="145"/>
      <c r="G259" s="149">
        <v>1008</v>
      </c>
      <c r="H259" s="144"/>
      <c r="W259" s="148" t="s">
        <v>298</v>
      </c>
      <c r="X259" s="148" t="str">
        <f>IFERROR(Datos[[#This Row],[ARIBA PRECIO POR MILLAR (Dólares)]]/1000*Datos[[#This Row],[DEMANDA ANUAL]],"")</f>
        <v/>
      </c>
      <c r="Y259" s="153" t="str">
        <f>IFERROR((Datos[[#This Row],[INGRESO PRECIO ARIBA]]-Datos[[#This Row],[Costos Totales (Norwork)]])/Datos[[#This Row],[INGRESO PRECIO ARIBA]],"")</f>
        <v/>
      </c>
      <c r="Z259" s="148" t="str">
        <f>IFERROR(IF(Datos[[#This Row],[CON ETIQUETA]]="No",VALORHOJA(Datos[[#This Row],[NP]],$B$44),VALORHOJA(Datos[[#This Row],[NP]],$D$44)),"")</f>
        <v/>
      </c>
      <c r="AA259" s="148" t="str">
        <f>IFERROR(IF(Datos[[#This Row],[Precio / Millar (Norwork)]]&lt;&gt;"",PRODUCT(Datos[[#This Row],[Precio / Millar (Norwork)]]/1000,Datos[[#This Row],[DEMANDA ANUAL]]),""),"")</f>
        <v/>
      </c>
      <c r="AB25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59" s="148" t="str">
        <f>IFERROR(IF(Datos[[#This Row],[Precio / Millar (Norwork)]]&lt;&gt;"",SUM(Datos[[#This Row],[Ingresos Totales (Norwork)]],-Datos[[#This Row],[Costos Totales (Norwork)]]),""),"")</f>
        <v/>
      </c>
      <c r="AD259" s="153" t="str">
        <f>IFERROR(Datos[[#This Row],[Beneficio (Norwork)]]/Datos[[#This Row],[Ingresos Totales (Norwork)]],"")</f>
        <v/>
      </c>
    </row>
    <row r="260" spans="2:30" x14ac:dyDescent="0.3">
      <c r="B260" s="145" t="s">
        <v>619</v>
      </c>
      <c r="C260" s="145" t="s">
        <v>1042</v>
      </c>
      <c r="D260" s="145"/>
      <c r="E260" s="145"/>
      <c r="G260" s="149">
        <v>1007</v>
      </c>
      <c r="H260" s="144"/>
      <c r="W260" s="148" t="s">
        <v>298</v>
      </c>
      <c r="X260" s="148" t="str">
        <f>IFERROR(Datos[[#This Row],[ARIBA PRECIO POR MILLAR (Dólares)]]/1000*Datos[[#This Row],[DEMANDA ANUAL]],"")</f>
        <v/>
      </c>
      <c r="Y260" s="153" t="str">
        <f>IFERROR((Datos[[#This Row],[INGRESO PRECIO ARIBA]]-Datos[[#This Row],[Costos Totales (Norwork)]])/Datos[[#This Row],[INGRESO PRECIO ARIBA]],"")</f>
        <v/>
      </c>
      <c r="Z260" s="148" t="str">
        <f>IFERROR(IF(Datos[[#This Row],[CON ETIQUETA]]="No",VALORHOJA(Datos[[#This Row],[NP]],$B$44),VALORHOJA(Datos[[#This Row],[NP]],$D$44)),"")</f>
        <v/>
      </c>
      <c r="AA260" s="148" t="str">
        <f>IFERROR(IF(Datos[[#This Row],[Precio / Millar (Norwork)]]&lt;&gt;"",PRODUCT(Datos[[#This Row],[Precio / Millar (Norwork)]]/1000,Datos[[#This Row],[DEMANDA ANUAL]]),""),"")</f>
        <v/>
      </c>
      <c r="AB26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60" s="148" t="str">
        <f>IFERROR(IF(Datos[[#This Row],[Precio / Millar (Norwork)]]&lt;&gt;"",SUM(Datos[[#This Row],[Ingresos Totales (Norwork)]],-Datos[[#This Row],[Costos Totales (Norwork)]]),""),"")</f>
        <v/>
      </c>
      <c r="AD260" s="153" t="str">
        <f>IFERROR(Datos[[#This Row],[Beneficio (Norwork)]]/Datos[[#This Row],[Ingresos Totales (Norwork)]],"")</f>
        <v/>
      </c>
    </row>
    <row r="261" spans="2:30" x14ac:dyDescent="0.3">
      <c r="B261" s="173" t="s">
        <v>260</v>
      </c>
      <c r="C261" s="145" t="s">
        <v>261</v>
      </c>
      <c r="D261" s="145"/>
      <c r="E261" s="145"/>
      <c r="F261" s="142" t="s">
        <v>202</v>
      </c>
      <c r="G261" s="149">
        <v>984</v>
      </c>
      <c r="H261" s="142" t="s">
        <v>202</v>
      </c>
      <c r="I261" s="142" t="s">
        <v>202</v>
      </c>
      <c r="J261" s="142" t="s">
        <v>207</v>
      </c>
      <c r="K261" s="142" t="s">
        <v>203</v>
      </c>
      <c r="L261" s="142">
        <v>4</v>
      </c>
      <c r="M261" s="142">
        <v>2</v>
      </c>
      <c r="N261" s="142">
        <v>92</v>
      </c>
      <c r="O261" s="142" t="s">
        <v>195</v>
      </c>
      <c r="P261" s="142" t="s">
        <v>198</v>
      </c>
      <c r="Q261" s="142" t="s">
        <v>199</v>
      </c>
      <c r="T261" s="142" t="s">
        <v>326</v>
      </c>
      <c r="U261" s="142">
        <v>11</v>
      </c>
      <c r="W261" s="148">
        <v>3000</v>
      </c>
      <c r="X261" s="148">
        <f>IFERROR(Datos[[#This Row],[ARIBA PRECIO POR MILLAR (Dólares)]]/1000*Datos[[#This Row],[DEMANDA ANUAL]],"")</f>
        <v>2952</v>
      </c>
      <c r="Y261" s="153">
        <f>IFERROR((Datos[[#This Row],[INGRESO PRECIO ARIBA]]-Datos[[#This Row],[Costos Totales (Norwork)]])/Datos[[#This Row],[INGRESO PRECIO ARIBA]],"")</f>
        <v>-0.42019722999175479</v>
      </c>
      <c r="Z261" s="148">
        <f>IFERROR(IF(Datos[[#This Row],[CON ETIQUETA]]="No",VALORHOJA(Datos[[#This Row],[NP]],$B$44),VALORHOJA(Datos[[#This Row],[NP]],$D$44)),"")</f>
        <v>4227.3925792286318</v>
      </c>
      <c r="AA261" s="148">
        <f>IFERROR(IF(Datos[[#This Row],[Precio / Millar (Norwork)]]&lt;&gt;"",PRODUCT(Datos[[#This Row],[Precio / Millar (Norwork)]]/1000,Datos[[#This Row],[DEMANDA ANUAL]]),""),"")</f>
        <v>4159.7542979609743</v>
      </c>
      <c r="AB261" s="155">
        <f>IFERROR(IF(Datos[[#This Row],[CON ETIQUETA]]="No",VALORHOJA(Datos[[#This Row],[NP]],$B$63)/VALORHOJA(Datos[[#This Row],[NP]],$B$42),VALORHOJA(Datos[[#This Row],[NP]],$D$63)/VALORHOJA(Datos[[#This Row],[NP]],$D$42)),"")</f>
        <v>4192.4222229356601</v>
      </c>
      <c r="AC261" s="148">
        <f>IFERROR(IF(Datos[[#This Row],[Precio / Millar (Norwork)]]&lt;&gt;"",SUM(Datos[[#This Row],[Ingresos Totales (Norwork)]],-Datos[[#This Row],[Costos Totales (Norwork)]]),""),"")</f>
        <v>-32.667924974685775</v>
      </c>
      <c r="AD261" s="153">
        <f>IFERROR(Datos[[#This Row],[Beneficio (Norwork)]]/Datos[[#This Row],[Ingresos Totales (Norwork)]],"")</f>
        <v>-7.8533304216306526E-3</v>
      </c>
    </row>
    <row r="262" spans="2:30" x14ac:dyDescent="0.3">
      <c r="B262" s="145" t="s">
        <v>401</v>
      </c>
      <c r="C262" s="176" t="s">
        <v>829</v>
      </c>
      <c r="D262" s="176"/>
      <c r="E262" s="145"/>
      <c r="F262" s="148"/>
      <c r="G262" s="149">
        <v>984</v>
      </c>
      <c r="H262" s="144"/>
      <c r="W262" s="148" t="s">
        <v>298</v>
      </c>
      <c r="X262" s="148" t="str">
        <f>IFERROR(Datos[[#This Row],[ARIBA PRECIO POR MILLAR (Dólares)]]/1000*Datos[[#This Row],[DEMANDA ANUAL]],"")</f>
        <v/>
      </c>
      <c r="Y262" s="153" t="str">
        <f>IFERROR((Datos[[#This Row],[INGRESO PRECIO ARIBA]]-Datos[[#This Row],[Costos Totales (Norwork)]])/Datos[[#This Row],[INGRESO PRECIO ARIBA]],"")</f>
        <v/>
      </c>
      <c r="Z262" s="148" t="str">
        <f>IFERROR(IF(Datos[[#This Row],[CON ETIQUETA]]="No",VALORHOJA(Datos[[#This Row],[NP]],$B$44),VALORHOJA(Datos[[#This Row],[NP]],$D$44)),"")</f>
        <v/>
      </c>
      <c r="AA262" s="148" t="str">
        <f>IFERROR(IF(Datos[[#This Row],[Precio / Millar (Norwork)]]&lt;&gt;"",PRODUCT(Datos[[#This Row],[Precio / Millar (Norwork)]]/1000,Datos[[#This Row],[DEMANDA ANUAL]]),""),"")</f>
        <v/>
      </c>
      <c r="AB26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62" s="148" t="str">
        <f>IFERROR(IF(Datos[[#This Row],[Precio / Millar (Norwork)]]&lt;&gt;"",SUM(Datos[[#This Row],[Ingresos Totales (Norwork)]],-Datos[[#This Row],[Costos Totales (Norwork)]]),""),"")</f>
        <v/>
      </c>
      <c r="AD262" s="153" t="str">
        <f>IFERROR(Datos[[#This Row],[Beneficio (Norwork)]]/Datos[[#This Row],[Ingresos Totales (Norwork)]],"")</f>
        <v/>
      </c>
    </row>
    <row r="263" spans="2:30" x14ac:dyDescent="0.3">
      <c r="B263" s="145" t="s">
        <v>414</v>
      </c>
      <c r="C263" s="145" t="s">
        <v>842</v>
      </c>
      <c r="D263" s="145"/>
      <c r="E263" s="145"/>
      <c r="G263" s="149">
        <v>984</v>
      </c>
      <c r="H263" s="144"/>
      <c r="W263" s="148" t="s">
        <v>298</v>
      </c>
      <c r="X263" s="148" t="str">
        <f>IFERROR(Datos[[#This Row],[ARIBA PRECIO POR MILLAR (Dólares)]]/1000*Datos[[#This Row],[DEMANDA ANUAL]],"")</f>
        <v/>
      </c>
      <c r="Y263" s="153" t="str">
        <f>IFERROR((Datos[[#This Row],[INGRESO PRECIO ARIBA]]-Datos[[#This Row],[Costos Totales (Norwork)]])/Datos[[#This Row],[INGRESO PRECIO ARIBA]],"")</f>
        <v/>
      </c>
      <c r="Z263" s="148" t="str">
        <f>IFERROR(IF(Datos[[#This Row],[CON ETIQUETA]]="No",VALORHOJA(Datos[[#This Row],[NP]],$B$44),VALORHOJA(Datos[[#This Row],[NP]],$D$44)),"")</f>
        <v/>
      </c>
      <c r="AA263" s="148" t="str">
        <f>IFERROR(IF(Datos[[#This Row],[Precio / Millar (Norwork)]]&lt;&gt;"",PRODUCT(Datos[[#This Row],[Precio / Millar (Norwork)]]/1000,Datos[[#This Row],[DEMANDA ANUAL]]),""),"")</f>
        <v/>
      </c>
      <c r="AB26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63" s="148" t="str">
        <f>IFERROR(IF(Datos[[#This Row],[Precio / Millar (Norwork)]]&lt;&gt;"",SUM(Datos[[#This Row],[Ingresos Totales (Norwork)]],-Datos[[#This Row],[Costos Totales (Norwork)]]),""),"")</f>
        <v/>
      </c>
      <c r="AD263" s="153" t="str">
        <f>IFERROR(Datos[[#This Row],[Beneficio (Norwork)]]/Datos[[#This Row],[Ingresos Totales (Norwork)]],"")</f>
        <v/>
      </c>
    </row>
    <row r="264" spans="2:30" x14ac:dyDescent="0.3">
      <c r="B264" s="145" t="s">
        <v>478</v>
      </c>
      <c r="C264" s="145" t="s">
        <v>905</v>
      </c>
      <c r="D264" s="145"/>
      <c r="E264" s="145"/>
      <c r="G264" s="149">
        <v>984</v>
      </c>
      <c r="H264" s="144"/>
      <c r="W264" s="148" t="s">
        <v>298</v>
      </c>
      <c r="X264" s="148" t="str">
        <f>IFERROR(Datos[[#This Row],[ARIBA PRECIO POR MILLAR (Dólares)]]/1000*Datos[[#This Row],[DEMANDA ANUAL]],"")</f>
        <v/>
      </c>
      <c r="Y264" s="153" t="str">
        <f>IFERROR((Datos[[#This Row],[INGRESO PRECIO ARIBA]]-Datos[[#This Row],[Costos Totales (Norwork)]])/Datos[[#This Row],[INGRESO PRECIO ARIBA]],"")</f>
        <v/>
      </c>
      <c r="Z264" s="148" t="str">
        <f>IFERROR(IF(Datos[[#This Row],[CON ETIQUETA]]="No",VALORHOJA(Datos[[#This Row],[NP]],$B$44),VALORHOJA(Datos[[#This Row],[NP]],$D$44)),"")</f>
        <v/>
      </c>
      <c r="AA264" s="148" t="str">
        <f>IFERROR(IF(Datos[[#This Row],[Precio / Millar (Norwork)]]&lt;&gt;"",PRODUCT(Datos[[#This Row],[Precio / Millar (Norwork)]]/1000,Datos[[#This Row],[DEMANDA ANUAL]]),""),"")</f>
        <v/>
      </c>
      <c r="AB26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64" s="148" t="str">
        <f>IFERROR(IF(Datos[[#This Row],[Precio / Millar (Norwork)]]&lt;&gt;"",SUM(Datos[[#This Row],[Ingresos Totales (Norwork)]],-Datos[[#This Row],[Costos Totales (Norwork)]]),""),"")</f>
        <v/>
      </c>
      <c r="AD264" s="153" t="str">
        <f>IFERROR(Datos[[#This Row],[Beneficio (Norwork)]]/Datos[[#This Row],[Ingresos Totales (Norwork)]],"")</f>
        <v/>
      </c>
    </row>
    <row r="265" spans="2:30" x14ac:dyDescent="0.3">
      <c r="B265" s="145" t="s">
        <v>589</v>
      </c>
      <c r="C265" s="145" t="s">
        <v>1013</v>
      </c>
      <c r="D265" s="145"/>
      <c r="E265" s="145"/>
      <c r="G265" s="149">
        <v>948</v>
      </c>
      <c r="H265" s="144"/>
      <c r="W265" s="148" t="s">
        <v>298</v>
      </c>
      <c r="X265" s="148" t="str">
        <f>IFERROR(Datos[[#This Row],[ARIBA PRECIO POR MILLAR (Dólares)]]/1000*Datos[[#This Row],[DEMANDA ANUAL]],"")</f>
        <v/>
      </c>
      <c r="Y265" s="153" t="str">
        <f>IFERROR((Datos[[#This Row],[INGRESO PRECIO ARIBA]]-Datos[[#This Row],[Costos Totales (Norwork)]])/Datos[[#This Row],[INGRESO PRECIO ARIBA]],"")</f>
        <v/>
      </c>
      <c r="Z265" s="148" t="str">
        <f>IFERROR(IF(Datos[[#This Row],[CON ETIQUETA]]="No",VALORHOJA(Datos[[#This Row],[NP]],$B$44),VALORHOJA(Datos[[#This Row],[NP]],$D$44)),"")</f>
        <v/>
      </c>
      <c r="AA265" s="148" t="str">
        <f>IFERROR(IF(Datos[[#This Row],[Precio / Millar (Norwork)]]&lt;&gt;"",PRODUCT(Datos[[#This Row],[Precio / Millar (Norwork)]]/1000,Datos[[#This Row],[DEMANDA ANUAL]]),""),"")</f>
        <v/>
      </c>
      <c r="AB26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65" s="148" t="str">
        <f>IFERROR(IF(Datos[[#This Row],[Precio / Millar (Norwork)]]&lt;&gt;"",SUM(Datos[[#This Row],[Ingresos Totales (Norwork)]],-Datos[[#This Row],[Costos Totales (Norwork)]]),""),"")</f>
        <v/>
      </c>
      <c r="AD265" s="153" t="str">
        <f>IFERROR(Datos[[#This Row],[Beneficio (Norwork)]]/Datos[[#This Row],[Ingresos Totales (Norwork)]],"")</f>
        <v/>
      </c>
    </row>
    <row r="266" spans="2:30" x14ac:dyDescent="0.3">
      <c r="B266" s="145" t="s">
        <v>500</v>
      </c>
      <c r="C266" s="145" t="s">
        <v>927</v>
      </c>
      <c r="D266" s="145"/>
      <c r="E266" s="145"/>
      <c r="G266" s="149">
        <v>896</v>
      </c>
      <c r="H266" s="144"/>
      <c r="W266" s="148" t="s">
        <v>298</v>
      </c>
      <c r="X266" s="148" t="str">
        <f>IFERROR(Datos[[#This Row],[ARIBA PRECIO POR MILLAR (Dólares)]]/1000*Datos[[#This Row],[DEMANDA ANUAL]],"")</f>
        <v/>
      </c>
      <c r="Y266" s="153" t="str">
        <f>IFERROR((Datos[[#This Row],[INGRESO PRECIO ARIBA]]-Datos[[#This Row],[Costos Totales (Norwork)]])/Datos[[#This Row],[INGRESO PRECIO ARIBA]],"")</f>
        <v/>
      </c>
      <c r="Z266" s="148" t="str">
        <f>IFERROR(IF(Datos[[#This Row],[CON ETIQUETA]]="No",VALORHOJA(Datos[[#This Row],[NP]],$B$44),VALORHOJA(Datos[[#This Row],[NP]],$D$44)),"")</f>
        <v/>
      </c>
      <c r="AA266" s="148" t="str">
        <f>IFERROR(IF(Datos[[#This Row],[Precio / Millar (Norwork)]]&lt;&gt;"",PRODUCT(Datos[[#This Row],[Precio / Millar (Norwork)]]/1000,Datos[[#This Row],[DEMANDA ANUAL]]),""),"")</f>
        <v/>
      </c>
      <c r="AB26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66" s="148" t="str">
        <f>IFERROR(IF(Datos[[#This Row],[Precio / Millar (Norwork)]]&lt;&gt;"",SUM(Datos[[#This Row],[Ingresos Totales (Norwork)]],-Datos[[#This Row],[Costos Totales (Norwork)]]),""),"")</f>
        <v/>
      </c>
      <c r="AD266" s="153" t="str">
        <f>IFERROR(Datos[[#This Row],[Beneficio (Norwork)]]/Datos[[#This Row],[Ingresos Totales (Norwork)]],"")</f>
        <v/>
      </c>
    </row>
    <row r="267" spans="2:30" x14ac:dyDescent="0.3">
      <c r="B267" s="145" t="s">
        <v>593</v>
      </c>
      <c r="C267" s="145" t="s">
        <v>1017</v>
      </c>
      <c r="D267" s="145"/>
      <c r="E267" s="145"/>
      <c r="G267" s="149">
        <v>890</v>
      </c>
      <c r="H267" s="144"/>
      <c r="W267" s="148" t="s">
        <v>298</v>
      </c>
      <c r="X267" s="148" t="str">
        <f>IFERROR(Datos[[#This Row],[ARIBA PRECIO POR MILLAR (Dólares)]]/1000*Datos[[#This Row],[DEMANDA ANUAL]],"")</f>
        <v/>
      </c>
      <c r="Y267" s="153" t="str">
        <f>IFERROR((Datos[[#This Row],[INGRESO PRECIO ARIBA]]-Datos[[#This Row],[Costos Totales (Norwork)]])/Datos[[#This Row],[INGRESO PRECIO ARIBA]],"")</f>
        <v/>
      </c>
      <c r="Z267" s="148" t="str">
        <f>IFERROR(IF(Datos[[#This Row],[CON ETIQUETA]]="No",VALORHOJA(Datos[[#This Row],[NP]],$B$44),VALORHOJA(Datos[[#This Row],[NP]],$D$44)),"")</f>
        <v/>
      </c>
      <c r="AA267" s="148" t="str">
        <f>IFERROR(IF(Datos[[#This Row],[Precio / Millar (Norwork)]]&lt;&gt;"",PRODUCT(Datos[[#This Row],[Precio / Millar (Norwork)]]/1000,Datos[[#This Row],[DEMANDA ANUAL]]),""),"")</f>
        <v/>
      </c>
      <c r="AB26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67" s="148" t="str">
        <f>IFERROR(IF(Datos[[#This Row],[Precio / Millar (Norwork)]]&lt;&gt;"",SUM(Datos[[#This Row],[Ingresos Totales (Norwork)]],-Datos[[#This Row],[Costos Totales (Norwork)]]),""),"")</f>
        <v/>
      </c>
      <c r="AD267" s="153" t="str">
        <f>IFERROR(Datos[[#This Row],[Beneficio (Norwork)]]/Datos[[#This Row],[Ingresos Totales (Norwork)]],"")</f>
        <v/>
      </c>
    </row>
    <row r="268" spans="2:30" x14ac:dyDescent="0.3">
      <c r="B268" s="145" t="s">
        <v>595</v>
      </c>
      <c r="C268" s="145" t="s">
        <v>1019</v>
      </c>
      <c r="D268" s="145"/>
      <c r="E268" s="145"/>
      <c r="G268" s="149">
        <v>861</v>
      </c>
      <c r="H268" s="144"/>
      <c r="W268" s="148" t="s">
        <v>298</v>
      </c>
      <c r="X268" s="148" t="str">
        <f>IFERROR(Datos[[#This Row],[ARIBA PRECIO POR MILLAR (Dólares)]]/1000*Datos[[#This Row],[DEMANDA ANUAL]],"")</f>
        <v/>
      </c>
      <c r="Y268" s="153" t="str">
        <f>IFERROR((Datos[[#This Row],[INGRESO PRECIO ARIBA]]-Datos[[#This Row],[Costos Totales (Norwork)]])/Datos[[#This Row],[INGRESO PRECIO ARIBA]],"")</f>
        <v/>
      </c>
      <c r="Z268" s="148" t="str">
        <f>IFERROR(IF(Datos[[#This Row],[CON ETIQUETA]]="No",VALORHOJA(Datos[[#This Row],[NP]],$B$44),VALORHOJA(Datos[[#This Row],[NP]],$D$44)),"")</f>
        <v/>
      </c>
      <c r="AA268" s="148" t="str">
        <f>IFERROR(IF(Datos[[#This Row],[Precio / Millar (Norwork)]]&lt;&gt;"",PRODUCT(Datos[[#This Row],[Precio / Millar (Norwork)]]/1000,Datos[[#This Row],[DEMANDA ANUAL]]),""),"")</f>
        <v/>
      </c>
      <c r="AB26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68" s="148" t="str">
        <f>IFERROR(IF(Datos[[#This Row],[Precio / Millar (Norwork)]]&lt;&gt;"",SUM(Datos[[#This Row],[Ingresos Totales (Norwork)]],-Datos[[#This Row],[Costos Totales (Norwork)]]),""),"")</f>
        <v/>
      </c>
      <c r="AD268" s="153" t="str">
        <f>IFERROR(Datos[[#This Row],[Beneficio (Norwork)]]/Datos[[#This Row],[Ingresos Totales (Norwork)]],"")</f>
        <v/>
      </c>
    </row>
    <row r="269" spans="2:30" x14ac:dyDescent="0.3">
      <c r="B269" s="145" t="s">
        <v>560</v>
      </c>
      <c r="C269" s="145" t="s">
        <v>984</v>
      </c>
      <c r="D269" s="145"/>
      <c r="E269" s="145"/>
      <c r="G269" s="149">
        <v>858</v>
      </c>
      <c r="H269" s="144"/>
      <c r="W269" s="148" t="s">
        <v>298</v>
      </c>
      <c r="X269" s="148" t="str">
        <f>IFERROR(Datos[[#This Row],[ARIBA PRECIO POR MILLAR (Dólares)]]/1000*Datos[[#This Row],[DEMANDA ANUAL]],"")</f>
        <v/>
      </c>
      <c r="Y269" s="153" t="str">
        <f>IFERROR((Datos[[#This Row],[INGRESO PRECIO ARIBA]]-Datos[[#This Row],[Costos Totales (Norwork)]])/Datos[[#This Row],[INGRESO PRECIO ARIBA]],"")</f>
        <v/>
      </c>
      <c r="Z269" s="148" t="str">
        <f>IFERROR(IF(Datos[[#This Row],[CON ETIQUETA]]="No",VALORHOJA(Datos[[#This Row],[NP]],$B$44),VALORHOJA(Datos[[#This Row],[NP]],$D$44)),"")</f>
        <v/>
      </c>
      <c r="AA269" s="148" t="str">
        <f>IFERROR(IF(Datos[[#This Row],[Precio / Millar (Norwork)]]&lt;&gt;"",PRODUCT(Datos[[#This Row],[Precio / Millar (Norwork)]]/1000,Datos[[#This Row],[DEMANDA ANUAL]]),""),"")</f>
        <v/>
      </c>
      <c r="AB26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69" s="148" t="str">
        <f>IFERROR(IF(Datos[[#This Row],[Precio / Millar (Norwork)]]&lt;&gt;"",SUM(Datos[[#This Row],[Ingresos Totales (Norwork)]],-Datos[[#This Row],[Costos Totales (Norwork)]]),""),"")</f>
        <v/>
      </c>
      <c r="AD269" s="153" t="str">
        <f>IFERROR(Datos[[#This Row],[Beneficio (Norwork)]]/Datos[[#This Row],[Ingresos Totales (Norwork)]],"")</f>
        <v/>
      </c>
    </row>
    <row r="270" spans="2:30" x14ac:dyDescent="0.3">
      <c r="B270" s="145" t="s">
        <v>543</v>
      </c>
      <c r="C270" s="145" t="s">
        <v>969</v>
      </c>
      <c r="D270" s="145"/>
      <c r="E270" s="145"/>
      <c r="G270" s="149">
        <v>816</v>
      </c>
      <c r="H270" s="144"/>
      <c r="W270" s="148" t="s">
        <v>298</v>
      </c>
      <c r="X270" s="148" t="str">
        <f>IFERROR(Datos[[#This Row],[ARIBA PRECIO POR MILLAR (Dólares)]]/1000*Datos[[#This Row],[DEMANDA ANUAL]],"")</f>
        <v/>
      </c>
      <c r="Y270" s="153" t="str">
        <f>IFERROR((Datos[[#This Row],[INGRESO PRECIO ARIBA]]-Datos[[#This Row],[Costos Totales (Norwork)]])/Datos[[#This Row],[INGRESO PRECIO ARIBA]],"")</f>
        <v/>
      </c>
      <c r="Z270" s="148" t="str">
        <f>IFERROR(IF(Datos[[#This Row],[CON ETIQUETA]]="No",VALORHOJA(Datos[[#This Row],[NP]],$B$44),VALORHOJA(Datos[[#This Row],[NP]],$D$44)),"")</f>
        <v/>
      </c>
      <c r="AA270" s="148" t="str">
        <f>IFERROR(IF(Datos[[#This Row],[Precio / Millar (Norwork)]]&lt;&gt;"",PRODUCT(Datos[[#This Row],[Precio / Millar (Norwork)]]/1000,Datos[[#This Row],[DEMANDA ANUAL]]),""),"")</f>
        <v/>
      </c>
      <c r="AB27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70" s="148" t="str">
        <f>IFERROR(IF(Datos[[#This Row],[Precio / Millar (Norwork)]]&lt;&gt;"",SUM(Datos[[#This Row],[Ingresos Totales (Norwork)]],-Datos[[#This Row],[Costos Totales (Norwork)]]),""),"")</f>
        <v/>
      </c>
      <c r="AD270" s="153" t="str">
        <f>IFERROR(Datos[[#This Row],[Beneficio (Norwork)]]/Datos[[#This Row],[Ingresos Totales (Norwork)]],"")</f>
        <v/>
      </c>
    </row>
    <row r="271" spans="2:30" x14ac:dyDescent="0.3">
      <c r="B271" s="145" t="s">
        <v>628</v>
      </c>
      <c r="C271" s="145" t="s">
        <v>1051</v>
      </c>
      <c r="D271" s="145"/>
      <c r="E271" s="145"/>
      <c r="G271" s="149">
        <v>789</v>
      </c>
      <c r="H271" s="144"/>
      <c r="W271" s="148" t="s">
        <v>298</v>
      </c>
      <c r="X271" s="148" t="str">
        <f>IFERROR(Datos[[#This Row],[ARIBA PRECIO POR MILLAR (Dólares)]]/1000*Datos[[#This Row],[DEMANDA ANUAL]],"")</f>
        <v/>
      </c>
      <c r="Y271" s="153" t="str">
        <f>IFERROR((Datos[[#This Row],[INGRESO PRECIO ARIBA]]-Datos[[#This Row],[Costos Totales (Norwork)]])/Datos[[#This Row],[INGRESO PRECIO ARIBA]],"")</f>
        <v/>
      </c>
      <c r="Z271" s="148" t="str">
        <f>IFERROR(IF(Datos[[#This Row],[CON ETIQUETA]]="No",VALORHOJA(Datos[[#This Row],[NP]],$B$44),VALORHOJA(Datos[[#This Row],[NP]],$D$44)),"")</f>
        <v/>
      </c>
      <c r="AA271" s="148" t="str">
        <f>IFERROR(IF(Datos[[#This Row],[Precio / Millar (Norwork)]]&lt;&gt;"",PRODUCT(Datos[[#This Row],[Precio / Millar (Norwork)]]/1000,Datos[[#This Row],[DEMANDA ANUAL]]),""),"")</f>
        <v/>
      </c>
      <c r="AB27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71" s="148" t="str">
        <f>IFERROR(IF(Datos[[#This Row],[Precio / Millar (Norwork)]]&lt;&gt;"",SUM(Datos[[#This Row],[Ingresos Totales (Norwork)]],-Datos[[#This Row],[Costos Totales (Norwork)]]),""),"")</f>
        <v/>
      </c>
      <c r="AD271" s="153" t="str">
        <f>IFERROR(Datos[[#This Row],[Beneficio (Norwork)]]/Datos[[#This Row],[Ingresos Totales (Norwork)]],"")</f>
        <v/>
      </c>
    </row>
    <row r="272" spans="2:30" x14ac:dyDescent="0.3">
      <c r="B272" s="145" t="s">
        <v>630</v>
      </c>
      <c r="C272" s="145" t="s">
        <v>1053</v>
      </c>
      <c r="D272" s="145"/>
      <c r="E272" s="145"/>
      <c r="G272" s="149">
        <v>780</v>
      </c>
      <c r="H272" s="144"/>
      <c r="W272" s="148" t="s">
        <v>298</v>
      </c>
      <c r="X272" s="148" t="str">
        <f>IFERROR(Datos[[#This Row],[ARIBA PRECIO POR MILLAR (Dólares)]]/1000*Datos[[#This Row],[DEMANDA ANUAL]],"")</f>
        <v/>
      </c>
      <c r="Y272" s="153" t="str">
        <f>IFERROR((Datos[[#This Row],[INGRESO PRECIO ARIBA]]-Datos[[#This Row],[Costos Totales (Norwork)]])/Datos[[#This Row],[INGRESO PRECIO ARIBA]],"")</f>
        <v/>
      </c>
      <c r="Z272" s="148" t="str">
        <f>IFERROR(IF(Datos[[#This Row],[CON ETIQUETA]]="No",VALORHOJA(Datos[[#This Row],[NP]],$B$44),VALORHOJA(Datos[[#This Row],[NP]],$D$44)),"")</f>
        <v/>
      </c>
      <c r="AA272" s="148" t="str">
        <f>IFERROR(IF(Datos[[#This Row],[Precio / Millar (Norwork)]]&lt;&gt;"",PRODUCT(Datos[[#This Row],[Precio / Millar (Norwork)]]/1000,Datos[[#This Row],[DEMANDA ANUAL]]),""),"")</f>
        <v/>
      </c>
      <c r="AB27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72" s="148" t="str">
        <f>IFERROR(IF(Datos[[#This Row],[Precio / Millar (Norwork)]]&lt;&gt;"",SUM(Datos[[#This Row],[Ingresos Totales (Norwork)]],-Datos[[#This Row],[Costos Totales (Norwork)]]),""),"")</f>
        <v/>
      </c>
      <c r="AD272" s="153" t="str">
        <f>IFERROR(Datos[[#This Row],[Beneficio (Norwork)]]/Datos[[#This Row],[Ingresos Totales (Norwork)]],"")</f>
        <v/>
      </c>
    </row>
    <row r="273" spans="2:30" x14ac:dyDescent="0.3">
      <c r="B273" s="145" t="s">
        <v>545</v>
      </c>
      <c r="C273" s="145" t="s">
        <v>971</v>
      </c>
      <c r="D273" s="145"/>
      <c r="E273" s="145"/>
      <c r="G273" s="149">
        <v>749</v>
      </c>
      <c r="H273" s="144"/>
      <c r="W273" s="148" t="s">
        <v>298</v>
      </c>
      <c r="X273" s="148" t="str">
        <f>IFERROR(Datos[[#This Row],[ARIBA PRECIO POR MILLAR (Dólares)]]/1000*Datos[[#This Row],[DEMANDA ANUAL]],"")</f>
        <v/>
      </c>
      <c r="Y273" s="153" t="str">
        <f>IFERROR((Datos[[#This Row],[INGRESO PRECIO ARIBA]]-Datos[[#This Row],[Costos Totales (Norwork)]])/Datos[[#This Row],[INGRESO PRECIO ARIBA]],"")</f>
        <v/>
      </c>
      <c r="Z273" s="148" t="str">
        <f>IFERROR(IF(Datos[[#This Row],[CON ETIQUETA]]="No",VALORHOJA(Datos[[#This Row],[NP]],$B$44),VALORHOJA(Datos[[#This Row],[NP]],$D$44)),"")</f>
        <v/>
      </c>
      <c r="AA273" s="148" t="str">
        <f>IFERROR(IF(Datos[[#This Row],[Precio / Millar (Norwork)]]&lt;&gt;"",PRODUCT(Datos[[#This Row],[Precio / Millar (Norwork)]]/1000,Datos[[#This Row],[DEMANDA ANUAL]]),""),"")</f>
        <v/>
      </c>
      <c r="AB27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73" s="148" t="str">
        <f>IFERROR(IF(Datos[[#This Row],[Precio / Millar (Norwork)]]&lt;&gt;"",SUM(Datos[[#This Row],[Ingresos Totales (Norwork)]],-Datos[[#This Row],[Costos Totales (Norwork)]]),""),"")</f>
        <v/>
      </c>
      <c r="AD273" s="153" t="str">
        <f>IFERROR(Datos[[#This Row],[Beneficio (Norwork)]]/Datos[[#This Row],[Ingresos Totales (Norwork)]],"")</f>
        <v/>
      </c>
    </row>
    <row r="274" spans="2:30" x14ac:dyDescent="0.3">
      <c r="B274" s="145" t="s">
        <v>546</v>
      </c>
      <c r="C274" s="145" t="s">
        <v>972</v>
      </c>
      <c r="D274" s="145"/>
      <c r="E274" s="145"/>
      <c r="G274" s="149">
        <v>744</v>
      </c>
      <c r="H274" s="144"/>
      <c r="W274" s="148" t="s">
        <v>298</v>
      </c>
      <c r="X274" s="148" t="str">
        <f>IFERROR(Datos[[#This Row],[ARIBA PRECIO POR MILLAR (Dólares)]]/1000*Datos[[#This Row],[DEMANDA ANUAL]],"")</f>
        <v/>
      </c>
      <c r="Y274" s="153" t="str">
        <f>IFERROR((Datos[[#This Row],[INGRESO PRECIO ARIBA]]-Datos[[#This Row],[Costos Totales (Norwork)]])/Datos[[#This Row],[INGRESO PRECIO ARIBA]],"")</f>
        <v/>
      </c>
      <c r="Z274" s="148" t="str">
        <f>IFERROR(IF(Datos[[#This Row],[CON ETIQUETA]]="No",VALORHOJA(Datos[[#This Row],[NP]],$B$44),VALORHOJA(Datos[[#This Row],[NP]],$D$44)),"")</f>
        <v/>
      </c>
      <c r="AA274" s="148" t="str">
        <f>IFERROR(IF(Datos[[#This Row],[Precio / Millar (Norwork)]]&lt;&gt;"",PRODUCT(Datos[[#This Row],[Precio / Millar (Norwork)]]/1000,Datos[[#This Row],[DEMANDA ANUAL]]),""),"")</f>
        <v/>
      </c>
      <c r="AB27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74" s="148" t="str">
        <f>IFERROR(IF(Datos[[#This Row],[Precio / Millar (Norwork)]]&lt;&gt;"",SUM(Datos[[#This Row],[Ingresos Totales (Norwork)]],-Datos[[#This Row],[Costos Totales (Norwork)]]),""),"")</f>
        <v/>
      </c>
      <c r="AD274" s="153" t="str">
        <f>IFERROR(Datos[[#This Row],[Beneficio (Norwork)]]/Datos[[#This Row],[Ingresos Totales (Norwork)]],"")</f>
        <v/>
      </c>
    </row>
    <row r="275" spans="2:30" x14ac:dyDescent="0.3">
      <c r="B275" s="145" t="s">
        <v>549</v>
      </c>
      <c r="C275" s="145" t="s">
        <v>974</v>
      </c>
      <c r="D275" s="145"/>
      <c r="E275" s="145"/>
      <c r="G275" s="149">
        <v>696</v>
      </c>
      <c r="H275" s="144"/>
      <c r="W275" s="148" t="s">
        <v>298</v>
      </c>
      <c r="X275" s="148" t="str">
        <f>IFERROR(Datos[[#This Row],[ARIBA PRECIO POR MILLAR (Dólares)]]/1000*Datos[[#This Row],[DEMANDA ANUAL]],"")</f>
        <v/>
      </c>
      <c r="Y275" s="153" t="str">
        <f>IFERROR((Datos[[#This Row],[INGRESO PRECIO ARIBA]]-Datos[[#This Row],[Costos Totales (Norwork)]])/Datos[[#This Row],[INGRESO PRECIO ARIBA]],"")</f>
        <v/>
      </c>
      <c r="Z275" s="148" t="str">
        <f>IFERROR(IF(Datos[[#This Row],[CON ETIQUETA]]="No",VALORHOJA(Datos[[#This Row],[NP]],$B$44),VALORHOJA(Datos[[#This Row],[NP]],$D$44)),"")</f>
        <v/>
      </c>
      <c r="AA275" s="148" t="str">
        <f>IFERROR(IF(Datos[[#This Row],[Precio / Millar (Norwork)]]&lt;&gt;"",PRODUCT(Datos[[#This Row],[Precio / Millar (Norwork)]]/1000,Datos[[#This Row],[DEMANDA ANUAL]]),""),"")</f>
        <v/>
      </c>
      <c r="AB27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75" s="148" t="str">
        <f>IFERROR(IF(Datos[[#This Row],[Precio / Millar (Norwork)]]&lt;&gt;"",SUM(Datos[[#This Row],[Ingresos Totales (Norwork)]],-Datos[[#This Row],[Costos Totales (Norwork)]]),""),"")</f>
        <v/>
      </c>
      <c r="AD275" s="153" t="str">
        <f>IFERROR(Datos[[#This Row],[Beneficio (Norwork)]]/Datos[[#This Row],[Ingresos Totales (Norwork)]],"")</f>
        <v/>
      </c>
    </row>
    <row r="276" spans="2:30" x14ac:dyDescent="0.3">
      <c r="B276" s="145" t="s">
        <v>636</v>
      </c>
      <c r="C276" s="145" t="s">
        <v>1059</v>
      </c>
      <c r="D276" s="145"/>
      <c r="E276" s="145"/>
      <c r="G276" s="149">
        <v>690</v>
      </c>
      <c r="H276" s="144"/>
      <c r="W276" s="148" t="s">
        <v>298</v>
      </c>
      <c r="X276" s="148" t="str">
        <f>IFERROR(Datos[[#This Row],[ARIBA PRECIO POR MILLAR (Dólares)]]/1000*Datos[[#This Row],[DEMANDA ANUAL]],"")</f>
        <v/>
      </c>
      <c r="Y276" s="153" t="str">
        <f>IFERROR((Datos[[#This Row],[INGRESO PRECIO ARIBA]]-Datos[[#This Row],[Costos Totales (Norwork)]])/Datos[[#This Row],[INGRESO PRECIO ARIBA]],"")</f>
        <v/>
      </c>
      <c r="Z276" s="148" t="str">
        <f>IFERROR(IF(Datos[[#This Row],[CON ETIQUETA]]="No",VALORHOJA(Datos[[#This Row],[NP]],$B$44),VALORHOJA(Datos[[#This Row],[NP]],$D$44)),"")</f>
        <v/>
      </c>
      <c r="AA276" s="148" t="str">
        <f>IFERROR(IF(Datos[[#This Row],[Precio / Millar (Norwork)]]&lt;&gt;"",PRODUCT(Datos[[#This Row],[Precio / Millar (Norwork)]]/1000,Datos[[#This Row],[DEMANDA ANUAL]]),""),"")</f>
        <v/>
      </c>
      <c r="AB27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76" s="148" t="str">
        <f>IFERROR(IF(Datos[[#This Row],[Precio / Millar (Norwork)]]&lt;&gt;"",SUM(Datos[[#This Row],[Ingresos Totales (Norwork)]],-Datos[[#This Row],[Costos Totales (Norwork)]]),""),"")</f>
        <v/>
      </c>
      <c r="AD276" s="153" t="str">
        <f>IFERROR(Datos[[#This Row],[Beneficio (Norwork)]]/Datos[[#This Row],[Ingresos Totales (Norwork)]],"")</f>
        <v/>
      </c>
    </row>
    <row r="277" spans="2:30" x14ac:dyDescent="0.3">
      <c r="B277" s="145" t="s">
        <v>495</v>
      </c>
      <c r="C277" s="145" t="s">
        <v>922</v>
      </c>
      <c r="D277" s="145"/>
      <c r="E277" s="145"/>
      <c r="G277" s="149">
        <v>668</v>
      </c>
      <c r="H277" s="144"/>
      <c r="W277" s="148" t="s">
        <v>298</v>
      </c>
      <c r="X277" s="148" t="str">
        <f>IFERROR(Datos[[#This Row],[ARIBA PRECIO POR MILLAR (Dólares)]]/1000*Datos[[#This Row],[DEMANDA ANUAL]],"")</f>
        <v/>
      </c>
      <c r="Y277" s="153" t="str">
        <f>IFERROR((Datos[[#This Row],[INGRESO PRECIO ARIBA]]-Datos[[#This Row],[Costos Totales (Norwork)]])/Datos[[#This Row],[INGRESO PRECIO ARIBA]],"")</f>
        <v/>
      </c>
      <c r="Z277" s="148" t="str">
        <f>IFERROR(IF(Datos[[#This Row],[CON ETIQUETA]]="No",VALORHOJA(Datos[[#This Row],[NP]],$B$44),VALORHOJA(Datos[[#This Row],[NP]],$D$44)),"")</f>
        <v/>
      </c>
      <c r="AA277" s="148" t="str">
        <f>IFERROR(IF(Datos[[#This Row],[Precio / Millar (Norwork)]]&lt;&gt;"",PRODUCT(Datos[[#This Row],[Precio / Millar (Norwork)]]/1000,Datos[[#This Row],[DEMANDA ANUAL]]),""),"")</f>
        <v/>
      </c>
      <c r="AB27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77" s="148" t="str">
        <f>IFERROR(IF(Datos[[#This Row],[Precio / Millar (Norwork)]]&lt;&gt;"",SUM(Datos[[#This Row],[Ingresos Totales (Norwork)]],-Datos[[#This Row],[Costos Totales (Norwork)]]),""),"")</f>
        <v/>
      </c>
      <c r="AD277" s="153" t="str">
        <f>IFERROR(Datos[[#This Row],[Beneficio (Norwork)]]/Datos[[#This Row],[Ingresos Totales (Norwork)]],"")</f>
        <v/>
      </c>
    </row>
    <row r="278" spans="2:30" x14ac:dyDescent="0.3">
      <c r="B278" s="145" t="s">
        <v>552</v>
      </c>
      <c r="C278" s="145" t="s">
        <v>977</v>
      </c>
      <c r="D278" s="145"/>
      <c r="E278" s="145"/>
      <c r="G278" s="149">
        <v>660</v>
      </c>
      <c r="H278" s="144"/>
      <c r="W278" s="148" t="s">
        <v>298</v>
      </c>
      <c r="X278" s="148" t="str">
        <f>IFERROR(Datos[[#This Row],[ARIBA PRECIO POR MILLAR (Dólares)]]/1000*Datos[[#This Row],[DEMANDA ANUAL]],"")</f>
        <v/>
      </c>
      <c r="Y278" s="153" t="str">
        <f>IFERROR((Datos[[#This Row],[INGRESO PRECIO ARIBA]]-Datos[[#This Row],[Costos Totales (Norwork)]])/Datos[[#This Row],[INGRESO PRECIO ARIBA]],"")</f>
        <v/>
      </c>
      <c r="Z278" s="148" t="str">
        <f>IFERROR(IF(Datos[[#This Row],[CON ETIQUETA]]="No",VALORHOJA(Datos[[#This Row],[NP]],$B$44),VALORHOJA(Datos[[#This Row],[NP]],$D$44)),"")</f>
        <v/>
      </c>
      <c r="AA278" s="148" t="str">
        <f>IFERROR(IF(Datos[[#This Row],[Precio / Millar (Norwork)]]&lt;&gt;"",PRODUCT(Datos[[#This Row],[Precio / Millar (Norwork)]]/1000,Datos[[#This Row],[DEMANDA ANUAL]]),""),"")</f>
        <v/>
      </c>
      <c r="AB27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78" s="148" t="str">
        <f>IFERROR(IF(Datos[[#This Row],[Precio / Millar (Norwork)]]&lt;&gt;"",SUM(Datos[[#This Row],[Ingresos Totales (Norwork)]],-Datos[[#This Row],[Costos Totales (Norwork)]]),""),"")</f>
        <v/>
      </c>
      <c r="AD278" s="153" t="str">
        <f>IFERROR(Datos[[#This Row],[Beneficio (Norwork)]]/Datos[[#This Row],[Ingresos Totales (Norwork)]],"")</f>
        <v/>
      </c>
    </row>
    <row r="279" spans="2:30" x14ac:dyDescent="0.3">
      <c r="B279" s="145" t="s">
        <v>641</v>
      </c>
      <c r="C279" s="145" t="s">
        <v>1064</v>
      </c>
      <c r="D279" s="145"/>
      <c r="E279" s="145"/>
      <c r="G279" s="149">
        <v>643</v>
      </c>
      <c r="H279" s="144"/>
      <c r="W279" s="148" t="s">
        <v>298</v>
      </c>
      <c r="X279" s="148" t="str">
        <f>IFERROR(Datos[[#This Row],[ARIBA PRECIO POR MILLAR (Dólares)]]/1000*Datos[[#This Row],[DEMANDA ANUAL]],"")</f>
        <v/>
      </c>
      <c r="Y279" s="153" t="str">
        <f>IFERROR((Datos[[#This Row],[INGRESO PRECIO ARIBA]]-Datos[[#This Row],[Costos Totales (Norwork)]])/Datos[[#This Row],[INGRESO PRECIO ARIBA]],"")</f>
        <v/>
      </c>
      <c r="Z279" s="148" t="str">
        <f>IFERROR(IF(Datos[[#This Row],[CON ETIQUETA]]="No",VALORHOJA(Datos[[#This Row],[NP]],$B$44),VALORHOJA(Datos[[#This Row],[NP]],$D$44)),"")</f>
        <v/>
      </c>
      <c r="AA279" s="148" t="str">
        <f>IFERROR(IF(Datos[[#This Row],[Precio / Millar (Norwork)]]&lt;&gt;"",PRODUCT(Datos[[#This Row],[Precio / Millar (Norwork)]]/1000,Datos[[#This Row],[DEMANDA ANUAL]]),""),"")</f>
        <v/>
      </c>
      <c r="AB27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79" s="148" t="str">
        <f>IFERROR(IF(Datos[[#This Row],[Precio / Millar (Norwork)]]&lt;&gt;"",SUM(Datos[[#This Row],[Ingresos Totales (Norwork)]],-Datos[[#This Row],[Costos Totales (Norwork)]]),""),"")</f>
        <v/>
      </c>
      <c r="AD279" s="153" t="str">
        <f>IFERROR(Datos[[#This Row],[Beneficio (Norwork)]]/Datos[[#This Row],[Ingresos Totales (Norwork)]],"")</f>
        <v/>
      </c>
    </row>
    <row r="280" spans="2:30" x14ac:dyDescent="0.3">
      <c r="B280" s="145" t="s">
        <v>643</v>
      </c>
      <c r="C280" s="145" t="s">
        <v>1066</v>
      </c>
      <c r="D280" s="145"/>
      <c r="E280" s="145"/>
      <c r="G280" s="149">
        <v>620</v>
      </c>
      <c r="H280" s="144"/>
      <c r="W280" s="148" t="s">
        <v>298</v>
      </c>
      <c r="X280" s="148" t="str">
        <f>IFERROR(Datos[[#This Row],[ARIBA PRECIO POR MILLAR (Dólares)]]/1000*Datos[[#This Row],[DEMANDA ANUAL]],"")</f>
        <v/>
      </c>
      <c r="Y280" s="153" t="str">
        <f>IFERROR((Datos[[#This Row],[INGRESO PRECIO ARIBA]]-Datos[[#This Row],[Costos Totales (Norwork)]])/Datos[[#This Row],[INGRESO PRECIO ARIBA]],"")</f>
        <v/>
      </c>
      <c r="Z280" s="148" t="str">
        <f>IFERROR(IF(Datos[[#This Row],[CON ETIQUETA]]="No",VALORHOJA(Datos[[#This Row],[NP]],$B$44),VALORHOJA(Datos[[#This Row],[NP]],$D$44)),"")</f>
        <v/>
      </c>
      <c r="AA280" s="148" t="str">
        <f>IFERROR(IF(Datos[[#This Row],[Precio / Millar (Norwork)]]&lt;&gt;"",PRODUCT(Datos[[#This Row],[Precio / Millar (Norwork)]]/1000,Datos[[#This Row],[DEMANDA ANUAL]]),""),"")</f>
        <v/>
      </c>
      <c r="AB28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80" s="148" t="str">
        <f>IFERROR(IF(Datos[[#This Row],[Precio / Millar (Norwork)]]&lt;&gt;"",SUM(Datos[[#This Row],[Ingresos Totales (Norwork)]],-Datos[[#This Row],[Costos Totales (Norwork)]]),""),"")</f>
        <v/>
      </c>
      <c r="AD280" s="153" t="str">
        <f>IFERROR(Datos[[#This Row],[Beneficio (Norwork)]]/Datos[[#This Row],[Ingresos Totales (Norwork)]],"")</f>
        <v/>
      </c>
    </row>
    <row r="281" spans="2:30" x14ac:dyDescent="0.3">
      <c r="B281" s="145" t="s">
        <v>644</v>
      </c>
      <c r="C281" s="145" t="s">
        <v>1067</v>
      </c>
      <c r="D281" s="145"/>
      <c r="E281" s="145"/>
      <c r="G281" s="149">
        <v>612</v>
      </c>
      <c r="H281" s="144"/>
      <c r="W281" s="148" t="s">
        <v>298</v>
      </c>
      <c r="X281" s="148" t="str">
        <f>IFERROR(Datos[[#This Row],[ARIBA PRECIO POR MILLAR (Dólares)]]/1000*Datos[[#This Row],[DEMANDA ANUAL]],"")</f>
        <v/>
      </c>
      <c r="Y281" s="153" t="str">
        <f>IFERROR((Datos[[#This Row],[INGRESO PRECIO ARIBA]]-Datos[[#This Row],[Costos Totales (Norwork)]])/Datos[[#This Row],[INGRESO PRECIO ARIBA]],"")</f>
        <v/>
      </c>
      <c r="Z281" s="148" t="str">
        <f>IFERROR(IF(Datos[[#This Row],[CON ETIQUETA]]="No",VALORHOJA(Datos[[#This Row],[NP]],$B$44),VALORHOJA(Datos[[#This Row],[NP]],$D$44)),"")</f>
        <v/>
      </c>
      <c r="AA281" s="148" t="str">
        <f>IFERROR(IF(Datos[[#This Row],[Precio / Millar (Norwork)]]&lt;&gt;"",PRODUCT(Datos[[#This Row],[Precio / Millar (Norwork)]]/1000,Datos[[#This Row],[DEMANDA ANUAL]]),""),"")</f>
        <v/>
      </c>
      <c r="AB28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81" s="148" t="str">
        <f>IFERROR(IF(Datos[[#This Row],[Precio / Millar (Norwork)]]&lt;&gt;"",SUM(Datos[[#This Row],[Ingresos Totales (Norwork)]],-Datos[[#This Row],[Costos Totales (Norwork)]]),""),"")</f>
        <v/>
      </c>
      <c r="AD281" s="153" t="str">
        <f>IFERROR(Datos[[#This Row],[Beneficio (Norwork)]]/Datos[[#This Row],[Ingresos Totales (Norwork)]],"")</f>
        <v/>
      </c>
    </row>
    <row r="282" spans="2:30" x14ac:dyDescent="0.3">
      <c r="B282" s="145" t="s">
        <v>645</v>
      </c>
      <c r="C282" s="145" t="s">
        <v>1068</v>
      </c>
      <c r="D282" s="145"/>
      <c r="E282" s="145"/>
      <c r="G282" s="149">
        <v>610</v>
      </c>
      <c r="H282" s="144"/>
      <c r="W282" s="148" t="s">
        <v>298</v>
      </c>
      <c r="X282" s="148" t="str">
        <f>IFERROR(Datos[[#This Row],[ARIBA PRECIO POR MILLAR (Dólares)]]/1000*Datos[[#This Row],[DEMANDA ANUAL]],"")</f>
        <v/>
      </c>
      <c r="Y282" s="153" t="str">
        <f>IFERROR((Datos[[#This Row],[INGRESO PRECIO ARIBA]]-Datos[[#This Row],[Costos Totales (Norwork)]])/Datos[[#This Row],[INGRESO PRECIO ARIBA]],"")</f>
        <v/>
      </c>
      <c r="Z282" s="148" t="str">
        <f>IFERROR(IF(Datos[[#This Row],[CON ETIQUETA]]="No",VALORHOJA(Datos[[#This Row],[NP]],$B$44),VALORHOJA(Datos[[#This Row],[NP]],$D$44)),"")</f>
        <v/>
      </c>
      <c r="AA282" s="148" t="str">
        <f>IFERROR(IF(Datos[[#This Row],[Precio / Millar (Norwork)]]&lt;&gt;"",PRODUCT(Datos[[#This Row],[Precio / Millar (Norwork)]]/1000,Datos[[#This Row],[DEMANDA ANUAL]]),""),"")</f>
        <v/>
      </c>
      <c r="AB28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82" s="148" t="str">
        <f>IFERROR(IF(Datos[[#This Row],[Precio / Millar (Norwork)]]&lt;&gt;"",SUM(Datos[[#This Row],[Ingresos Totales (Norwork)]],-Datos[[#This Row],[Costos Totales (Norwork)]]),""),"")</f>
        <v/>
      </c>
      <c r="AD282" s="153" t="str">
        <f>IFERROR(Datos[[#This Row],[Beneficio (Norwork)]]/Datos[[#This Row],[Ingresos Totales (Norwork)]],"")</f>
        <v/>
      </c>
    </row>
    <row r="283" spans="2:30" x14ac:dyDescent="0.3">
      <c r="B283" s="145" t="s">
        <v>610</v>
      </c>
      <c r="C283" s="145" t="s">
        <v>1034</v>
      </c>
      <c r="D283" s="145"/>
      <c r="E283" s="145"/>
      <c r="G283" s="149">
        <v>608</v>
      </c>
      <c r="H283" s="144"/>
      <c r="W283" s="148" t="s">
        <v>298</v>
      </c>
      <c r="X283" s="148" t="str">
        <f>IFERROR(Datos[[#This Row],[ARIBA PRECIO POR MILLAR (Dólares)]]/1000*Datos[[#This Row],[DEMANDA ANUAL]],"")</f>
        <v/>
      </c>
      <c r="Y283" s="153" t="str">
        <f>IFERROR((Datos[[#This Row],[INGRESO PRECIO ARIBA]]-Datos[[#This Row],[Costos Totales (Norwork)]])/Datos[[#This Row],[INGRESO PRECIO ARIBA]],"")</f>
        <v/>
      </c>
      <c r="Z283" s="148" t="str">
        <f>IFERROR(IF(Datos[[#This Row],[CON ETIQUETA]]="No",VALORHOJA(Datos[[#This Row],[NP]],$B$44),VALORHOJA(Datos[[#This Row],[NP]],$D$44)),"")</f>
        <v/>
      </c>
      <c r="AA283" s="148" t="str">
        <f>IFERROR(IF(Datos[[#This Row],[Precio / Millar (Norwork)]]&lt;&gt;"",PRODUCT(Datos[[#This Row],[Precio / Millar (Norwork)]]/1000,Datos[[#This Row],[DEMANDA ANUAL]]),""),"")</f>
        <v/>
      </c>
      <c r="AB28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83" s="148" t="str">
        <f>IFERROR(IF(Datos[[#This Row],[Precio / Millar (Norwork)]]&lt;&gt;"",SUM(Datos[[#This Row],[Ingresos Totales (Norwork)]],-Datos[[#This Row],[Costos Totales (Norwork)]]),""),"")</f>
        <v/>
      </c>
      <c r="AD283" s="153" t="str">
        <f>IFERROR(Datos[[#This Row],[Beneficio (Norwork)]]/Datos[[#This Row],[Ingresos Totales (Norwork)]],"")</f>
        <v/>
      </c>
    </row>
    <row r="284" spans="2:30" x14ac:dyDescent="0.3">
      <c r="B284" s="145" t="s">
        <v>557</v>
      </c>
      <c r="C284" s="145" t="s">
        <v>981</v>
      </c>
      <c r="D284" s="145"/>
      <c r="E284" s="145"/>
      <c r="G284" s="149">
        <v>601</v>
      </c>
      <c r="H284" s="144"/>
      <c r="W284" s="148" t="s">
        <v>298</v>
      </c>
      <c r="X284" s="148" t="str">
        <f>IFERROR(Datos[[#This Row],[ARIBA PRECIO POR MILLAR (Dólares)]]/1000*Datos[[#This Row],[DEMANDA ANUAL]],"")</f>
        <v/>
      </c>
      <c r="Y284" s="153" t="str">
        <f>IFERROR((Datos[[#This Row],[INGRESO PRECIO ARIBA]]-Datos[[#This Row],[Costos Totales (Norwork)]])/Datos[[#This Row],[INGRESO PRECIO ARIBA]],"")</f>
        <v/>
      </c>
      <c r="Z284" s="148" t="str">
        <f>IFERROR(IF(Datos[[#This Row],[CON ETIQUETA]]="No",VALORHOJA(Datos[[#This Row],[NP]],$B$44),VALORHOJA(Datos[[#This Row],[NP]],$D$44)),"")</f>
        <v/>
      </c>
      <c r="AA284" s="148" t="str">
        <f>IFERROR(IF(Datos[[#This Row],[Precio / Millar (Norwork)]]&lt;&gt;"",PRODUCT(Datos[[#This Row],[Precio / Millar (Norwork)]]/1000,Datos[[#This Row],[DEMANDA ANUAL]]),""),"")</f>
        <v/>
      </c>
      <c r="AB28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84" s="148" t="str">
        <f>IFERROR(IF(Datos[[#This Row],[Precio / Millar (Norwork)]]&lt;&gt;"",SUM(Datos[[#This Row],[Ingresos Totales (Norwork)]],-Datos[[#This Row],[Costos Totales (Norwork)]]),""),"")</f>
        <v/>
      </c>
      <c r="AD284" s="153" t="str">
        <f>IFERROR(Datos[[#This Row],[Beneficio (Norwork)]]/Datos[[#This Row],[Ingresos Totales (Norwork)]],"")</f>
        <v/>
      </c>
    </row>
    <row r="285" spans="2:30" x14ac:dyDescent="0.3">
      <c r="B285" s="145" t="s">
        <v>612</v>
      </c>
      <c r="C285" s="145" t="s">
        <v>1036</v>
      </c>
      <c r="D285" s="145"/>
      <c r="E285" s="145"/>
      <c r="G285" s="149">
        <v>576</v>
      </c>
      <c r="H285" s="144"/>
      <c r="W285" s="148" t="s">
        <v>298</v>
      </c>
      <c r="X285" s="148" t="str">
        <f>IFERROR(Datos[[#This Row],[ARIBA PRECIO POR MILLAR (Dólares)]]/1000*Datos[[#This Row],[DEMANDA ANUAL]],"")</f>
        <v/>
      </c>
      <c r="Y285" s="153" t="str">
        <f>IFERROR((Datos[[#This Row],[INGRESO PRECIO ARIBA]]-Datos[[#This Row],[Costos Totales (Norwork)]])/Datos[[#This Row],[INGRESO PRECIO ARIBA]],"")</f>
        <v/>
      </c>
      <c r="Z285" s="148" t="str">
        <f>IFERROR(IF(Datos[[#This Row],[CON ETIQUETA]]="No",VALORHOJA(Datos[[#This Row],[NP]],$B$44),VALORHOJA(Datos[[#This Row],[NP]],$D$44)),"")</f>
        <v/>
      </c>
      <c r="AA285" s="148" t="str">
        <f>IFERROR(IF(Datos[[#This Row],[Precio / Millar (Norwork)]]&lt;&gt;"",PRODUCT(Datos[[#This Row],[Precio / Millar (Norwork)]]/1000,Datos[[#This Row],[DEMANDA ANUAL]]),""),"")</f>
        <v/>
      </c>
      <c r="AB28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85" s="148" t="str">
        <f>IFERROR(IF(Datos[[#This Row],[Precio / Millar (Norwork)]]&lt;&gt;"",SUM(Datos[[#This Row],[Ingresos Totales (Norwork)]],-Datos[[#This Row],[Costos Totales (Norwork)]]),""),"")</f>
        <v/>
      </c>
      <c r="AD285" s="153" t="str">
        <f>IFERROR(Datos[[#This Row],[Beneficio (Norwork)]]/Datos[[#This Row],[Ingresos Totales (Norwork)]],"")</f>
        <v/>
      </c>
    </row>
    <row r="286" spans="2:30" x14ac:dyDescent="0.3">
      <c r="B286" s="145" t="s">
        <v>649</v>
      </c>
      <c r="C286" s="145" t="s">
        <v>1072</v>
      </c>
      <c r="D286" s="145"/>
      <c r="E286" s="145"/>
      <c r="G286" s="149">
        <v>576</v>
      </c>
      <c r="H286" s="144"/>
      <c r="W286" s="148" t="s">
        <v>298</v>
      </c>
      <c r="X286" s="148" t="str">
        <f>IFERROR(Datos[[#This Row],[ARIBA PRECIO POR MILLAR (Dólares)]]/1000*Datos[[#This Row],[DEMANDA ANUAL]],"")</f>
        <v/>
      </c>
      <c r="Y286" s="153" t="str">
        <f>IFERROR((Datos[[#This Row],[INGRESO PRECIO ARIBA]]-Datos[[#This Row],[Costos Totales (Norwork)]])/Datos[[#This Row],[INGRESO PRECIO ARIBA]],"")</f>
        <v/>
      </c>
      <c r="Z286" s="148" t="str">
        <f>IFERROR(IF(Datos[[#This Row],[CON ETIQUETA]]="No",VALORHOJA(Datos[[#This Row],[NP]],$B$44),VALORHOJA(Datos[[#This Row],[NP]],$D$44)),"")</f>
        <v/>
      </c>
      <c r="AA286" s="148" t="str">
        <f>IFERROR(IF(Datos[[#This Row],[Precio / Millar (Norwork)]]&lt;&gt;"",PRODUCT(Datos[[#This Row],[Precio / Millar (Norwork)]]/1000,Datos[[#This Row],[DEMANDA ANUAL]]),""),"")</f>
        <v/>
      </c>
      <c r="AB28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86" s="148" t="str">
        <f>IFERROR(IF(Datos[[#This Row],[Precio / Millar (Norwork)]]&lt;&gt;"",SUM(Datos[[#This Row],[Ingresos Totales (Norwork)]],-Datos[[#This Row],[Costos Totales (Norwork)]]),""),"")</f>
        <v/>
      </c>
      <c r="AD286" s="153" t="str">
        <f>IFERROR(Datos[[#This Row],[Beneficio (Norwork)]]/Datos[[#This Row],[Ingresos Totales (Norwork)]],"")</f>
        <v/>
      </c>
    </row>
    <row r="287" spans="2:30" x14ac:dyDescent="0.3">
      <c r="B287" s="145" t="s">
        <v>650</v>
      </c>
      <c r="C287" s="145" t="s">
        <v>1073</v>
      </c>
      <c r="D287" s="145"/>
      <c r="E287" s="145"/>
      <c r="G287" s="149">
        <v>575</v>
      </c>
      <c r="H287" s="144"/>
      <c r="W287" s="148" t="s">
        <v>298</v>
      </c>
      <c r="X287" s="148" t="str">
        <f>IFERROR(Datos[[#This Row],[ARIBA PRECIO POR MILLAR (Dólares)]]/1000*Datos[[#This Row],[DEMANDA ANUAL]],"")</f>
        <v/>
      </c>
      <c r="Y287" s="153" t="str">
        <f>IFERROR((Datos[[#This Row],[INGRESO PRECIO ARIBA]]-Datos[[#This Row],[Costos Totales (Norwork)]])/Datos[[#This Row],[INGRESO PRECIO ARIBA]],"")</f>
        <v/>
      </c>
      <c r="Z287" s="148" t="str">
        <f>IFERROR(IF(Datos[[#This Row],[CON ETIQUETA]]="No",VALORHOJA(Datos[[#This Row],[NP]],$B$44),VALORHOJA(Datos[[#This Row],[NP]],$D$44)),"")</f>
        <v/>
      </c>
      <c r="AA287" s="148" t="str">
        <f>IFERROR(IF(Datos[[#This Row],[Precio / Millar (Norwork)]]&lt;&gt;"",PRODUCT(Datos[[#This Row],[Precio / Millar (Norwork)]]/1000,Datos[[#This Row],[DEMANDA ANUAL]]),""),"")</f>
        <v/>
      </c>
      <c r="AB28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87" s="148" t="str">
        <f>IFERROR(IF(Datos[[#This Row],[Precio / Millar (Norwork)]]&lt;&gt;"",SUM(Datos[[#This Row],[Ingresos Totales (Norwork)]],-Datos[[#This Row],[Costos Totales (Norwork)]]),""),"")</f>
        <v/>
      </c>
      <c r="AD287" s="153" t="str">
        <f>IFERROR(Datos[[#This Row],[Beneficio (Norwork)]]/Datos[[#This Row],[Ingresos Totales (Norwork)]],"")</f>
        <v/>
      </c>
    </row>
    <row r="288" spans="2:30" x14ac:dyDescent="0.3">
      <c r="B288" s="145" t="s">
        <v>651</v>
      </c>
      <c r="C288" s="145" t="s">
        <v>1074</v>
      </c>
      <c r="D288" s="145"/>
      <c r="E288" s="145"/>
      <c r="G288" s="149">
        <v>568</v>
      </c>
      <c r="H288" s="144"/>
      <c r="W288" s="148" t="s">
        <v>298</v>
      </c>
      <c r="X288" s="148" t="str">
        <f>IFERROR(Datos[[#This Row],[ARIBA PRECIO POR MILLAR (Dólares)]]/1000*Datos[[#This Row],[DEMANDA ANUAL]],"")</f>
        <v/>
      </c>
      <c r="Y288" s="153" t="str">
        <f>IFERROR((Datos[[#This Row],[INGRESO PRECIO ARIBA]]-Datos[[#This Row],[Costos Totales (Norwork)]])/Datos[[#This Row],[INGRESO PRECIO ARIBA]],"")</f>
        <v/>
      </c>
      <c r="Z288" s="148" t="str">
        <f>IFERROR(IF(Datos[[#This Row],[CON ETIQUETA]]="No",VALORHOJA(Datos[[#This Row],[NP]],$B$44),VALORHOJA(Datos[[#This Row],[NP]],$D$44)),"")</f>
        <v/>
      </c>
      <c r="AA288" s="148" t="str">
        <f>IFERROR(IF(Datos[[#This Row],[Precio / Millar (Norwork)]]&lt;&gt;"",PRODUCT(Datos[[#This Row],[Precio / Millar (Norwork)]]/1000,Datos[[#This Row],[DEMANDA ANUAL]]),""),"")</f>
        <v/>
      </c>
      <c r="AB28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88" s="148" t="str">
        <f>IFERROR(IF(Datos[[#This Row],[Precio / Millar (Norwork)]]&lt;&gt;"",SUM(Datos[[#This Row],[Ingresos Totales (Norwork)]],-Datos[[#This Row],[Costos Totales (Norwork)]]),""),"")</f>
        <v/>
      </c>
      <c r="AD288" s="153" t="str">
        <f>IFERROR(Datos[[#This Row],[Beneficio (Norwork)]]/Datos[[#This Row],[Ingresos Totales (Norwork)]],"")</f>
        <v/>
      </c>
    </row>
    <row r="289" spans="2:30" x14ac:dyDescent="0.3">
      <c r="B289" s="145" t="s">
        <v>652</v>
      </c>
      <c r="C289" s="145" t="s">
        <v>1075</v>
      </c>
      <c r="D289" s="145"/>
      <c r="E289" s="145"/>
      <c r="G289" s="149">
        <v>560</v>
      </c>
      <c r="H289" s="144"/>
      <c r="W289" s="148" t="s">
        <v>298</v>
      </c>
      <c r="X289" s="148" t="str">
        <f>IFERROR(Datos[[#This Row],[ARIBA PRECIO POR MILLAR (Dólares)]]/1000*Datos[[#This Row],[DEMANDA ANUAL]],"")</f>
        <v/>
      </c>
      <c r="Y289" s="153" t="str">
        <f>IFERROR((Datos[[#This Row],[INGRESO PRECIO ARIBA]]-Datos[[#This Row],[Costos Totales (Norwork)]])/Datos[[#This Row],[INGRESO PRECIO ARIBA]],"")</f>
        <v/>
      </c>
      <c r="Z289" s="148" t="str">
        <f>IFERROR(IF(Datos[[#This Row],[CON ETIQUETA]]="No",VALORHOJA(Datos[[#This Row],[NP]],$B$44),VALORHOJA(Datos[[#This Row],[NP]],$D$44)),"")</f>
        <v/>
      </c>
      <c r="AA289" s="148" t="str">
        <f>IFERROR(IF(Datos[[#This Row],[Precio / Millar (Norwork)]]&lt;&gt;"",PRODUCT(Datos[[#This Row],[Precio / Millar (Norwork)]]/1000,Datos[[#This Row],[DEMANDA ANUAL]]),""),"")</f>
        <v/>
      </c>
      <c r="AB28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89" s="148" t="str">
        <f>IFERROR(IF(Datos[[#This Row],[Precio / Millar (Norwork)]]&lt;&gt;"",SUM(Datos[[#This Row],[Ingresos Totales (Norwork)]],-Datos[[#This Row],[Costos Totales (Norwork)]]),""),"")</f>
        <v/>
      </c>
      <c r="AD289" s="153" t="str">
        <f>IFERROR(Datos[[#This Row],[Beneficio (Norwork)]]/Datos[[#This Row],[Ingresos Totales (Norwork)]],"")</f>
        <v/>
      </c>
    </row>
    <row r="290" spans="2:30" x14ac:dyDescent="0.3">
      <c r="B290" s="145" t="s">
        <v>653</v>
      </c>
      <c r="C290" s="145" t="s">
        <v>1076</v>
      </c>
      <c r="D290" s="145"/>
      <c r="E290" s="145"/>
      <c r="G290" s="149">
        <v>553</v>
      </c>
      <c r="H290" s="144"/>
      <c r="W290" s="148" t="s">
        <v>298</v>
      </c>
      <c r="X290" s="148" t="str">
        <f>IFERROR(Datos[[#This Row],[ARIBA PRECIO POR MILLAR (Dólares)]]/1000*Datos[[#This Row],[DEMANDA ANUAL]],"")</f>
        <v/>
      </c>
      <c r="Y290" s="153" t="str">
        <f>IFERROR((Datos[[#This Row],[INGRESO PRECIO ARIBA]]-Datos[[#This Row],[Costos Totales (Norwork)]])/Datos[[#This Row],[INGRESO PRECIO ARIBA]],"")</f>
        <v/>
      </c>
      <c r="Z290" s="148" t="str">
        <f>IFERROR(IF(Datos[[#This Row],[CON ETIQUETA]]="No",VALORHOJA(Datos[[#This Row],[NP]],$B$44),VALORHOJA(Datos[[#This Row],[NP]],$D$44)),"")</f>
        <v/>
      </c>
      <c r="AA290" s="148" t="str">
        <f>IFERROR(IF(Datos[[#This Row],[Precio / Millar (Norwork)]]&lt;&gt;"",PRODUCT(Datos[[#This Row],[Precio / Millar (Norwork)]]/1000,Datos[[#This Row],[DEMANDA ANUAL]]),""),"")</f>
        <v/>
      </c>
      <c r="AB29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90" s="148" t="str">
        <f>IFERROR(IF(Datos[[#This Row],[Precio / Millar (Norwork)]]&lt;&gt;"",SUM(Datos[[#This Row],[Ingresos Totales (Norwork)]],-Datos[[#This Row],[Costos Totales (Norwork)]]),""),"")</f>
        <v/>
      </c>
      <c r="AD290" s="153" t="str">
        <f>IFERROR(Datos[[#This Row],[Beneficio (Norwork)]]/Datos[[#This Row],[Ingresos Totales (Norwork)]],"")</f>
        <v/>
      </c>
    </row>
    <row r="291" spans="2:30" x14ac:dyDescent="0.3">
      <c r="B291" s="145" t="s">
        <v>615</v>
      </c>
      <c r="C291" s="145" t="s">
        <v>1039</v>
      </c>
      <c r="D291" s="145"/>
      <c r="E291" s="145"/>
      <c r="G291" s="149">
        <v>528</v>
      </c>
      <c r="H291" s="144"/>
      <c r="W291" s="148" t="s">
        <v>298</v>
      </c>
      <c r="X291" s="148" t="str">
        <f>IFERROR(Datos[[#This Row],[ARIBA PRECIO POR MILLAR (Dólares)]]/1000*Datos[[#This Row],[DEMANDA ANUAL]],"")</f>
        <v/>
      </c>
      <c r="Y291" s="153" t="str">
        <f>IFERROR((Datos[[#This Row],[INGRESO PRECIO ARIBA]]-Datos[[#This Row],[Costos Totales (Norwork)]])/Datos[[#This Row],[INGRESO PRECIO ARIBA]],"")</f>
        <v/>
      </c>
      <c r="Z291" s="148" t="str">
        <f>IFERROR(IF(Datos[[#This Row],[CON ETIQUETA]]="No",VALORHOJA(Datos[[#This Row],[NP]],$B$44),VALORHOJA(Datos[[#This Row],[NP]],$D$44)),"")</f>
        <v/>
      </c>
      <c r="AA291" s="148" t="str">
        <f>IFERROR(IF(Datos[[#This Row],[Precio / Millar (Norwork)]]&lt;&gt;"",PRODUCT(Datos[[#This Row],[Precio / Millar (Norwork)]]/1000,Datos[[#This Row],[DEMANDA ANUAL]]),""),"")</f>
        <v/>
      </c>
      <c r="AB29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91" s="148" t="str">
        <f>IFERROR(IF(Datos[[#This Row],[Precio / Millar (Norwork)]]&lt;&gt;"",SUM(Datos[[#This Row],[Ingresos Totales (Norwork)]],-Datos[[#This Row],[Costos Totales (Norwork)]]),""),"")</f>
        <v/>
      </c>
      <c r="AD291" s="153" t="str">
        <f>IFERROR(Datos[[#This Row],[Beneficio (Norwork)]]/Datos[[#This Row],[Ingresos Totales (Norwork)]],"")</f>
        <v/>
      </c>
    </row>
    <row r="292" spans="2:30" x14ac:dyDescent="0.3">
      <c r="B292" s="145" t="s">
        <v>616</v>
      </c>
      <c r="C292" s="145" t="s">
        <v>910</v>
      </c>
      <c r="D292" s="145"/>
      <c r="E292" s="145"/>
      <c r="G292" s="149">
        <v>523</v>
      </c>
      <c r="H292" s="144"/>
      <c r="W292" s="148" t="s">
        <v>298</v>
      </c>
      <c r="X292" s="148" t="str">
        <f>IFERROR(Datos[[#This Row],[ARIBA PRECIO POR MILLAR (Dólares)]]/1000*Datos[[#This Row],[DEMANDA ANUAL]],"")</f>
        <v/>
      </c>
      <c r="Y292" s="153" t="str">
        <f>IFERROR((Datos[[#This Row],[INGRESO PRECIO ARIBA]]-Datos[[#This Row],[Costos Totales (Norwork)]])/Datos[[#This Row],[INGRESO PRECIO ARIBA]],"")</f>
        <v/>
      </c>
      <c r="Z292" s="148" t="str">
        <f>IFERROR(IF(Datos[[#This Row],[CON ETIQUETA]]="No",VALORHOJA(Datos[[#This Row],[NP]],$B$44),VALORHOJA(Datos[[#This Row],[NP]],$D$44)),"")</f>
        <v/>
      </c>
      <c r="AA292" s="148" t="str">
        <f>IFERROR(IF(Datos[[#This Row],[Precio / Millar (Norwork)]]&lt;&gt;"",PRODUCT(Datos[[#This Row],[Precio / Millar (Norwork)]]/1000,Datos[[#This Row],[DEMANDA ANUAL]]),""),"")</f>
        <v/>
      </c>
      <c r="AB29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92" s="148" t="str">
        <f>IFERROR(IF(Datos[[#This Row],[Precio / Millar (Norwork)]]&lt;&gt;"",SUM(Datos[[#This Row],[Ingresos Totales (Norwork)]],-Datos[[#This Row],[Costos Totales (Norwork)]]),""),"")</f>
        <v/>
      </c>
      <c r="AD292" s="153" t="str">
        <f>IFERROR(Datos[[#This Row],[Beneficio (Norwork)]]/Datos[[#This Row],[Ingresos Totales (Norwork)]],"")</f>
        <v/>
      </c>
    </row>
    <row r="293" spans="2:30" x14ac:dyDescent="0.3">
      <c r="B293" s="145" t="s">
        <v>656</v>
      </c>
      <c r="C293" s="145" t="s">
        <v>1079</v>
      </c>
      <c r="D293" s="145"/>
      <c r="E293" s="145"/>
      <c r="G293" s="149">
        <v>510</v>
      </c>
      <c r="H293" s="144"/>
      <c r="W293" s="148" t="s">
        <v>298</v>
      </c>
      <c r="X293" s="148" t="str">
        <f>IFERROR(Datos[[#This Row],[ARIBA PRECIO POR MILLAR (Dólares)]]/1000*Datos[[#This Row],[DEMANDA ANUAL]],"")</f>
        <v/>
      </c>
      <c r="Y293" s="153" t="str">
        <f>IFERROR((Datos[[#This Row],[INGRESO PRECIO ARIBA]]-Datos[[#This Row],[Costos Totales (Norwork)]])/Datos[[#This Row],[INGRESO PRECIO ARIBA]],"")</f>
        <v/>
      </c>
      <c r="Z293" s="148" t="str">
        <f>IFERROR(IF(Datos[[#This Row],[CON ETIQUETA]]="No",VALORHOJA(Datos[[#This Row],[NP]],$B$44),VALORHOJA(Datos[[#This Row],[NP]],$D$44)),"")</f>
        <v/>
      </c>
      <c r="AA293" s="148" t="str">
        <f>IFERROR(IF(Datos[[#This Row],[Precio / Millar (Norwork)]]&lt;&gt;"",PRODUCT(Datos[[#This Row],[Precio / Millar (Norwork)]]/1000,Datos[[#This Row],[DEMANDA ANUAL]]),""),"")</f>
        <v/>
      </c>
      <c r="AB29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93" s="148" t="str">
        <f>IFERROR(IF(Datos[[#This Row],[Precio / Millar (Norwork)]]&lt;&gt;"",SUM(Datos[[#This Row],[Ingresos Totales (Norwork)]],-Datos[[#This Row],[Costos Totales (Norwork)]]),""),"")</f>
        <v/>
      </c>
      <c r="AD293" s="153" t="str">
        <f>IFERROR(Datos[[#This Row],[Beneficio (Norwork)]]/Datos[[#This Row],[Ingresos Totales (Norwork)]],"")</f>
        <v/>
      </c>
    </row>
    <row r="294" spans="2:30" x14ac:dyDescent="0.3">
      <c r="B294" s="145" t="s">
        <v>658</v>
      </c>
      <c r="C294" s="145" t="s">
        <v>1081</v>
      </c>
      <c r="D294" s="145"/>
      <c r="E294" s="145"/>
      <c r="G294" s="149">
        <v>486</v>
      </c>
      <c r="H294" s="144"/>
      <c r="W294" s="148" t="s">
        <v>298</v>
      </c>
      <c r="X294" s="148" t="str">
        <f>IFERROR(Datos[[#This Row],[ARIBA PRECIO POR MILLAR (Dólares)]]/1000*Datos[[#This Row],[DEMANDA ANUAL]],"")</f>
        <v/>
      </c>
      <c r="Y294" s="153" t="str">
        <f>IFERROR((Datos[[#This Row],[INGRESO PRECIO ARIBA]]-Datos[[#This Row],[Costos Totales (Norwork)]])/Datos[[#This Row],[INGRESO PRECIO ARIBA]],"")</f>
        <v/>
      </c>
      <c r="Z294" s="148" t="str">
        <f>IFERROR(IF(Datos[[#This Row],[CON ETIQUETA]]="No",VALORHOJA(Datos[[#This Row],[NP]],$B$44),VALORHOJA(Datos[[#This Row],[NP]],$D$44)),"")</f>
        <v/>
      </c>
      <c r="AA294" s="148" t="str">
        <f>IFERROR(IF(Datos[[#This Row],[Precio / Millar (Norwork)]]&lt;&gt;"",PRODUCT(Datos[[#This Row],[Precio / Millar (Norwork)]]/1000,Datos[[#This Row],[DEMANDA ANUAL]]),""),"")</f>
        <v/>
      </c>
      <c r="AB29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94" s="148" t="str">
        <f>IFERROR(IF(Datos[[#This Row],[Precio / Millar (Norwork)]]&lt;&gt;"",SUM(Datos[[#This Row],[Ingresos Totales (Norwork)]],-Datos[[#This Row],[Costos Totales (Norwork)]]),""),"")</f>
        <v/>
      </c>
      <c r="AD294" s="153" t="str">
        <f>IFERROR(Datos[[#This Row],[Beneficio (Norwork)]]/Datos[[#This Row],[Ingresos Totales (Norwork)]],"")</f>
        <v/>
      </c>
    </row>
    <row r="295" spans="2:30" x14ac:dyDescent="0.3">
      <c r="B295" s="145" t="s">
        <v>659</v>
      </c>
      <c r="C295" s="145" t="s">
        <v>1082</v>
      </c>
      <c r="D295" s="145"/>
      <c r="E295" s="145"/>
      <c r="G295" s="149">
        <v>478</v>
      </c>
      <c r="H295" s="144"/>
      <c r="W295" s="148" t="s">
        <v>298</v>
      </c>
      <c r="X295" s="148" t="str">
        <f>IFERROR(Datos[[#This Row],[ARIBA PRECIO POR MILLAR (Dólares)]]/1000*Datos[[#This Row],[DEMANDA ANUAL]],"")</f>
        <v/>
      </c>
      <c r="Y295" s="153" t="str">
        <f>IFERROR((Datos[[#This Row],[INGRESO PRECIO ARIBA]]-Datos[[#This Row],[Costos Totales (Norwork)]])/Datos[[#This Row],[INGRESO PRECIO ARIBA]],"")</f>
        <v/>
      </c>
      <c r="Z295" s="148" t="str">
        <f>IFERROR(IF(Datos[[#This Row],[CON ETIQUETA]]="No",VALORHOJA(Datos[[#This Row],[NP]],$B$44),VALORHOJA(Datos[[#This Row],[NP]],$D$44)),"")</f>
        <v/>
      </c>
      <c r="AA295" s="148" t="str">
        <f>IFERROR(IF(Datos[[#This Row],[Precio / Millar (Norwork)]]&lt;&gt;"",PRODUCT(Datos[[#This Row],[Precio / Millar (Norwork)]]/1000,Datos[[#This Row],[DEMANDA ANUAL]]),""),"")</f>
        <v/>
      </c>
      <c r="AB29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95" s="148" t="str">
        <f>IFERROR(IF(Datos[[#This Row],[Precio / Millar (Norwork)]]&lt;&gt;"",SUM(Datos[[#This Row],[Ingresos Totales (Norwork)]],-Datos[[#This Row],[Costos Totales (Norwork)]]),""),"")</f>
        <v/>
      </c>
      <c r="AD295" s="153" t="str">
        <f>IFERROR(Datos[[#This Row],[Beneficio (Norwork)]]/Datos[[#This Row],[Ingresos Totales (Norwork)]],"")</f>
        <v/>
      </c>
    </row>
    <row r="296" spans="2:30" x14ac:dyDescent="0.3">
      <c r="B296" s="145" t="s">
        <v>660</v>
      </c>
      <c r="C296" s="145" t="s">
        <v>1083</v>
      </c>
      <c r="D296" s="145"/>
      <c r="E296" s="145"/>
      <c r="G296" s="149">
        <v>468</v>
      </c>
      <c r="H296" s="144"/>
      <c r="W296" s="148" t="s">
        <v>298</v>
      </c>
      <c r="X296" s="148" t="str">
        <f>IFERROR(Datos[[#This Row],[ARIBA PRECIO POR MILLAR (Dólares)]]/1000*Datos[[#This Row],[DEMANDA ANUAL]],"")</f>
        <v/>
      </c>
      <c r="Y296" s="153" t="str">
        <f>IFERROR((Datos[[#This Row],[INGRESO PRECIO ARIBA]]-Datos[[#This Row],[Costos Totales (Norwork)]])/Datos[[#This Row],[INGRESO PRECIO ARIBA]],"")</f>
        <v/>
      </c>
      <c r="Z296" s="148" t="str">
        <f>IFERROR(IF(Datos[[#This Row],[CON ETIQUETA]]="No",VALORHOJA(Datos[[#This Row],[NP]],$B$44),VALORHOJA(Datos[[#This Row],[NP]],$D$44)),"")</f>
        <v/>
      </c>
      <c r="AA296" s="148" t="str">
        <f>IFERROR(IF(Datos[[#This Row],[Precio / Millar (Norwork)]]&lt;&gt;"",PRODUCT(Datos[[#This Row],[Precio / Millar (Norwork)]]/1000,Datos[[#This Row],[DEMANDA ANUAL]]),""),"")</f>
        <v/>
      </c>
      <c r="AB29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96" s="148" t="str">
        <f>IFERROR(IF(Datos[[#This Row],[Precio / Millar (Norwork)]]&lt;&gt;"",SUM(Datos[[#This Row],[Ingresos Totales (Norwork)]],-Datos[[#This Row],[Costos Totales (Norwork)]]),""),"")</f>
        <v/>
      </c>
      <c r="AD296" s="153" t="str">
        <f>IFERROR(Datos[[#This Row],[Beneficio (Norwork)]]/Datos[[#This Row],[Ingresos Totales (Norwork)]],"")</f>
        <v/>
      </c>
    </row>
    <row r="297" spans="2:30" x14ac:dyDescent="0.3">
      <c r="B297" s="145" t="s">
        <v>574</v>
      </c>
      <c r="C297" s="178" t="s">
        <v>998</v>
      </c>
      <c r="D297" s="178"/>
      <c r="E297" s="145"/>
      <c r="G297" s="149">
        <v>450</v>
      </c>
      <c r="H297" s="144"/>
      <c r="W297" s="148" t="s">
        <v>298</v>
      </c>
      <c r="X297" s="148" t="str">
        <f>IFERROR(Datos[[#This Row],[ARIBA PRECIO POR MILLAR (Dólares)]]/1000*Datos[[#This Row],[DEMANDA ANUAL]],"")</f>
        <v/>
      </c>
      <c r="Y297" s="153" t="str">
        <f>IFERROR((Datos[[#This Row],[INGRESO PRECIO ARIBA]]-Datos[[#This Row],[Costos Totales (Norwork)]])/Datos[[#This Row],[INGRESO PRECIO ARIBA]],"")</f>
        <v/>
      </c>
      <c r="Z297" s="148" t="str">
        <f>IFERROR(IF(Datos[[#This Row],[CON ETIQUETA]]="No",VALORHOJA(Datos[[#This Row],[NP]],$B$44),VALORHOJA(Datos[[#This Row],[NP]],$D$44)),"")</f>
        <v/>
      </c>
      <c r="AA297" s="148" t="str">
        <f>IFERROR(IF(Datos[[#This Row],[Precio / Millar (Norwork)]]&lt;&gt;"",PRODUCT(Datos[[#This Row],[Precio / Millar (Norwork)]]/1000,Datos[[#This Row],[DEMANDA ANUAL]]),""),"")</f>
        <v/>
      </c>
      <c r="AB29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97" s="148" t="str">
        <f>IFERROR(IF(Datos[[#This Row],[Precio / Millar (Norwork)]]&lt;&gt;"",SUM(Datos[[#This Row],[Ingresos Totales (Norwork)]],-Datos[[#This Row],[Costos Totales (Norwork)]]),""),"")</f>
        <v/>
      </c>
      <c r="AD297" s="153" t="str">
        <f>IFERROR(Datos[[#This Row],[Beneficio (Norwork)]]/Datos[[#This Row],[Ingresos Totales (Norwork)]],"")</f>
        <v/>
      </c>
    </row>
    <row r="298" spans="2:30" x14ac:dyDescent="0.3">
      <c r="B298" s="145" t="s">
        <v>590</v>
      </c>
      <c r="C298" s="145" t="s">
        <v>1014</v>
      </c>
      <c r="D298" s="145"/>
      <c r="E298" s="145"/>
      <c r="G298" s="149">
        <v>450</v>
      </c>
      <c r="H298" s="144"/>
      <c r="W298" s="148" t="s">
        <v>298</v>
      </c>
      <c r="X298" s="148" t="str">
        <f>IFERROR(Datos[[#This Row],[ARIBA PRECIO POR MILLAR (Dólares)]]/1000*Datos[[#This Row],[DEMANDA ANUAL]],"")</f>
        <v/>
      </c>
      <c r="Y298" s="153" t="str">
        <f>IFERROR((Datos[[#This Row],[INGRESO PRECIO ARIBA]]-Datos[[#This Row],[Costos Totales (Norwork)]])/Datos[[#This Row],[INGRESO PRECIO ARIBA]],"")</f>
        <v/>
      </c>
      <c r="Z298" s="148" t="str">
        <f>IFERROR(IF(Datos[[#This Row],[CON ETIQUETA]]="No",VALORHOJA(Datos[[#This Row],[NP]],$B$44),VALORHOJA(Datos[[#This Row],[NP]],$D$44)),"")</f>
        <v/>
      </c>
      <c r="AA298" s="148" t="str">
        <f>IFERROR(IF(Datos[[#This Row],[Precio / Millar (Norwork)]]&lt;&gt;"",PRODUCT(Datos[[#This Row],[Precio / Millar (Norwork)]]/1000,Datos[[#This Row],[DEMANDA ANUAL]]),""),"")</f>
        <v/>
      </c>
      <c r="AB29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98" s="148" t="str">
        <f>IFERROR(IF(Datos[[#This Row],[Precio / Millar (Norwork)]]&lt;&gt;"",SUM(Datos[[#This Row],[Ingresos Totales (Norwork)]],-Datos[[#This Row],[Costos Totales (Norwork)]]),""),"")</f>
        <v/>
      </c>
      <c r="AD298" s="153" t="str">
        <f>IFERROR(Datos[[#This Row],[Beneficio (Norwork)]]/Datos[[#This Row],[Ingresos Totales (Norwork)]],"")</f>
        <v/>
      </c>
    </row>
    <row r="299" spans="2:30" x14ac:dyDescent="0.3">
      <c r="B299" s="145" t="s">
        <v>591</v>
      </c>
      <c r="C299" s="145" t="s">
        <v>1015</v>
      </c>
      <c r="D299" s="145"/>
      <c r="E299" s="145"/>
      <c r="G299" s="149">
        <v>449</v>
      </c>
      <c r="H299" s="144"/>
      <c r="W299" s="148" t="s">
        <v>298</v>
      </c>
      <c r="X299" s="148" t="str">
        <f>IFERROR(Datos[[#This Row],[ARIBA PRECIO POR MILLAR (Dólares)]]/1000*Datos[[#This Row],[DEMANDA ANUAL]],"")</f>
        <v/>
      </c>
      <c r="Y299" s="153" t="str">
        <f>IFERROR((Datos[[#This Row],[INGRESO PRECIO ARIBA]]-Datos[[#This Row],[Costos Totales (Norwork)]])/Datos[[#This Row],[INGRESO PRECIO ARIBA]],"")</f>
        <v/>
      </c>
      <c r="Z299" s="148" t="str">
        <f>IFERROR(IF(Datos[[#This Row],[CON ETIQUETA]]="No",VALORHOJA(Datos[[#This Row],[NP]],$B$44),VALORHOJA(Datos[[#This Row],[NP]],$D$44)),"")</f>
        <v/>
      </c>
      <c r="AA299" s="148" t="str">
        <f>IFERROR(IF(Datos[[#This Row],[Precio / Millar (Norwork)]]&lt;&gt;"",PRODUCT(Datos[[#This Row],[Precio / Millar (Norwork)]]/1000,Datos[[#This Row],[DEMANDA ANUAL]]),""),"")</f>
        <v/>
      </c>
      <c r="AB29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299" s="148" t="str">
        <f>IFERROR(IF(Datos[[#This Row],[Precio / Millar (Norwork)]]&lt;&gt;"",SUM(Datos[[#This Row],[Ingresos Totales (Norwork)]],-Datos[[#This Row],[Costos Totales (Norwork)]]),""),"")</f>
        <v/>
      </c>
      <c r="AD299" s="153" t="str">
        <f>IFERROR(Datos[[#This Row],[Beneficio (Norwork)]]/Datos[[#This Row],[Ingresos Totales (Norwork)]],"")</f>
        <v/>
      </c>
    </row>
    <row r="300" spans="2:30" x14ac:dyDescent="0.3">
      <c r="B300" s="145" t="s">
        <v>577</v>
      </c>
      <c r="C300" s="178" t="s">
        <v>1001</v>
      </c>
      <c r="D300" s="178"/>
      <c r="E300" s="145"/>
      <c r="G300" s="149">
        <v>439</v>
      </c>
      <c r="H300" s="144"/>
      <c r="W300" s="148" t="s">
        <v>298</v>
      </c>
      <c r="X300" s="148" t="str">
        <f>IFERROR(Datos[[#This Row],[ARIBA PRECIO POR MILLAR (Dólares)]]/1000*Datos[[#This Row],[DEMANDA ANUAL]],"")</f>
        <v/>
      </c>
      <c r="Y300" s="153" t="str">
        <f>IFERROR((Datos[[#This Row],[INGRESO PRECIO ARIBA]]-Datos[[#This Row],[Costos Totales (Norwork)]])/Datos[[#This Row],[INGRESO PRECIO ARIBA]],"")</f>
        <v/>
      </c>
      <c r="Z300" s="148" t="str">
        <f>IFERROR(IF(Datos[[#This Row],[CON ETIQUETA]]="No",VALORHOJA(Datos[[#This Row],[NP]],$B$44),VALORHOJA(Datos[[#This Row],[NP]],$D$44)),"")</f>
        <v/>
      </c>
      <c r="AA300" s="148" t="str">
        <f>IFERROR(IF(Datos[[#This Row],[Precio / Millar (Norwork)]]&lt;&gt;"",PRODUCT(Datos[[#This Row],[Precio / Millar (Norwork)]]/1000,Datos[[#This Row],[DEMANDA ANUAL]]),""),"")</f>
        <v/>
      </c>
      <c r="AB30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00" s="148" t="str">
        <f>IFERROR(IF(Datos[[#This Row],[Precio / Millar (Norwork)]]&lt;&gt;"",SUM(Datos[[#This Row],[Ingresos Totales (Norwork)]],-Datos[[#This Row],[Costos Totales (Norwork)]]),""),"")</f>
        <v/>
      </c>
      <c r="AD300" s="153" t="str">
        <f>IFERROR(Datos[[#This Row],[Beneficio (Norwork)]]/Datos[[#This Row],[Ingresos Totales (Norwork)]],"")</f>
        <v/>
      </c>
    </row>
    <row r="301" spans="2:30" x14ac:dyDescent="0.3">
      <c r="B301" s="145" t="s">
        <v>623</v>
      </c>
      <c r="C301" s="145" t="s">
        <v>1046</v>
      </c>
      <c r="D301" s="145"/>
      <c r="E301" s="145"/>
      <c r="G301" s="149">
        <v>433</v>
      </c>
      <c r="H301" s="144"/>
      <c r="W301" s="148" t="s">
        <v>298</v>
      </c>
      <c r="X301" s="148" t="str">
        <f>IFERROR(Datos[[#This Row],[ARIBA PRECIO POR MILLAR (Dólares)]]/1000*Datos[[#This Row],[DEMANDA ANUAL]],"")</f>
        <v/>
      </c>
      <c r="Y301" s="153" t="str">
        <f>IFERROR((Datos[[#This Row],[INGRESO PRECIO ARIBA]]-Datos[[#This Row],[Costos Totales (Norwork)]])/Datos[[#This Row],[INGRESO PRECIO ARIBA]],"")</f>
        <v/>
      </c>
      <c r="Z301" s="148" t="str">
        <f>IFERROR(IF(Datos[[#This Row],[CON ETIQUETA]]="No",VALORHOJA(Datos[[#This Row],[NP]],$B$44),VALORHOJA(Datos[[#This Row],[NP]],$D$44)),"")</f>
        <v/>
      </c>
      <c r="AA301" s="148" t="str">
        <f>IFERROR(IF(Datos[[#This Row],[Precio / Millar (Norwork)]]&lt;&gt;"",PRODUCT(Datos[[#This Row],[Precio / Millar (Norwork)]]/1000,Datos[[#This Row],[DEMANDA ANUAL]]),""),"")</f>
        <v/>
      </c>
      <c r="AB30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01" s="148" t="str">
        <f>IFERROR(IF(Datos[[#This Row],[Precio / Millar (Norwork)]]&lt;&gt;"",SUM(Datos[[#This Row],[Ingresos Totales (Norwork)]],-Datos[[#This Row],[Costos Totales (Norwork)]]),""),"")</f>
        <v/>
      </c>
      <c r="AD301" s="153" t="str">
        <f>IFERROR(Datos[[#This Row],[Beneficio (Norwork)]]/Datos[[#This Row],[Ingresos Totales (Norwork)]],"")</f>
        <v/>
      </c>
    </row>
    <row r="302" spans="2:30" x14ac:dyDescent="0.3">
      <c r="B302" s="145" t="s">
        <v>627</v>
      </c>
      <c r="C302" s="145" t="s">
        <v>1050</v>
      </c>
      <c r="D302" s="145"/>
      <c r="E302" s="145"/>
      <c r="G302" s="149">
        <v>416</v>
      </c>
      <c r="H302" s="144"/>
      <c r="W302" s="148" t="s">
        <v>298</v>
      </c>
      <c r="X302" s="148" t="str">
        <f>IFERROR(Datos[[#This Row],[ARIBA PRECIO POR MILLAR (Dólares)]]/1000*Datos[[#This Row],[DEMANDA ANUAL]],"")</f>
        <v/>
      </c>
      <c r="Y302" s="153" t="str">
        <f>IFERROR((Datos[[#This Row],[INGRESO PRECIO ARIBA]]-Datos[[#This Row],[Costos Totales (Norwork)]])/Datos[[#This Row],[INGRESO PRECIO ARIBA]],"")</f>
        <v/>
      </c>
      <c r="Z302" s="148" t="str">
        <f>IFERROR(IF(Datos[[#This Row],[CON ETIQUETA]]="No",VALORHOJA(Datos[[#This Row],[NP]],$B$44),VALORHOJA(Datos[[#This Row],[NP]],$D$44)),"")</f>
        <v/>
      </c>
      <c r="AA302" s="148" t="str">
        <f>IFERROR(IF(Datos[[#This Row],[Precio / Millar (Norwork)]]&lt;&gt;"",PRODUCT(Datos[[#This Row],[Precio / Millar (Norwork)]]/1000,Datos[[#This Row],[DEMANDA ANUAL]]),""),"")</f>
        <v/>
      </c>
      <c r="AB30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02" s="148" t="str">
        <f>IFERROR(IF(Datos[[#This Row],[Precio / Millar (Norwork)]]&lt;&gt;"",SUM(Datos[[#This Row],[Ingresos Totales (Norwork)]],-Datos[[#This Row],[Costos Totales (Norwork)]]),""),"")</f>
        <v/>
      </c>
      <c r="AD302" s="153" t="str">
        <f>IFERROR(Datos[[#This Row],[Beneficio (Norwork)]]/Datos[[#This Row],[Ingresos Totales (Norwork)]],"")</f>
        <v/>
      </c>
    </row>
    <row r="303" spans="2:30" x14ac:dyDescent="0.3">
      <c r="B303" s="145" t="s">
        <v>598</v>
      </c>
      <c r="C303" s="145" t="s">
        <v>1022</v>
      </c>
      <c r="D303" s="145"/>
      <c r="E303" s="145"/>
      <c r="G303" s="149">
        <v>400</v>
      </c>
      <c r="H303" s="144"/>
      <c r="W303" s="148" t="s">
        <v>298</v>
      </c>
      <c r="X303" s="148" t="str">
        <f>IFERROR(Datos[[#This Row],[ARIBA PRECIO POR MILLAR (Dólares)]]/1000*Datos[[#This Row],[DEMANDA ANUAL]],"")</f>
        <v/>
      </c>
      <c r="Y303" s="153" t="str">
        <f>IFERROR((Datos[[#This Row],[INGRESO PRECIO ARIBA]]-Datos[[#This Row],[Costos Totales (Norwork)]])/Datos[[#This Row],[INGRESO PRECIO ARIBA]],"")</f>
        <v/>
      </c>
      <c r="Z303" s="148" t="str">
        <f>IFERROR(IF(Datos[[#This Row],[CON ETIQUETA]]="No",VALORHOJA(Datos[[#This Row],[NP]],$B$44),VALORHOJA(Datos[[#This Row],[NP]],$D$44)),"")</f>
        <v/>
      </c>
      <c r="AA303" s="148" t="str">
        <f>IFERROR(IF(Datos[[#This Row],[Precio / Millar (Norwork)]]&lt;&gt;"",PRODUCT(Datos[[#This Row],[Precio / Millar (Norwork)]]/1000,Datos[[#This Row],[DEMANDA ANUAL]]),""),"")</f>
        <v/>
      </c>
      <c r="AB30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03" s="148" t="str">
        <f>IFERROR(IF(Datos[[#This Row],[Precio / Millar (Norwork)]]&lt;&gt;"",SUM(Datos[[#This Row],[Ingresos Totales (Norwork)]],-Datos[[#This Row],[Costos Totales (Norwork)]]),""),"")</f>
        <v/>
      </c>
      <c r="AD303" s="153" t="str">
        <f>IFERROR(Datos[[#This Row],[Beneficio (Norwork)]]/Datos[[#This Row],[Ingresos Totales (Norwork)]],"")</f>
        <v/>
      </c>
    </row>
    <row r="304" spans="2:30" x14ac:dyDescent="0.3">
      <c r="B304" s="145" t="s">
        <v>622</v>
      </c>
      <c r="C304" s="145" t="s">
        <v>1045</v>
      </c>
      <c r="D304" s="145"/>
      <c r="E304" s="145"/>
      <c r="G304" s="149">
        <v>394</v>
      </c>
      <c r="H304" s="144"/>
      <c r="W304" s="148" t="s">
        <v>298</v>
      </c>
      <c r="X304" s="148" t="str">
        <f>IFERROR(Datos[[#This Row],[ARIBA PRECIO POR MILLAR (Dólares)]]/1000*Datos[[#This Row],[DEMANDA ANUAL]],"")</f>
        <v/>
      </c>
      <c r="Y304" s="153" t="str">
        <f>IFERROR((Datos[[#This Row],[INGRESO PRECIO ARIBA]]-Datos[[#This Row],[Costos Totales (Norwork)]])/Datos[[#This Row],[INGRESO PRECIO ARIBA]],"")</f>
        <v/>
      </c>
      <c r="Z304" s="148" t="str">
        <f>IFERROR(IF(Datos[[#This Row],[CON ETIQUETA]]="No",VALORHOJA(Datos[[#This Row],[NP]],$B$44),VALORHOJA(Datos[[#This Row],[NP]],$D$44)),"")</f>
        <v/>
      </c>
      <c r="AA304" s="148" t="str">
        <f>IFERROR(IF(Datos[[#This Row],[Precio / Millar (Norwork)]]&lt;&gt;"",PRODUCT(Datos[[#This Row],[Precio / Millar (Norwork)]]/1000,Datos[[#This Row],[DEMANDA ANUAL]]),""),"")</f>
        <v/>
      </c>
      <c r="AB30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04" s="148" t="str">
        <f>IFERROR(IF(Datos[[#This Row],[Precio / Millar (Norwork)]]&lt;&gt;"",SUM(Datos[[#This Row],[Ingresos Totales (Norwork)]],-Datos[[#This Row],[Costos Totales (Norwork)]]),""),"")</f>
        <v/>
      </c>
      <c r="AD304" s="153" t="str">
        <f>IFERROR(Datos[[#This Row],[Beneficio (Norwork)]]/Datos[[#This Row],[Ingresos Totales (Norwork)]],"")</f>
        <v/>
      </c>
    </row>
    <row r="305" spans="2:30" x14ac:dyDescent="0.3">
      <c r="B305" s="145" t="s">
        <v>600</v>
      </c>
      <c r="C305" s="145" t="s">
        <v>1024</v>
      </c>
      <c r="D305" s="145"/>
      <c r="E305" s="145"/>
      <c r="G305" s="149">
        <v>392</v>
      </c>
      <c r="H305" s="144"/>
      <c r="W305" s="148" t="s">
        <v>298</v>
      </c>
      <c r="X305" s="148" t="str">
        <f>IFERROR(Datos[[#This Row],[ARIBA PRECIO POR MILLAR (Dólares)]]/1000*Datos[[#This Row],[DEMANDA ANUAL]],"")</f>
        <v/>
      </c>
      <c r="Y305" s="153" t="str">
        <f>IFERROR((Datos[[#This Row],[INGRESO PRECIO ARIBA]]-Datos[[#This Row],[Costos Totales (Norwork)]])/Datos[[#This Row],[INGRESO PRECIO ARIBA]],"")</f>
        <v/>
      </c>
      <c r="Z305" s="148" t="str">
        <f>IFERROR(IF(Datos[[#This Row],[CON ETIQUETA]]="No",VALORHOJA(Datos[[#This Row],[NP]],$B$44),VALORHOJA(Datos[[#This Row],[NP]],$D$44)),"")</f>
        <v/>
      </c>
      <c r="AA305" s="148" t="str">
        <f>IFERROR(IF(Datos[[#This Row],[Precio / Millar (Norwork)]]&lt;&gt;"",PRODUCT(Datos[[#This Row],[Precio / Millar (Norwork)]]/1000,Datos[[#This Row],[DEMANDA ANUAL]]),""),"")</f>
        <v/>
      </c>
      <c r="AB30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05" s="148" t="str">
        <f>IFERROR(IF(Datos[[#This Row],[Precio / Millar (Norwork)]]&lt;&gt;"",SUM(Datos[[#This Row],[Ingresos Totales (Norwork)]],-Datos[[#This Row],[Costos Totales (Norwork)]]),""),"")</f>
        <v/>
      </c>
      <c r="AD305" s="153" t="str">
        <f>IFERROR(Datos[[#This Row],[Beneficio (Norwork)]]/Datos[[#This Row],[Ingresos Totales (Norwork)]],"")</f>
        <v/>
      </c>
    </row>
    <row r="306" spans="2:30" x14ac:dyDescent="0.3">
      <c r="B306" s="145" t="s">
        <v>664</v>
      </c>
      <c r="C306" s="145" t="s">
        <v>1087</v>
      </c>
      <c r="D306" s="145"/>
      <c r="E306" s="145"/>
      <c r="G306" s="149">
        <v>387</v>
      </c>
      <c r="H306" s="144"/>
      <c r="W306" s="148" t="s">
        <v>298</v>
      </c>
      <c r="X306" s="148" t="str">
        <f>IFERROR(Datos[[#This Row],[ARIBA PRECIO POR MILLAR (Dólares)]]/1000*Datos[[#This Row],[DEMANDA ANUAL]],"")</f>
        <v/>
      </c>
      <c r="Y306" s="153" t="str">
        <f>IFERROR((Datos[[#This Row],[INGRESO PRECIO ARIBA]]-Datos[[#This Row],[Costos Totales (Norwork)]])/Datos[[#This Row],[INGRESO PRECIO ARIBA]],"")</f>
        <v/>
      </c>
      <c r="Z306" s="148" t="str">
        <f>IFERROR(IF(Datos[[#This Row],[CON ETIQUETA]]="No",VALORHOJA(Datos[[#This Row],[NP]],$B$44),VALORHOJA(Datos[[#This Row],[NP]],$D$44)),"")</f>
        <v/>
      </c>
      <c r="AA306" s="148" t="str">
        <f>IFERROR(IF(Datos[[#This Row],[Precio / Millar (Norwork)]]&lt;&gt;"",PRODUCT(Datos[[#This Row],[Precio / Millar (Norwork)]]/1000,Datos[[#This Row],[DEMANDA ANUAL]]),""),"")</f>
        <v/>
      </c>
      <c r="AB30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06" s="148" t="str">
        <f>IFERROR(IF(Datos[[#This Row],[Precio / Millar (Norwork)]]&lt;&gt;"",SUM(Datos[[#This Row],[Ingresos Totales (Norwork)]],-Datos[[#This Row],[Costos Totales (Norwork)]]),""),"")</f>
        <v/>
      </c>
      <c r="AD306" s="153" t="str">
        <f>IFERROR(Datos[[#This Row],[Beneficio (Norwork)]]/Datos[[#This Row],[Ingresos Totales (Norwork)]],"")</f>
        <v/>
      </c>
    </row>
    <row r="307" spans="2:30" x14ac:dyDescent="0.3">
      <c r="B307" s="145" t="s">
        <v>631</v>
      </c>
      <c r="C307" s="145" t="s">
        <v>1054</v>
      </c>
      <c r="D307" s="145"/>
      <c r="E307" s="145"/>
      <c r="G307" s="149">
        <v>383</v>
      </c>
      <c r="H307" s="144"/>
      <c r="W307" s="148" t="s">
        <v>298</v>
      </c>
      <c r="X307" s="148" t="str">
        <f>IFERROR(Datos[[#This Row],[ARIBA PRECIO POR MILLAR (Dólares)]]/1000*Datos[[#This Row],[DEMANDA ANUAL]],"")</f>
        <v/>
      </c>
      <c r="Y307" s="153" t="str">
        <f>IFERROR((Datos[[#This Row],[INGRESO PRECIO ARIBA]]-Datos[[#This Row],[Costos Totales (Norwork)]])/Datos[[#This Row],[INGRESO PRECIO ARIBA]],"")</f>
        <v/>
      </c>
      <c r="Z307" s="148" t="str">
        <f>IFERROR(IF(Datos[[#This Row],[CON ETIQUETA]]="No",VALORHOJA(Datos[[#This Row],[NP]],$B$44),VALORHOJA(Datos[[#This Row],[NP]],$D$44)),"")</f>
        <v/>
      </c>
      <c r="AA307" s="148" t="str">
        <f>IFERROR(IF(Datos[[#This Row],[Precio / Millar (Norwork)]]&lt;&gt;"",PRODUCT(Datos[[#This Row],[Precio / Millar (Norwork)]]/1000,Datos[[#This Row],[DEMANDA ANUAL]]),""),"")</f>
        <v/>
      </c>
      <c r="AB30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07" s="148" t="str">
        <f>IFERROR(IF(Datos[[#This Row],[Precio / Millar (Norwork)]]&lt;&gt;"",SUM(Datos[[#This Row],[Ingresos Totales (Norwork)]],-Datos[[#This Row],[Costos Totales (Norwork)]]),""),"")</f>
        <v/>
      </c>
      <c r="AD307" s="153" t="str">
        <f>IFERROR(Datos[[#This Row],[Beneficio (Norwork)]]/Datos[[#This Row],[Ingresos Totales (Norwork)]],"")</f>
        <v/>
      </c>
    </row>
    <row r="308" spans="2:30" x14ac:dyDescent="0.3">
      <c r="B308" s="145" t="s">
        <v>634</v>
      </c>
      <c r="C308" s="145" t="s">
        <v>1057</v>
      </c>
      <c r="D308" s="145"/>
      <c r="E308" s="145"/>
      <c r="G308" s="149">
        <v>368</v>
      </c>
      <c r="H308" s="144"/>
      <c r="W308" s="148" t="s">
        <v>298</v>
      </c>
      <c r="X308" s="148" t="str">
        <f>IFERROR(Datos[[#This Row],[ARIBA PRECIO POR MILLAR (Dólares)]]/1000*Datos[[#This Row],[DEMANDA ANUAL]],"")</f>
        <v/>
      </c>
      <c r="Y308" s="153" t="str">
        <f>IFERROR((Datos[[#This Row],[INGRESO PRECIO ARIBA]]-Datos[[#This Row],[Costos Totales (Norwork)]])/Datos[[#This Row],[INGRESO PRECIO ARIBA]],"")</f>
        <v/>
      </c>
      <c r="Z308" s="148" t="str">
        <f>IFERROR(IF(Datos[[#This Row],[CON ETIQUETA]]="No",VALORHOJA(Datos[[#This Row],[NP]],$B$44),VALORHOJA(Datos[[#This Row],[NP]],$D$44)),"")</f>
        <v/>
      </c>
      <c r="AA308" s="148" t="str">
        <f>IFERROR(IF(Datos[[#This Row],[Precio / Millar (Norwork)]]&lt;&gt;"",PRODUCT(Datos[[#This Row],[Precio / Millar (Norwork)]]/1000,Datos[[#This Row],[DEMANDA ANUAL]]),""),"")</f>
        <v/>
      </c>
      <c r="AB30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08" s="148" t="str">
        <f>IFERROR(IF(Datos[[#This Row],[Precio / Millar (Norwork)]]&lt;&gt;"",SUM(Datos[[#This Row],[Ingresos Totales (Norwork)]],-Datos[[#This Row],[Costos Totales (Norwork)]]),""),"")</f>
        <v/>
      </c>
      <c r="AD308" s="153" t="str">
        <f>IFERROR(Datos[[#This Row],[Beneficio (Norwork)]]/Datos[[#This Row],[Ingresos Totales (Norwork)]],"")</f>
        <v/>
      </c>
    </row>
    <row r="309" spans="2:30" x14ac:dyDescent="0.3">
      <c r="B309" s="145" t="s">
        <v>666</v>
      </c>
      <c r="C309" s="145" t="s">
        <v>1089</v>
      </c>
      <c r="D309" s="145"/>
      <c r="E309" s="145"/>
      <c r="G309" s="149">
        <v>360</v>
      </c>
      <c r="H309" s="144"/>
      <c r="W309" s="148" t="s">
        <v>298</v>
      </c>
      <c r="X309" s="148" t="str">
        <f>IFERROR(Datos[[#This Row],[ARIBA PRECIO POR MILLAR (Dólares)]]/1000*Datos[[#This Row],[DEMANDA ANUAL]],"")</f>
        <v/>
      </c>
      <c r="Y309" s="153" t="str">
        <f>IFERROR((Datos[[#This Row],[INGRESO PRECIO ARIBA]]-Datos[[#This Row],[Costos Totales (Norwork)]])/Datos[[#This Row],[INGRESO PRECIO ARIBA]],"")</f>
        <v/>
      </c>
      <c r="Z309" s="148" t="str">
        <f>IFERROR(IF(Datos[[#This Row],[CON ETIQUETA]]="No",VALORHOJA(Datos[[#This Row],[NP]],$B$44),VALORHOJA(Datos[[#This Row],[NP]],$D$44)),"")</f>
        <v/>
      </c>
      <c r="AA309" s="148" t="str">
        <f>IFERROR(IF(Datos[[#This Row],[Precio / Millar (Norwork)]]&lt;&gt;"",PRODUCT(Datos[[#This Row],[Precio / Millar (Norwork)]]/1000,Datos[[#This Row],[DEMANDA ANUAL]]),""),"")</f>
        <v/>
      </c>
      <c r="AB30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09" s="148" t="str">
        <f>IFERROR(IF(Datos[[#This Row],[Precio / Millar (Norwork)]]&lt;&gt;"",SUM(Datos[[#This Row],[Ingresos Totales (Norwork)]],-Datos[[#This Row],[Costos Totales (Norwork)]]),""),"")</f>
        <v/>
      </c>
      <c r="AD309" s="153" t="str">
        <f>IFERROR(Datos[[#This Row],[Beneficio (Norwork)]]/Datos[[#This Row],[Ingresos Totales (Norwork)]],"")</f>
        <v/>
      </c>
    </row>
    <row r="310" spans="2:30" x14ac:dyDescent="0.3">
      <c r="B310" s="145" t="s">
        <v>584</v>
      </c>
      <c r="C310" s="145" t="s">
        <v>1008</v>
      </c>
      <c r="D310" s="145"/>
      <c r="E310" s="145"/>
      <c r="G310" s="149">
        <v>359</v>
      </c>
      <c r="H310" s="144"/>
      <c r="W310" s="148" t="s">
        <v>298</v>
      </c>
      <c r="X310" s="148" t="str">
        <f>IFERROR(Datos[[#This Row],[ARIBA PRECIO POR MILLAR (Dólares)]]/1000*Datos[[#This Row],[DEMANDA ANUAL]],"")</f>
        <v/>
      </c>
      <c r="Y310" s="153" t="str">
        <f>IFERROR((Datos[[#This Row],[INGRESO PRECIO ARIBA]]-Datos[[#This Row],[Costos Totales (Norwork)]])/Datos[[#This Row],[INGRESO PRECIO ARIBA]],"")</f>
        <v/>
      </c>
      <c r="Z310" s="148" t="str">
        <f>IFERROR(IF(Datos[[#This Row],[CON ETIQUETA]]="No",VALORHOJA(Datos[[#This Row],[NP]],$B$44),VALORHOJA(Datos[[#This Row],[NP]],$D$44)),"")</f>
        <v/>
      </c>
      <c r="AA310" s="148" t="str">
        <f>IFERROR(IF(Datos[[#This Row],[Precio / Millar (Norwork)]]&lt;&gt;"",PRODUCT(Datos[[#This Row],[Precio / Millar (Norwork)]]/1000,Datos[[#This Row],[DEMANDA ANUAL]]),""),"")</f>
        <v/>
      </c>
      <c r="AB31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10" s="148" t="str">
        <f>IFERROR(IF(Datos[[#This Row],[Precio / Millar (Norwork)]]&lt;&gt;"",SUM(Datos[[#This Row],[Ingresos Totales (Norwork)]],-Datos[[#This Row],[Costos Totales (Norwork)]]),""),"")</f>
        <v/>
      </c>
      <c r="AD310" s="153" t="str">
        <f>IFERROR(Datos[[#This Row],[Beneficio (Norwork)]]/Datos[[#This Row],[Ingresos Totales (Norwork)]],"")</f>
        <v/>
      </c>
    </row>
    <row r="311" spans="2:30" x14ac:dyDescent="0.3">
      <c r="B311" s="145" t="s">
        <v>494</v>
      </c>
      <c r="C311" s="168" t="s">
        <v>921</v>
      </c>
      <c r="D311" s="168"/>
      <c r="E311" s="145"/>
      <c r="G311" s="149">
        <v>356</v>
      </c>
      <c r="H311" s="144"/>
      <c r="W311" s="148" t="s">
        <v>298</v>
      </c>
      <c r="X311" s="148" t="str">
        <f>IFERROR(Datos[[#This Row],[ARIBA PRECIO POR MILLAR (Dólares)]]/1000*Datos[[#This Row],[DEMANDA ANUAL]],"")</f>
        <v/>
      </c>
      <c r="Y311" s="153" t="str">
        <f>IFERROR((Datos[[#This Row],[INGRESO PRECIO ARIBA]]-Datos[[#This Row],[Costos Totales (Norwork)]])/Datos[[#This Row],[INGRESO PRECIO ARIBA]],"")</f>
        <v/>
      </c>
      <c r="Z311" s="148" t="str">
        <f>IFERROR(IF(Datos[[#This Row],[CON ETIQUETA]]="No",VALORHOJA(Datos[[#This Row],[NP]],$B$44),VALORHOJA(Datos[[#This Row],[NP]],$D$44)),"")</f>
        <v/>
      </c>
      <c r="AA311" s="148" t="str">
        <f>IFERROR(IF(Datos[[#This Row],[Precio / Millar (Norwork)]]&lt;&gt;"",PRODUCT(Datos[[#This Row],[Precio / Millar (Norwork)]]/1000,Datos[[#This Row],[DEMANDA ANUAL]]),""),"")</f>
        <v/>
      </c>
      <c r="AB31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11" s="148" t="str">
        <f>IFERROR(IF(Datos[[#This Row],[Precio / Millar (Norwork)]]&lt;&gt;"",SUM(Datos[[#This Row],[Ingresos Totales (Norwork)]],-Datos[[#This Row],[Costos Totales (Norwork)]]),""),"")</f>
        <v/>
      </c>
      <c r="AD311" s="153" t="str">
        <f>IFERROR(Datos[[#This Row],[Beneficio (Norwork)]]/Datos[[#This Row],[Ingresos Totales (Norwork)]],"")</f>
        <v/>
      </c>
    </row>
    <row r="312" spans="2:30" x14ac:dyDescent="0.3">
      <c r="B312" s="145" t="s">
        <v>637</v>
      </c>
      <c r="C312" s="145" t="s">
        <v>1060</v>
      </c>
      <c r="D312" s="145"/>
      <c r="E312" s="145"/>
      <c r="G312" s="149">
        <v>343</v>
      </c>
      <c r="H312" s="144"/>
      <c r="W312" s="148" t="s">
        <v>298</v>
      </c>
      <c r="X312" s="148" t="str">
        <f>IFERROR(Datos[[#This Row],[ARIBA PRECIO POR MILLAR (Dólares)]]/1000*Datos[[#This Row],[DEMANDA ANUAL]],"")</f>
        <v/>
      </c>
      <c r="Y312" s="153" t="str">
        <f>IFERROR((Datos[[#This Row],[INGRESO PRECIO ARIBA]]-Datos[[#This Row],[Costos Totales (Norwork)]])/Datos[[#This Row],[INGRESO PRECIO ARIBA]],"")</f>
        <v/>
      </c>
      <c r="Z312" s="148" t="str">
        <f>IFERROR(IF(Datos[[#This Row],[CON ETIQUETA]]="No",VALORHOJA(Datos[[#This Row],[NP]],$B$44),VALORHOJA(Datos[[#This Row],[NP]],$D$44)),"")</f>
        <v/>
      </c>
      <c r="AA312" s="148" t="str">
        <f>IFERROR(IF(Datos[[#This Row],[Precio / Millar (Norwork)]]&lt;&gt;"",PRODUCT(Datos[[#This Row],[Precio / Millar (Norwork)]]/1000,Datos[[#This Row],[DEMANDA ANUAL]]),""),"")</f>
        <v/>
      </c>
      <c r="AB31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12" s="148" t="str">
        <f>IFERROR(IF(Datos[[#This Row],[Precio / Millar (Norwork)]]&lt;&gt;"",SUM(Datos[[#This Row],[Ingresos Totales (Norwork)]],-Datos[[#This Row],[Costos Totales (Norwork)]]),""),"")</f>
        <v/>
      </c>
      <c r="AD312" s="153" t="str">
        <f>IFERROR(Datos[[#This Row],[Beneficio (Norwork)]]/Datos[[#This Row],[Ingresos Totales (Norwork)]],"")</f>
        <v/>
      </c>
    </row>
    <row r="313" spans="2:30" x14ac:dyDescent="0.3">
      <c r="B313" s="145" t="s">
        <v>575</v>
      </c>
      <c r="C313" s="178" t="s">
        <v>999</v>
      </c>
      <c r="D313" s="178"/>
      <c r="E313" s="145"/>
      <c r="G313" s="149">
        <v>336</v>
      </c>
      <c r="H313" s="144"/>
      <c r="W313" s="148" t="s">
        <v>298</v>
      </c>
      <c r="X313" s="148" t="str">
        <f>IFERROR(Datos[[#This Row],[ARIBA PRECIO POR MILLAR (Dólares)]]/1000*Datos[[#This Row],[DEMANDA ANUAL]],"")</f>
        <v/>
      </c>
      <c r="Y313" s="153" t="str">
        <f>IFERROR((Datos[[#This Row],[INGRESO PRECIO ARIBA]]-Datos[[#This Row],[Costos Totales (Norwork)]])/Datos[[#This Row],[INGRESO PRECIO ARIBA]],"")</f>
        <v/>
      </c>
      <c r="Z313" s="148" t="str">
        <f>IFERROR(IF(Datos[[#This Row],[CON ETIQUETA]]="No",VALORHOJA(Datos[[#This Row],[NP]],$B$44),VALORHOJA(Datos[[#This Row],[NP]],$D$44)),"")</f>
        <v/>
      </c>
      <c r="AA313" s="148" t="str">
        <f>IFERROR(IF(Datos[[#This Row],[Precio / Millar (Norwork)]]&lt;&gt;"",PRODUCT(Datos[[#This Row],[Precio / Millar (Norwork)]]/1000,Datos[[#This Row],[DEMANDA ANUAL]]),""),"")</f>
        <v/>
      </c>
      <c r="AB31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13" s="148" t="str">
        <f>IFERROR(IF(Datos[[#This Row],[Precio / Millar (Norwork)]]&lt;&gt;"",SUM(Datos[[#This Row],[Ingresos Totales (Norwork)]],-Datos[[#This Row],[Costos Totales (Norwork)]]),""),"")</f>
        <v/>
      </c>
      <c r="AD313" s="153" t="str">
        <f>IFERROR(Datos[[#This Row],[Beneficio (Norwork)]]/Datos[[#This Row],[Ingresos Totales (Norwork)]],"")</f>
        <v/>
      </c>
    </row>
    <row r="314" spans="2:30" x14ac:dyDescent="0.3">
      <c r="B314" s="145" t="s">
        <v>638</v>
      </c>
      <c r="C314" s="145" t="s">
        <v>1061</v>
      </c>
      <c r="D314" s="145"/>
      <c r="E314" s="145"/>
      <c r="G314" s="149">
        <v>336</v>
      </c>
      <c r="H314" s="144"/>
      <c r="W314" s="148" t="s">
        <v>298</v>
      </c>
      <c r="X314" s="148" t="str">
        <f>IFERROR(Datos[[#This Row],[ARIBA PRECIO POR MILLAR (Dólares)]]/1000*Datos[[#This Row],[DEMANDA ANUAL]],"")</f>
        <v/>
      </c>
      <c r="Y314" s="153" t="str">
        <f>IFERROR((Datos[[#This Row],[INGRESO PRECIO ARIBA]]-Datos[[#This Row],[Costos Totales (Norwork)]])/Datos[[#This Row],[INGRESO PRECIO ARIBA]],"")</f>
        <v/>
      </c>
      <c r="Z314" s="148" t="str">
        <f>IFERROR(IF(Datos[[#This Row],[CON ETIQUETA]]="No",VALORHOJA(Datos[[#This Row],[NP]],$B$44),VALORHOJA(Datos[[#This Row],[NP]],$D$44)),"")</f>
        <v/>
      </c>
      <c r="AA314" s="148" t="str">
        <f>IFERROR(IF(Datos[[#This Row],[Precio / Millar (Norwork)]]&lt;&gt;"",PRODUCT(Datos[[#This Row],[Precio / Millar (Norwork)]]/1000,Datos[[#This Row],[DEMANDA ANUAL]]),""),"")</f>
        <v/>
      </c>
      <c r="AB31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14" s="148" t="str">
        <f>IFERROR(IF(Datos[[#This Row],[Precio / Millar (Norwork)]]&lt;&gt;"",SUM(Datos[[#This Row],[Ingresos Totales (Norwork)]],-Datos[[#This Row],[Costos Totales (Norwork)]]),""),"")</f>
        <v/>
      </c>
      <c r="AD314" s="153" t="str">
        <f>IFERROR(Datos[[#This Row],[Beneficio (Norwork)]]/Datos[[#This Row],[Ingresos Totales (Norwork)]],"")</f>
        <v/>
      </c>
    </row>
    <row r="315" spans="2:30" x14ac:dyDescent="0.3">
      <c r="B315" s="145" t="s">
        <v>662</v>
      </c>
      <c r="C315" s="145" t="s">
        <v>1085</v>
      </c>
      <c r="D315" s="145"/>
      <c r="E315" s="145"/>
      <c r="G315" s="149">
        <v>336</v>
      </c>
      <c r="H315" s="144"/>
      <c r="W315" s="148" t="s">
        <v>298</v>
      </c>
      <c r="X315" s="148" t="str">
        <f>IFERROR(Datos[[#This Row],[ARIBA PRECIO POR MILLAR (Dólares)]]/1000*Datos[[#This Row],[DEMANDA ANUAL]],"")</f>
        <v/>
      </c>
      <c r="Y315" s="153" t="str">
        <f>IFERROR((Datos[[#This Row],[INGRESO PRECIO ARIBA]]-Datos[[#This Row],[Costos Totales (Norwork)]])/Datos[[#This Row],[INGRESO PRECIO ARIBA]],"")</f>
        <v/>
      </c>
      <c r="Z315" s="148" t="str">
        <f>IFERROR(IF(Datos[[#This Row],[CON ETIQUETA]]="No",VALORHOJA(Datos[[#This Row],[NP]],$B$44),VALORHOJA(Datos[[#This Row],[NP]],$D$44)),"")</f>
        <v/>
      </c>
      <c r="AA315" s="148" t="str">
        <f>IFERROR(IF(Datos[[#This Row],[Precio / Millar (Norwork)]]&lt;&gt;"",PRODUCT(Datos[[#This Row],[Precio / Millar (Norwork)]]/1000,Datos[[#This Row],[DEMANDA ANUAL]]),""),"")</f>
        <v/>
      </c>
      <c r="AB31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15" s="148" t="str">
        <f>IFERROR(IF(Datos[[#This Row],[Precio / Millar (Norwork)]]&lt;&gt;"",SUM(Datos[[#This Row],[Ingresos Totales (Norwork)]],-Datos[[#This Row],[Costos Totales (Norwork)]]),""),"")</f>
        <v/>
      </c>
      <c r="AD315" s="153" t="str">
        <f>IFERROR(Datos[[#This Row],[Beneficio (Norwork)]]/Datos[[#This Row],[Ingresos Totales (Norwork)]],"")</f>
        <v/>
      </c>
    </row>
    <row r="316" spans="2:30" x14ac:dyDescent="0.3">
      <c r="B316" s="145" t="s">
        <v>551</v>
      </c>
      <c r="C316" s="145" t="s">
        <v>976</v>
      </c>
      <c r="D316" s="145"/>
      <c r="E316" s="145"/>
      <c r="G316" s="149">
        <v>335</v>
      </c>
      <c r="H316" s="144"/>
      <c r="W316" s="148" t="s">
        <v>298</v>
      </c>
      <c r="X316" s="148" t="str">
        <f>IFERROR(Datos[[#This Row],[ARIBA PRECIO POR MILLAR (Dólares)]]/1000*Datos[[#This Row],[DEMANDA ANUAL]],"")</f>
        <v/>
      </c>
      <c r="Y316" s="153" t="str">
        <f>IFERROR((Datos[[#This Row],[INGRESO PRECIO ARIBA]]-Datos[[#This Row],[Costos Totales (Norwork)]])/Datos[[#This Row],[INGRESO PRECIO ARIBA]],"")</f>
        <v/>
      </c>
      <c r="Z316" s="148" t="str">
        <f>IFERROR(IF(Datos[[#This Row],[CON ETIQUETA]]="No",VALORHOJA(Datos[[#This Row],[NP]],$B$44),VALORHOJA(Datos[[#This Row],[NP]],$D$44)),"")</f>
        <v/>
      </c>
      <c r="AA316" s="148" t="str">
        <f>IFERROR(IF(Datos[[#This Row],[Precio / Millar (Norwork)]]&lt;&gt;"",PRODUCT(Datos[[#This Row],[Precio / Millar (Norwork)]]/1000,Datos[[#This Row],[DEMANDA ANUAL]]),""),"")</f>
        <v/>
      </c>
      <c r="AB31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16" s="148" t="str">
        <f>IFERROR(IF(Datos[[#This Row],[Precio / Millar (Norwork)]]&lt;&gt;"",SUM(Datos[[#This Row],[Ingresos Totales (Norwork)]],-Datos[[#This Row],[Costos Totales (Norwork)]]),""),"")</f>
        <v/>
      </c>
      <c r="AD316" s="153" t="str">
        <f>IFERROR(Datos[[#This Row],[Beneficio (Norwork)]]/Datos[[#This Row],[Ingresos Totales (Norwork)]],"")</f>
        <v/>
      </c>
    </row>
    <row r="317" spans="2:30" x14ac:dyDescent="0.3">
      <c r="B317" s="145" t="s">
        <v>670</v>
      </c>
      <c r="C317" s="145" t="s">
        <v>1093</v>
      </c>
      <c r="D317" s="145"/>
      <c r="E317" s="145"/>
      <c r="G317" s="149">
        <v>332</v>
      </c>
      <c r="H317" s="144"/>
      <c r="W317" s="148" t="s">
        <v>298</v>
      </c>
      <c r="X317" s="148" t="str">
        <f>IFERROR(Datos[[#This Row],[ARIBA PRECIO POR MILLAR (Dólares)]]/1000*Datos[[#This Row],[DEMANDA ANUAL]],"")</f>
        <v/>
      </c>
      <c r="Y317" s="153" t="str">
        <f>IFERROR((Datos[[#This Row],[INGRESO PRECIO ARIBA]]-Datos[[#This Row],[Costos Totales (Norwork)]])/Datos[[#This Row],[INGRESO PRECIO ARIBA]],"")</f>
        <v/>
      </c>
      <c r="Z317" s="148" t="str">
        <f>IFERROR(IF(Datos[[#This Row],[CON ETIQUETA]]="No",VALORHOJA(Datos[[#This Row],[NP]],$B$44),VALORHOJA(Datos[[#This Row],[NP]],$D$44)),"")</f>
        <v/>
      </c>
      <c r="AA317" s="148" t="str">
        <f>IFERROR(IF(Datos[[#This Row],[Precio / Millar (Norwork)]]&lt;&gt;"",PRODUCT(Datos[[#This Row],[Precio / Millar (Norwork)]]/1000,Datos[[#This Row],[DEMANDA ANUAL]]),""),"")</f>
        <v/>
      </c>
      <c r="AB31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17" s="148" t="str">
        <f>IFERROR(IF(Datos[[#This Row],[Precio / Millar (Norwork)]]&lt;&gt;"",SUM(Datos[[#This Row],[Ingresos Totales (Norwork)]],-Datos[[#This Row],[Costos Totales (Norwork)]]),""),"")</f>
        <v/>
      </c>
      <c r="AD317" s="153" t="str">
        <f>IFERROR(Datos[[#This Row],[Beneficio (Norwork)]]/Datos[[#This Row],[Ingresos Totales (Norwork)]],"")</f>
        <v/>
      </c>
    </row>
    <row r="318" spans="2:30" x14ac:dyDescent="0.3">
      <c r="B318" s="145" t="s">
        <v>604</v>
      </c>
      <c r="C318" s="145" t="s">
        <v>1028</v>
      </c>
      <c r="D318" s="145"/>
      <c r="E318" s="145"/>
      <c r="G318" s="149">
        <v>330</v>
      </c>
      <c r="H318" s="144"/>
      <c r="W318" s="148" t="s">
        <v>298</v>
      </c>
      <c r="X318" s="148" t="str">
        <f>IFERROR(Datos[[#This Row],[ARIBA PRECIO POR MILLAR (Dólares)]]/1000*Datos[[#This Row],[DEMANDA ANUAL]],"")</f>
        <v/>
      </c>
      <c r="Y318" s="153" t="str">
        <f>IFERROR((Datos[[#This Row],[INGRESO PRECIO ARIBA]]-Datos[[#This Row],[Costos Totales (Norwork)]])/Datos[[#This Row],[INGRESO PRECIO ARIBA]],"")</f>
        <v/>
      </c>
      <c r="Z318" s="148" t="str">
        <f>IFERROR(IF(Datos[[#This Row],[CON ETIQUETA]]="No",VALORHOJA(Datos[[#This Row],[NP]],$B$44),VALORHOJA(Datos[[#This Row],[NP]],$D$44)),"")</f>
        <v/>
      </c>
      <c r="AA318" s="148" t="str">
        <f>IFERROR(IF(Datos[[#This Row],[Precio / Millar (Norwork)]]&lt;&gt;"",PRODUCT(Datos[[#This Row],[Precio / Millar (Norwork)]]/1000,Datos[[#This Row],[DEMANDA ANUAL]]),""),"")</f>
        <v/>
      </c>
      <c r="AB31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18" s="148" t="str">
        <f>IFERROR(IF(Datos[[#This Row],[Precio / Millar (Norwork)]]&lt;&gt;"",SUM(Datos[[#This Row],[Ingresos Totales (Norwork)]],-Datos[[#This Row],[Costos Totales (Norwork)]]),""),"")</f>
        <v/>
      </c>
      <c r="AD318" s="153" t="str">
        <f>IFERROR(Datos[[#This Row],[Beneficio (Norwork)]]/Datos[[#This Row],[Ingresos Totales (Norwork)]],"")</f>
        <v/>
      </c>
    </row>
    <row r="319" spans="2:30" x14ac:dyDescent="0.3">
      <c r="B319" s="145" t="s">
        <v>605</v>
      </c>
      <c r="C319" s="145" t="s">
        <v>1029</v>
      </c>
      <c r="D319" s="145"/>
      <c r="E319" s="145"/>
      <c r="G319" s="149">
        <v>325</v>
      </c>
      <c r="H319" s="144"/>
      <c r="W319" s="148" t="s">
        <v>298</v>
      </c>
      <c r="X319" s="148" t="str">
        <f>IFERROR(Datos[[#This Row],[ARIBA PRECIO POR MILLAR (Dólares)]]/1000*Datos[[#This Row],[DEMANDA ANUAL]],"")</f>
        <v/>
      </c>
      <c r="Y319" s="153" t="str">
        <f>IFERROR((Datos[[#This Row],[INGRESO PRECIO ARIBA]]-Datos[[#This Row],[Costos Totales (Norwork)]])/Datos[[#This Row],[INGRESO PRECIO ARIBA]],"")</f>
        <v/>
      </c>
      <c r="Z319" s="148" t="str">
        <f>IFERROR(IF(Datos[[#This Row],[CON ETIQUETA]]="No",VALORHOJA(Datos[[#This Row],[NP]],$B$44),VALORHOJA(Datos[[#This Row],[NP]],$D$44)),"")</f>
        <v/>
      </c>
      <c r="AA319" s="148" t="str">
        <f>IFERROR(IF(Datos[[#This Row],[Precio / Millar (Norwork)]]&lt;&gt;"",PRODUCT(Datos[[#This Row],[Precio / Millar (Norwork)]]/1000,Datos[[#This Row],[DEMANDA ANUAL]]),""),"")</f>
        <v/>
      </c>
      <c r="AB31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19" s="148" t="str">
        <f>IFERROR(IF(Datos[[#This Row],[Precio / Millar (Norwork)]]&lt;&gt;"",SUM(Datos[[#This Row],[Ingresos Totales (Norwork)]],-Datos[[#This Row],[Costos Totales (Norwork)]]),""),"")</f>
        <v/>
      </c>
      <c r="AD319" s="153" t="str">
        <f>IFERROR(Datos[[#This Row],[Beneficio (Norwork)]]/Datos[[#This Row],[Ingresos Totales (Norwork)]],"")</f>
        <v/>
      </c>
    </row>
    <row r="320" spans="2:30" x14ac:dyDescent="0.3">
      <c r="B320" s="145" t="s">
        <v>640</v>
      </c>
      <c r="C320" s="145" t="s">
        <v>1063</v>
      </c>
      <c r="D320" s="145"/>
      <c r="E320" s="145"/>
      <c r="G320" s="149">
        <v>324</v>
      </c>
      <c r="H320" s="144"/>
      <c r="W320" s="148" t="s">
        <v>298</v>
      </c>
      <c r="X320" s="148" t="str">
        <f>IFERROR(Datos[[#This Row],[ARIBA PRECIO POR MILLAR (Dólares)]]/1000*Datos[[#This Row],[DEMANDA ANUAL]],"")</f>
        <v/>
      </c>
      <c r="Y320" s="153" t="str">
        <f>IFERROR((Datos[[#This Row],[INGRESO PRECIO ARIBA]]-Datos[[#This Row],[Costos Totales (Norwork)]])/Datos[[#This Row],[INGRESO PRECIO ARIBA]],"")</f>
        <v/>
      </c>
      <c r="Z320" s="148" t="str">
        <f>IFERROR(IF(Datos[[#This Row],[CON ETIQUETA]]="No",VALORHOJA(Datos[[#This Row],[NP]],$B$44),VALORHOJA(Datos[[#This Row],[NP]],$D$44)),"")</f>
        <v/>
      </c>
      <c r="AA320" s="148" t="str">
        <f>IFERROR(IF(Datos[[#This Row],[Precio / Millar (Norwork)]]&lt;&gt;"",PRODUCT(Datos[[#This Row],[Precio / Millar (Norwork)]]/1000,Datos[[#This Row],[DEMANDA ANUAL]]),""),"")</f>
        <v/>
      </c>
      <c r="AB32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20" s="148" t="str">
        <f>IFERROR(IF(Datos[[#This Row],[Precio / Millar (Norwork)]]&lt;&gt;"",SUM(Datos[[#This Row],[Ingresos Totales (Norwork)]],-Datos[[#This Row],[Costos Totales (Norwork)]]),""),"")</f>
        <v/>
      </c>
      <c r="AD320" s="153" t="str">
        <f>IFERROR(Datos[[#This Row],[Beneficio (Norwork)]]/Datos[[#This Row],[Ingresos Totales (Norwork)]],"")</f>
        <v/>
      </c>
    </row>
    <row r="321" spans="2:30" x14ac:dyDescent="0.3">
      <c r="B321" s="145" t="s">
        <v>504</v>
      </c>
      <c r="C321" s="145" t="s">
        <v>931</v>
      </c>
      <c r="D321" s="145"/>
      <c r="E321" s="145"/>
      <c r="G321" s="149">
        <v>320</v>
      </c>
      <c r="H321" s="144"/>
      <c r="W321" s="148" t="s">
        <v>298</v>
      </c>
      <c r="X321" s="148" t="str">
        <f>IFERROR(Datos[[#This Row],[ARIBA PRECIO POR MILLAR (Dólares)]]/1000*Datos[[#This Row],[DEMANDA ANUAL]],"")</f>
        <v/>
      </c>
      <c r="Y321" s="153" t="str">
        <f>IFERROR((Datos[[#This Row],[INGRESO PRECIO ARIBA]]-Datos[[#This Row],[Costos Totales (Norwork)]])/Datos[[#This Row],[INGRESO PRECIO ARIBA]],"")</f>
        <v/>
      </c>
      <c r="Z321" s="148" t="str">
        <f>IFERROR(IF(Datos[[#This Row],[CON ETIQUETA]]="No",VALORHOJA(Datos[[#This Row],[NP]],$B$44),VALORHOJA(Datos[[#This Row],[NP]],$D$44)),"")</f>
        <v/>
      </c>
      <c r="AA321" s="148" t="str">
        <f>IFERROR(IF(Datos[[#This Row],[Precio / Millar (Norwork)]]&lt;&gt;"",PRODUCT(Datos[[#This Row],[Precio / Millar (Norwork)]]/1000,Datos[[#This Row],[DEMANDA ANUAL]]),""),"")</f>
        <v/>
      </c>
      <c r="AB32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21" s="148" t="str">
        <f>IFERROR(IF(Datos[[#This Row],[Precio / Millar (Norwork)]]&lt;&gt;"",SUM(Datos[[#This Row],[Ingresos Totales (Norwork)]],-Datos[[#This Row],[Costos Totales (Norwork)]]),""),"")</f>
        <v/>
      </c>
      <c r="AD321" s="153" t="str">
        <f>IFERROR(Datos[[#This Row],[Beneficio (Norwork)]]/Datos[[#This Row],[Ingresos Totales (Norwork)]],"")</f>
        <v/>
      </c>
    </row>
    <row r="322" spans="2:30" x14ac:dyDescent="0.3">
      <c r="B322" s="145" t="s">
        <v>510</v>
      </c>
      <c r="C322" s="145" t="s">
        <v>937</v>
      </c>
      <c r="D322" s="145"/>
      <c r="E322" s="145"/>
      <c r="G322" s="149">
        <v>320</v>
      </c>
      <c r="H322" s="144"/>
      <c r="W322" s="148" t="s">
        <v>298</v>
      </c>
      <c r="X322" s="148" t="str">
        <f>IFERROR(Datos[[#This Row],[ARIBA PRECIO POR MILLAR (Dólares)]]/1000*Datos[[#This Row],[DEMANDA ANUAL]],"")</f>
        <v/>
      </c>
      <c r="Y322" s="153" t="str">
        <f>IFERROR((Datos[[#This Row],[INGRESO PRECIO ARIBA]]-Datos[[#This Row],[Costos Totales (Norwork)]])/Datos[[#This Row],[INGRESO PRECIO ARIBA]],"")</f>
        <v/>
      </c>
      <c r="Z322" s="148" t="str">
        <f>IFERROR(IF(Datos[[#This Row],[CON ETIQUETA]]="No",VALORHOJA(Datos[[#This Row],[NP]],$B$44),VALORHOJA(Datos[[#This Row],[NP]],$D$44)),"")</f>
        <v/>
      </c>
      <c r="AA322" s="148" t="str">
        <f>IFERROR(IF(Datos[[#This Row],[Precio / Millar (Norwork)]]&lt;&gt;"",PRODUCT(Datos[[#This Row],[Precio / Millar (Norwork)]]/1000,Datos[[#This Row],[DEMANDA ANUAL]]),""),"")</f>
        <v/>
      </c>
      <c r="AB32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22" s="148" t="str">
        <f>IFERROR(IF(Datos[[#This Row],[Precio / Millar (Norwork)]]&lt;&gt;"",SUM(Datos[[#This Row],[Ingresos Totales (Norwork)]],-Datos[[#This Row],[Costos Totales (Norwork)]]),""),"")</f>
        <v/>
      </c>
      <c r="AD322" s="153" t="str">
        <f>IFERROR(Datos[[#This Row],[Beneficio (Norwork)]]/Datos[[#This Row],[Ingresos Totales (Norwork)]],"")</f>
        <v/>
      </c>
    </row>
    <row r="323" spans="2:30" x14ac:dyDescent="0.3">
      <c r="B323" s="145" t="s">
        <v>639</v>
      </c>
      <c r="C323" s="145" t="s">
        <v>1062</v>
      </c>
      <c r="D323" s="145"/>
      <c r="E323" s="145"/>
      <c r="G323" s="149">
        <v>320</v>
      </c>
      <c r="H323" s="144"/>
      <c r="W323" s="148" t="s">
        <v>298</v>
      </c>
      <c r="X323" s="148" t="str">
        <f>IFERROR(Datos[[#This Row],[ARIBA PRECIO POR MILLAR (Dólares)]]/1000*Datos[[#This Row],[DEMANDA ANUAL]],"")</f>
        <v/>
      </c>
      <c r="Y323" s="153" t="str">
        <f>IFERROR((Datos[[#This Row],[INGRESO PRECIO ARIBA]]-Datos[[#This Row],[Costos Totales (Norwork)]])/Datos[[#This Row],[INGRESO PRECIO ARIBA]],"")</f>
        <v/>
      </c>
      <c r="Z323" s="148" t="str">
        <f>IFERROR(IF(Datos[[#This Row],[CON ETIQUETA]]="No",VALORHOJA(Datos[[#This Row],[NP]],$B$44),VALORHOJA(Datos[[#This Row],[NP]],$D$44)),"")</f>
        <v/>
      </c>
      <c r="AA323" s="148" t="str">
        <f>IFERROR(IF(Datos[[#This Row],[Precio / Millar (Norwork)]]&lt;&gt;"",PRODUCT(Datos[[#This Row],[Precio / Millar (Norwork)]]/1000,Datos[[#This Row],[DEMANDA ANUAL]]),""),"")</f>
        <v/>
      </c>
      <c r="AB32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23" s="148" t="str">
        <f>IFERROR(IF(Datos[[#This Row],[Precio / Millar (Norwork)]]&lt;&gt;"",SUM(Datos[[#This Row],[Ingresos Totales (Norwork)]],-Datos[[#This Row],[Costos Totales (Norwork)]]),""),"")</f>
        <v/>
      </c>
      <c r="AD323" s="153" t="str">
        <f>IFERROR(Datos[[#This Row],[Beneficio (Norwork)]]/Datos[[#This Row],[Ingresos Totales (Norwork)]],"")</f>
        <v/>
      </c>
    </row>
    <row r="324" spans="2:30" x14ac:dyDescent="0.3">
      <c r="B324" s="145" t="s">
        <v>580</v>
      </c>
      <c r="C324" s="178" t="s">
        <v>1004</v>
      </c>
      <c r="D324" s="178"/>
      <c r="E324" s="145"/>
      <c r="G324" s="149">
        <v>312</v>
      </c>
      <c r="H324" s="144"/>
      <c r="W324" s="148" t="s">
        <v>298</v>
      </c>
      <c r="X324" s="148" t="str">
        <f>IFERROR(Datos[[#This Row],[ARIBA PRECIO POR MILLAR (Dólares)]]/1000*Datos[[#This Row],[DEMANDA ANUAL]],"")</f>
        <v/>
      </c>
      <c r="Y324" s="153" t="str">
        <f>IFERROR((Datos[[#This Row],[INGRESO PRECIO ARIBA]]-Datos[[#This Row],[Costos Totales (Norwork)]])/Datos[[#This Row],[INGRESO PRECIO ARIBA]],"")</f>
        <v/>
      </c>
      <c r="Z324" s="148" t="str">
        <f>IFERROR(IF(Datos[[#This Row],[CON ETIQUETA]]="No",VALORHOJA(Datos[[#This Row],[NP]],$B$44),VALORHOJA(Datos[[#This Row],[NP]],$D$44)),"")</f>
        <v/>
      </c>
      <c r="AA324" s="148" t="str">
        <f>IFERROR(IF(Datos[[#This Row],[Precio / Millar (Norwork)]]&lt;&gt;"",PRODUCT(Datos[[#This Row],[Precio / Millar (Norwork)]]/1000,Datos[[#This Row],[DEMANDA ANUAL]]),""),"")</f>
        <v/>
      </c>
      <c r="AB32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24" s="148" t="str">
        <f>IFERROR(IF(Datos[[#This Row],[Precio / Millar (Norwork)]]&lt;&gt;"",SUM(Datos[[#This Row],[Ingresos Totales (Norwork)]],-Datos[[#This Row],[Costos Totales (Norwork)]]),""),"")</f>
        <v/>
      </c>
      <c r="AD324" s="153" t="str">
        <f>IFERROR(Datos[[#This Row],[Beneficio (Norwork)]]/Datos[[#This Row],[Ingresos Totales (Norwork)]],"")</f>
        <v/>
      </c>
    </row>
    <row r="325" spans="2:30" x14ac:dyDescent="0.3">
      <c r="B325" s="145" t="s">
        <v>609</v>
      </c>
      <c r="C325" s="145" t="s">
        <v>1033</v>
      </c>
      <c r="D325" s="145"/>
      <c r="E325" s="145"/>
      <c r="G325" s="149">
        <v>308</v>
      </c>
      <c r="H325" s="144"/>
      <c r="W325" s="148" t="s">
        <v>298</v>
      </c>
      <c r="X325" s="148" t="str">
        <f>IFERROR(Datos[[#This Row],[ARIBA PRECIO POR MILLAR (Dólares)]]/1000*Datos[[#This Row],[DEMANDA ANUAL]],"")</f>
        <v/>
      </c>
      <c r="Y325" s="153" t="str">
        <f>IFERROR((Datos[[#This Row],[INGRESO PRECIO ARIBA]]-Datos[[#This Row],[Costos Totales (Norwork)]])/Datos[[#This Row],[INGRESO PRECIO ARIBA]],"")</f>
        <v/>
      </c>
      <c r="Z325" s="148" t="str">
        <f>IFERROR(IF(Datos[[#This Row],[CON ETIQUETA]]="No",VALORHOJA(Datos[[#This Row],[NP]],$B$44),VALORHOJA(Datos[[#This Row],[NP]],$D$44)),"")</f>
        <v/>
      </c>
      <c r="AA325" s="148" t="str">
        <f>IFERROR(IF(Datos[[#This Row],[Precio / Millar (Norwork)]]&lt;&gt;"",PRODUCT(Datos[[#This Row],[Precio / Millar (Norwork)]]/1000,Datos[[#This Row],[DEMANDA ANUAL]]),""),"")</f>
        <v/>
      </c>
      <c r="AB32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25" s="148" t="str">
        <f>IFERROR(IF(Datos[[#This Row],[Precio / Millar (Norwork)]]&lt;&gt;"",SUM(Datos[[#This Row],[Ingresos Totales (Norwork)]],-Datos[[#This Row],[Costos Totales (Norwork)]]),""),"")</f>
        <v/>
      </c>
      <c r="AD325" s="153" t="str">
        <f>IFERROR(Datos[[#This Row],[Beneficio (Norwork)]]/Datos[[#This Row],[Ingresos Totales (Norwork)]],"")</f>
        <v/>
      </c>
    </row>
    <row r="326" spans="2:30" x14ac:dyDescent="0.3">
      <c r="B326" s="145" t="s">
        <v>674</v>
      </c>
      <c r="C326" s="145" t="s">
        <v>1097</v>
      </c>
      <c r="D326" s="145"/>
      <c r="E326" s="145"/>
      <c r="G326" s="149">
        <v>301</v>
      </c>
      <c r="H326" s="144"/>
      <c r="W326" s="148" t="s">
        <v>298</v>
      </c>
      <c r="X326" s="148" t="str">
        <f>IFERROR(Datos[[#This Row],[ARIBA PRECIO POR MILLAR (Dólares)]]/1000*Datos[[#This Row],[DEMANDA ANUAL]],"")</f>
        <v/>
      </c>
      <c r="Y326" s="153" t="str">
        <f>IFERROR((Datos[[#This Row],[INGRESO PRECIO ARIBA]]-Datos[[#This Row],[Costos Totales (Norwork)]])/Datos[[#This Row],[INGRESO PRECIO ARIBA]],"")</f>
        <v/>
      </c>
      <c r="Z326" s="148" t="str">
        <f>IFERROR(IF(Datos[[#This Row],[CON ETIQUETA]]="No",VALORHOJA(Datos[[#This Row],[NP]],$B$44),VALORHOJA(Datos[[#This Row],[NP]],$D$44)),"")</f>
        <v/>
      </c>
      <c r="AA326" s="148" t="str">
        <f>IFERROR(IF(Datos[[#This Row],[Precio / Millar (Norwork)]]&lt;&gt;"",PRODUCT(Datos[[#This Row],[Precio / Millar (Norwork)]]/1000,Datos[[#This Row],[DEMANDA ANUAL]]),""),"")</f>
        <v/>
      </c>
      <c r="AB32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26" s="148" t="str">
        <f>IFERROR(IF(Datos[[#This Row],[Precio / Millar (Norwork)]]&lt;&gt;"",SUM(Datos[[#This Row],[Ingresos Totales (Norwork)]],-Datos[[#This Row],[Costos Totales (Norwork)]]),""),"")</f>
        <v/>
      </c>
      <c r="AD326" s="153" t="str">
        <f>IFERROR(Datos[[#This Row],[Beneficio (Norwork)]]/Datos[[#This Row],[Ingresos Totales (Norwork)]],"")</f>
        <v/>
      </c>
    </row>
    <row r="327" spans="2:30" x14ac:dyDescent="0.3">
      <c r="B327" s="145" t="s">
        <v>646</v>
      </c>
      <c r="C327" s="145" t="s">
        <v>1069</v>
      </c>
      <c r="D327" s="145"/>
      <c r="E327" s="145"/>
      <c r="G327" s="149">
        <v>300</v>
      </c>
      <c r="H327" s="144"/>
      <c r="W327" s="148" t="s">
        <v>298</v>
      </c>
      <c r="X327" s="148" t="str">
        <f>IFERROR(Datos[[#This Row],[ARIBA PRECIO POR MILLAR (Dólares)]]/1000*Datos[[#This Row],[DEMANDA ANUAL]],"")</f>
        <v/>
      </c>
      <c r="Y327" s="153" t="str">
        <f>IFERROR((Datos[[#This Row],[INGRESO PRECIO ARIBA]]-Datos[[#This Row],[Costos Totales (Norwork)]])/Datos[[#This Row],[INGRESO PRECIO ARIBA]],"")</f>
        <v/>
      </c>
      <c r="Z327" s="148" t="str">
        <f>IFERROR(IF(Datos[[#This Row],[CON ETIQUETA]]="No",VALORHOJA(Datos[[#This Row],[NP]],$B$44),VALORHOJA(Datos[[#This Row],[NP]],$D$44)),"")</f>
        <v/>
      </c>
      <c r="AA327" s="148" t="str">
        <f>IFERROR(IF(Datos[[#This Row],[Precio / Millar (Norwork)]]&lt;&gt;"",PRODUCT(Datos[[#This Row],[Precio / Millar (Norwork)]]/1000,Datos[[#This Row],[DEMANDA ANUAL]]),""),"")</f>
        <v/>
      </c>
      <c r="AB32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27" s="148" t="str">
        <f>IFERROR(IF(Datos[[#This Row],[Precio / Millar (Norwork)]]&lt;&gt;"",SUM(Datos[[#This Row],[Ingresos Totales (Norwork)]],-Datos[[#This Row],[Costos Totales (Norwork)]]),""),"")</f>
        <v/>
      </c>
      <c r="AD327" s="153" t="str">
        <f>IFERROR(Datos[[#This Row],[Beneficio (Norwork)]]/Datos[[#This Row],[Ingresos Totales (Norwork)]],"")</f>
        <v/>
      </c>
    </row>
    <row r="328" spans="2:30" x14ac:dyDescent="0.3">
      <c r="B328" s="145" t="s">
        <v>675</v>
      </c>
      <c r="C328" s="145" t="s">
        <v>1098</v>
      </c>
      <c r="D328" s="145"/>
      <c r="E328" s="145"/>
      <c r="G328" s="149">
        <v>300</v>
      </c>
      <c r="H328" s="144"/>
      <c r="W328" s="148" t="s">
        <v>298</v>
      </c>
      <c r="X328" s="148" t="str">
        <f>IFERROR(Datos[[#This Row],[ARIBA PRECIO POR MILLAR (Dólares)]]/1000*Datos[[#This Row],[DEMANDA ANUAL]],"")</f>
        <v/>
      </c>
      <c r="Y328" s="153" t="str">
        <f>IFERROR((Datos[[#This Row],[INGRESO PRECIO ARIBA]]-Datos[[#This Row],[Costos Totales (Norwork)]])/Datos[[#This Row],[INGRESO PRECIO ARIBA]],"")</f>
        <v/>
      </c>
      <c r="Z328" s="148" t="str">
        <f>IFERROR(IF(Datos[[#This Row],[CON ETIQUETA]]="No",VALORHOJA(Datos[[#This Row],[NP]],$B$44),VALORHOJA(Datos[[#This Row],[NP]],$D$44)),"")</f>
        <v/>
      </c>
      <c r="AA328" s="148" t="str">
        <f>IFERROR(IF(Datos[[#This Row],[Precio / Millar (Norwork)]]&lt;&gt;"",PRODUCT(Datos[[#This Row],[Precio / Millar (Norwork)]]/1000,Datos[[#This Row],[DEMANDA ANUAL]]),""),"")</f>
        <v/>
      </c>
      <c r="AB32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28" s="148" t="str">
        <f>IFERROR(IF(Datos[[#This Row],[Precio / Millar (Norwork)]]&lt;&gt;"",SUM(Datos[[#This Row],[Ingresos Totales (Norwork)]],-Datos[[#This Row],[Costos Totales (Norwork)]]),""),"")</f>
        <v/>
      </c>
      <c r="AD328" s="153" t="str">
        <f>IFERROR(Datos[[#This Row],[Beneficio (Norwork)]]/Datos[[#This Row],[Ingresos Totales (Norwork)]],"")</f>
        <v/>
      </c>
    </row>
    <row r="329" spans="2:30" x14ac:dyDescent="0.3">
      <c r="B329" s="145" t="s">
        <v>678</v>
      </c>
      <c r="C329" s="145" t="s">
        <v>1101</v>
      </c>
      <c r="D329" s="145"/>
      <c r="E329" s="145"/>
      <c r="G329" s="149">
        <v>270</v>
      </c>
      <c r="H329" s="144"/>
      <c r="W329" s="148" t="s">
        <v>298</v>
      </c>
      <c r="X329" s="148" t="str">
        <f>IFERROR(Datos[[#This Row],[ARIBA PRECIO POR MILLAR (Dólares)]]/1000*Datos[[#This Row],[DEMANDA ANUAL]],"")</f>
        <v/>
      </c>
      <c r="Y329" s="153" t="str">
        <f>IFERROR((Datos[[#This Row],[INGRESO PRECIO ARIBA]]-Datos[[#This Row],[Costos Totales (Norwork)]])/Datos[[#This Row],[INGRESO PRECIO ARIBA]],"")</f>
        <v/>
      </c>
      <c r="Z329" s="148" t="str">
        <f>IFERROR(IF(Datos[[#This Row],[CON ETIQUETA]]="No",VALORHOJA(Datos[[#This Row],[NP]],$B$44),VALORHOJA(Datos[[#This Row],[NP]],$D$44)),"")</f>
        <v/>
      </c>
      <c r="AA329" s="148" t="str">
        <f>IFERROR(IF(Datos[[#This Row],[Precio / Millar (Norwork)]]&lt;&gt;"",PRODUCT(Datos[[#This Row],[Precio / Millar (Norwork)]]/1000,Datos[[#This Row],[DEMANDA ANUAL]]),""),"")</f>
        <v/>
      </c>
      <c r="AB32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29" s="148" t="str">
        <f>IFERROR(IF(Datos[[#This Row],[Precio / Millar (Norwork)]]&lt;&gt;"",SUM(Datos[[#This Row],[Ingresos Totales (Norwork)]],-Datos[[#This Row],[Costos Totales (Norwork)]]),""),"")</f>
        <v/>
      </c>
      <c r="AD329" s="153" t="str">
        <f>IFERROR(Datos[[#This Row],[Beneficio (Norwork)]]/Datos[[#This Row],[Ingresos Totales (Norwork)]],"")</f>
        <v/>
      </c>
    </row>
    <row r="330" spans="2:30" x14ac:dyDescent="0.3">
      <c r="B330" s="145" t="s">
        <v>681</v>
      </c>
      <c r="C330" s="145" t="s">
        <v>1104</v>
      </c>
      <c r="D330" s="145"/>
      <c r="E330" s="145"/>
      <c r="G330" s="149">
        <v>264</v>
      </c>
      <c r="H330" s="144"/>
      <c r="W330" s="148" t="s">
        <v>298</v>
      </c>
      <c r="X330" s="148" t="str">
        <f>IFERROR(Datos[[#This Row],[ARIBA PRECIO POR MILLAR (Dólares)]]/1000*Datos[[#This Row],[DEMANDA ANUAL]],"")</f>
        <v/>
      </c>
      <c r="Y330" s="153" t="str">
        <f>IFERROR((Datos[[#This Row],[INGRESO PRECIO ARIBA]]-Datos[[#This Row],[Costos Totales (Norwork)]])/Datos[[#This Row],[INGRESO PRECIO ARIBA]],"")</f>
        <v/>
      </c>
      <c r="Z330" s="148" t="str">
        <f>IFERROR(IF(Datos[[#This Row],[CON ETIQUETA]]="No",VALORHOJA(Datos[[#This Row],[NP]],$B$44),VALORHOJA(Datos[[#This Row],[NP]],$D$44)),"")</f>
        <v/>
      </c>
      <c r="AA330" s="148" t="str">
        <f>IFERROR(IF(Datos[[#This Row],[Precio / Millar (Norwork)]]&lt;&gt;"",PRODUCT(Datos[[#This Row],[Precio / Millar (Norwork)]]/1000,Datos[[#This Row],[DEMANDA ANUAL]]),""),"")</f>
        <v/>
      </c>
      <c r="AB33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30" s="148" t="str">
        <f>IFERROR(IF(Datos[[#This Row],[Precio / Millar (Norwork)]]&lt;&gt;"",SUM(Datos[[#This Row],[Ingresos Totales (Norwork)]],-Datos[[#This Row],[Costos Totales (Norwork)]]),""),"")</f>
        <v/>
      </c>
      <c r="AD330" s="153" t="str">
        <f>IFERROR(Datos[[#This Row],[Beneficio (Norwork)]]/Datos[[#This Row],[Ingresos Totales (Norwork)]],"")</f>
        <v/>
      </c>
    </row>
    <row r="331" spans="2:30" x14ac:dyDescent="0.3">
      <c r="B331" s="145" t="s">
        <v>657</v>
      </c>
      <c r="C331" s="145" t="s">
        <v>1080</v>
      </c>
      <c r="D331" s="145"/>
      <c r="E331" s="145"/>
      <c r="G331" s="149">
        <v>252</v>
      </c>
      <c r="H331" s="144"/>
      <c r="W331" s="148" t="s">
        <v>298</v>
      </c>
      <c r="X331" s="148" t="str">
        <f>IFERROR(Datos[[#This Row],[ARIBA PRECIO POR MILLAR (Dólares)]]/1000*Datos[[#This Row],[DEMANDA ANUAL]],"")</f>
        <v/>
      </c>
      <c r="Y331" s="153" t="str">
        <f>IFERROR((Datos[[#This Row],[INGRESO PRECIO ARIBA]]-Datos[[#This Row],[Costos Totales (Norwork)]])/Datos[[#This Row],[INGRESO PRECIO ARIBA]],"")</f>
        <v/>
      </c>
      <c r="Z331" s="148" t="str">
        <f>IFERROR(IF(Datos[[#This Row],[CON ETIQUETA]]="No",VALORHOJA(Datos[[#This Row],[NP]],$B$44),VALORHOJA(Datos[[#This Row],[NP]],$D$44)),"")</f>
        <v/>
      </c>
      <c r="AA331" s="148" t="str">
        <f>IFERROR(IF(Datos[[#This Row],[Precio / Millar (Norwork)]]&lt;&gt;"",PRODUCT(Datos[[#This Row],[Precio / Millar (Norwork)]]/1000,Datos[[#This Row],[DEMANDA ANUAL]]),""),"")</f>
        <v/>
      </c>
      <c r="AB33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31" s="148" t="str">
        <f>IFERROR(IF(Datos[[#This Row],[Precio / Millar (Norwork)]]&lt;&gt;"",SUM(Datos[[#This Row],[Ingresos Totales (Norwork)]],-Datos[[#This Row],[Costos Totales (Norwork)]]),""),"")</f>
        <v/>
      </c>
      <c r="AD331" s="153" t="str">
        <f>IFERROR(Datos[[#This Row],[Beneficio (Norwork)]]/Datos[[#This Row],[Ingresos Totales (Norwork)]],"")</f>
        <v/>
      </c>
    </row>
    <row r="332" spans="2:30" x14ac:dyDescent="0.3">
      <c r="B332" s="145" t="s">
        <v>515</v>
      </c>
      <c r="C332" s="145" t="s">
        <v>942</v>
      </c>
      <c r="D332" s="145"/>
      <c r="E332" s="145"/>
      <c r="G332" s="149">
        <v>241</v>
      </c>
      <c r="H332" s="144"/>
      <c r="W332" s="148" t="s">
        <v>298</v>
      </c>
      <c r="X332" s="148" t="str">
        <f>IFERROR(Datos[[#This Row],[ARIBA PRECIO POR MILLAR (Dólares)]]/1000*Datos[[#This Row],[DEMANDA ANUAL]],"")</f>
        <v/>
      </c>
      <c r="Y332" s="153" t="str">
        <f>IFERROR((Datos[[#This Row],[INGRESO PRECIO ARIBA]]-Datos[[#This Row],[Costos Totales (Norwork)]])/Datos[[#This Row],[INGRESO PRECIO ARIBA]],"")</f>
        <v/>
      </c>
      <c r="Z332" s="148" t="str">
        <f>IFERROR(IF(Datos[[#This Row],[CON ETIQUETA]]="No",VALORHOJA(Datos[[#This Row],[NP]],$B$44),VALORHOJA(Datos[[#This Row],[NP]],$D$44)),"")</f>
        <v/>
      </c>
      <c r="AA332" s="148" t="str">
        <f>IFERROR(IF(Datos[[#This Row],[Precio / Millar (Norwork)]]&lt;&gt;"",PRODUCT(Datos[[#This Row],[Precio / Millar (Norwork)]]/1000,Datos[[#This Row],[DEMANDA ANUAL]]),""),"")</f>
        <v/>
      </c>
      <c r="AB33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32" s="148" t="str">
        <f>IFERROR(IF(Datos[[#This Row],[Precio / Millar (Norwork)]]&lt;&gt;"",SUM(Datos[[#This Row],[Ingresos Totales (Norwork)]],-Datos[[#This Row],[Costos Totales (Norwork)]]),""),"")</f>
        <v/>
      </c>
      <c r="AD332" s="153" t="str">
        <f>IFERROR(Datos[[#This Row],[Beneficio (Norwork)]]/Datos[[#This Row],[Ingresos Totales (Norwork)]],"")</f>
        <v/>
      </c>
    </row>
    <row r="333" spans="2:30" x14ac:dyDescent="0.3">
      <c r="B333" s="145" t="s">
        <v>602</v>
      </c>
      <c r="C333" s="145" t="s">
        <v>1026</v>
      </c>
      <c r="D333" s="145"/>
      <c r="E333" s="145"/>
      <c r="G333" s="149">
        <v>240</v>
      </c>
      <c r="H333" s="144"/>
      <c r="W333" s="148" t="s">
        <v>298</v>
      </c>
      <c r="X333" s="148" t="str">
        <f>IFERROR(Datos[[#This Row],[ARIBA PRECIO POR MILLAR (Dólares)]]/1000*Datos[[#This Row],[DEMANDA ANUAL]],"")</f>
        <v/>
      </c>
      <c r="Y333" s="153" t="str">
        <f>IFERROR((Datos[[#This Row],[INGRESO PRECIO ARIBA]]-Datos[[#This Row],[Costos Totales (Norwork)]])/Datos[[#This Row],[INGRESO PRECIO ARIBA]],"")</f>
        <v/>
      </c>
      <c r="Z333" s="148" t="str">
        <f>IFERROR(IF(Datos[[#This Row],[CON ETIQUETA]]="No",VALORHOJA(Datos[[#This Row],[NP]],$B$44),VALORHOJA(Datos[[#This Row],[NP]],$D$44)),"")</f>
        <v/>
      </c>
      <c r="AA333" s="148" t="str">
        <f>IFERROR(IF(Datos[[#This Row],[Precio / Millar (Norwork)]]&lt;&gt;"",PRODUCT(Datos[[#This Row],[Precio / Millar (Norwork)]]/1000,Datos[[#This Row],[DEMANDA ANUAL]]),""),"")</f>
        <v/>
      </c>
      <c r="AB33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33" s="148" t="str">
        <f>IFERROR(IF(Datos[[#This Row],[Precio / Millar (Norwork)]]&lt;&gt;"",SUM(Datos[[#This Row],[Ingresos Totales (Norwork)]],-Datos[[#This Row],[Costos Totales (Norwork)]]),""),"")</f>
        <v/>
      </c>
      <c r="AD333" s="153" t="str">
        <f>IFERROR(Datos[[#This Row],[Beneficio (Norwork)]]/Datos[[#This Row],[Ingresos Totales (Norwork)]],"")</f>
        <v/>
      </c>
    </row>
    <row r="334" spans="2:30" x14ac:dyDescent="0.3">
      <c r="B334" s="145" t="s">
        <v>684</v>
      </c>
      <c r="C334" s="145" t="s">
        <v>1106</v>
      </c>
      <c r="D334" s="145"/>
      <c r="E334" s="145"/>
      <c r="G334" s="149">
        <v>240</v>
      </c>
      <c r="H334" s="144"/>
      <c r="W334" s="148" t="s">
        <v>298</v>
      </c>
      <c r="X334" s="148" t="str">
        <f>IFERROR(Datos[[#This Row],[ARIBA PRECIO POR MILLAR (Dólares)]]/1000*Datos[[#This Row],[DEMANDA ANUAL]],"")</f>
        <v/>
      </c>
      <c r="Y334" s="153" t="str">
        <f>IFERROR((Datos[[#This Row],[INGRESO PRECIO ARIBA]]-Datos[[#This Row],[Costos Totales (Norwork)]])/Datos[[#This Row],[INGRESO PRECIO ARIBA]],"")</f>
        <v/>
      </c>
      <c r="Z334" s="148" t="str">
        <f>IFERROR(IF(Datos[[#This Row],[CON ETIQUETA]]="No",VALORHOJA(Datos[[#This Row],[NP]],$B$44),VALORHOJA(Datos[[#This Row],[NP]],$D$44)),"")</f>
        <v/>
      </c>
      <c r="AA334" s="148" t="str">
        <f>IFERROR(IF(Datos[[#This Row],[Precio / Millar (Norwork)]]&lt;&gt;"",PRODUCT(Datos[[#This Row],[Precio / Millar (Norwork)]]/1000,Datos[[#This Row],[DEMANDA ANUAL]]),""),"")</f>
        <v/>
      </c>
      <c r="AB33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34" s="148" t="str">
        <f>IFERROR(IF(Datos[[#This Row],[Precio / Millar (Norwork)]]&lt;&gt;"",SUM(Datos[[#This Row],[Ingresos Totales (Norwork)]],-Datos[[#This Row],[Costos Totales (Norwork)]]),""),"")</f>
        <v/>
      </c>
      <c r="AD334" s="153" t="str">
        <f>IFERROR(Datos[[#This Row],[Beneficio (Norwork)]]/Datos[[#This Row],[Ingresos Totales (Norwork)]],"")</f>
        <v/>
      </c>
    </row>
    <row r="335" spans="2:30" x14ac:dyDescent="0.3">
      <c r="B335" s="145" t="s">
        <v>780</v>
      </c>
      <c r="C335" s="145" t="s">
        <v>1153</v>
      </c>
      <c r="D335" s="145"/>
      <c r="E335" s="145"/>
      <c r="G335" s="149">
        <v>230</v>
      </c>
      <c r="H335" s="144"/>
      <c r="W335" s="148" t="s">
        <v>298</v>
      </c>
      <c r="X335" s="148" t="str">
        <f>IFERROR(Datos[[#This Row],[ARIBA PRECIO POR MILLAR (Dólares)]]/1000*Datos[[#This Row],[DEMANDA ANUAL]],"")</f>
        <v/>
      </c>
      <c r="Y335" s="153" t="str">
        <f>IFERROR((Datos[[#This Row],[INGRESO PRECIO ARIBA]]-Datos[[#This Row],[Costos Totales (Norwork)]])/Datos[[#This Row],[INGRESO PRECIO ARIBA]],"")</f>
        <v/>
      </c>
      <c r="Z335" s="148" t="str">
        <f>IFERROR(IF(Datos[[#This Row],[CON ETIQUETA]]="No",VALORHOJA(Datos[[#This Row],[NP]],$B$44),VALORHOJA(Datos[[#This Row],[NP]],$D$44)),"")</f>
        <v/>
      </c>
      <c r="AA335" s="148" t="str">
        <f>IFERROR(IF(Datos[[#This Row],[Precio / Millar (Norwork)]]&lt;&gt;"",PRODUCT(Datos[[#This Row],[Precio / Millar (Norwork)]]/1000,Datos[[#This Row],[DEMANDA ANUAL]]),""),"")</f>
        <v/>
      </c>
      <c r="AB33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35" s="148" t="str">
        <f>IFERROR(IF(Datos[[#This Row],[Precio / Millar (Norwork)]]&lt;&gt;"",SUM(Datos[[#This Row],[Ingresos Totales (Norwork)]],-Datos[[#This Row],[Costos Totales (Norwork)]]),""),"")</f>
        <v/>
      </c>
      <c r="AD335" s="153" t="str">
        <f>IFERROR(Datos[[#This Row],[Beneficio (Norwork)]]/Datos[[#This Row],[Ingresos Totales (Norwork)]],"")</f>
        <v/>
      </c>
    </row>
    <row r="336" spans="2:30" x14ac:dyDescent="0.3">
      <c r="B336" s="145" t="s">
        <v>571</v>
      </c>
      <c r="C336" s="178" t="s">
        <v>995</v>
      </c>
      <c r="D336" s="178"/>
      <c r="E336" s="145"/>
      <c r="G336" s="149">
        <v>228</v>
      </c>
      <c r="H336" s="144"/>
      <c r="W336" s="148" t="s">
        <v>298</v>
      </c>
      <c r="X336" s="148" t="str">
        <f>IFERROR(Datos[[#This Row],[ARIBA PRECIO POR MILLAR (Dólares)]]/1000*Datos[[#This Row],[DEMANDA ANUAL]],"")</f>
        <v/>
      </c>
      <c r="Y336" s="153" t="str">
        <f>IFERROR((Datos[[#This Row],[INGRESO PRECIO ARIBA]]-Datos[[#This Row],[Costos Totales (Norwork)]])/Datos[[#This Row],[INGRESO PRECIO ARIBA]],"")</f>
        <v/>
      </c>
      <c r="Z336" s="148" t="str">
        <f>IFERROR(IF(Datos[[#This Row],[CON ETIQUETA]]="No",VALORHOJA(Datos[[#This Row],[NP]],$B$44),VALORHOJA(Datos[[#This Row],[NP]],$D$44)),"")</f>
        <v/>
      </c>
      <c r="AA336" s="148" t="str">
        <f>IFERROR(IF(Datos[[#This Row],[Precio / Millar (Norwork)]]&lt;&gt;"",PRODUCT(Datos[[#This Row],[Precio / Millar (Norwork)]]/1000,Datos[[#This Row],[DEMANDA ANUAL]]),""),"")</f>
        <v/>
      </c>
      <c r="AB33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36" s="148" t="str">
        <f>IFERROR(IF(Datos[[#This Row],[Precio / Millar (Norwork)]]&lt;&gt;"",SUM(Datos[[#This Row],[Ingresos Totales (Norwork)]],-Datos[[#This Row],[Costos Totales (Norwork)]]),""),"")</f>
        <v/>
      </c>
      <c r="AD336" s="153" t="str">
        <f>IFERROR(Datos[[#This Row],[Beneficio (Norwork)]]/Datos[[#This Row],[Ingresos Totales (Norwork)]],"")</f>
        <v/>
      </c>
    </row>
    <row r="337" spans="2:30" x14ac:dyDescent="0.3">
      <c r="B337" s="145" t="s">
        <v>685</v>
      </c>
      <c r="C337" s="145" t="s">
        <v>1107</v>
      </c>
      <c r="D337" s="145"/>
      <c r="E337" s="145"/>
      <c r="G337" s="149">
        <v>225</v>
      </c>
      <c r="H337" s="144"/>
      <c r="W337" s="148" t="s">
        <v>298</v>
      </c>
      <c r="X337" s="148" t="str">
        <f>IFERROR(Datos[[#This Row],[ARIBA PRECIO POR MILLAR (Dólares)]]/1000*Datos[[#This Row],[DEMANDA ANUAL]],"")</f>
        <v/>
      </c>
      <c r="Y337" s="153" t="str">
        <f>IFERROR((Datos[[#This Row],[INGRESO PRECIO ARIBA]]-Datos[[#This Row],[Costos Totales (Norwork)]])/Datos[[#This Row],[INGRESO PRECIO ARIBA]],"")</f>
        <v/>
      </c>
      <c r="Z337" s="148" t="str">
        <f>IFERROR(IF(Datos[[#This Row],[CON ETIQUETA]]="No",VALORHOJA(Datos[[#This Row],[NP]],$B$44),VALORHOJA(Datos[[#This Row],[NP]],$D$44)),"")</f>
        <v/>
      </c>
      <c r="AA337" s="148" t="str">
        <f>IFERROR(IF(Datos[[#This Row],[Precio / Millar (Norwork)]]&lt;&gt;"",PRODUCT(Datos[[#This Row],[Precio / Millar (Norwork)]]/1000,Datos[[#This Row],[DEMANDA ANUAL]]),""),"")</f>
        <v/>
      </c>
      <c r="AB33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37" s="148" t="str">
        <f>IFERROR(IF(Datos[[#This Row],[Precio / Millar (Norwork)]]&lt;&gt;"",SUM(Datos[[#This Row],[Ingresos Totales (Norwork)]],-Datos[[#This Row],[Costos Totales (Norwork)]]),""),"")</f>
        <v/>
      </c>
      <c r="AD337" s="153" t="str">
        <f>IFERROR(Datos[[#This Row],[Beneficio (Norwork)]]/Datos[[#This Row],[Ingresos Totales (Norwork)]],"")</f>
        <v/>
      </c>
    </row>
    <row r="338" spans="2:30" x14ac:dyDescent="0.3">
      <c r="B338" s="145" t="s">
        <v>687</v>
      </c>
      <c r="C338" s="145" t="s">
        <v>1109</v>
      </c>
      <c r="D338" s="145"/>
      <c r="E338" s="145"/>
      <c r="G338" s="149">
        <v>214</v>
      </c>
      <c r="H338" s="144"/>
      <c r="W338" s="148" t="s">
        <v>298</v>
      </c>
      <c r="X338" s="148" t="str">
        <f>IFERROR(Datos[[#This Row],[ARIBA PRECIO POR MILLAR (Dólares)]]/1000*Datos[[#This Row],[DEMANDA ANUAL]],"")</f>
        <v/>
      </c>
      <c r="Y338" s="153" t="str">
        <f>IFERROR((Datos[[#This Row],[INGRESO PRECIO ARIBA]]-Datos[[#This Row],[Costos Totales (Norwork)]])/Datos[[#This Row],[INGRESO PRECIO ARIBA]],"")</f>
        <v/>
      </c>
      <c r="Z338" s="148" t="str">
        <f>IFERROR(IF(Datos[[#This Row],[CON ETIQUETA]]="No",VALORHOJA(Datos[[#This Row],[NP]],$B$44),VALORHOJA(Datos[[#This Row],[NP]],$D$44)),"")</f>
        <v/>
      </c>
      <c r="AA338" s="148" t="str">
        <f>IFERROR(IF(Datos[[#This Row],[Precio / Millar (Norwork)]]&lt;&gt;"",PRODUCT(Datos[[#This Row],[Precio / Millar (Norwork)]]/1000,Datos[[#This Row],[DEMANDA ANUAL]]),""),"")</f>
        <v/>
      </c>
      <c r="AB33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38" s="148" t="str">
        <f>IFERROR(IF(Datos[[#This Row],[Precio / Millar (Norwork)]]&lt;&gt;"",SUM(Datos[[#This Row],[Ingresos Totales (Norwork)]],-Datos[[#This Row],[Costos Totales (Norwork)]]),""),"")</f>
        <v/>
      </c>
      <c r="AD338" s="153" t="str">
        <f>IFERROR(Datos[[#This Row],[Beneficio (Norwork)]]/Datos[[#This Row],[Ingresos Totales (Norwork)]],"")</f>
        <v/>
      </c>
    </row>
    <row r="339" spans="2:30" x14ac:dyDescent="0.3">
      <c r="B339" s="145" t="s">
        <v>625</v>
      </c>
      <c r="C339" s="145" t="s">
        <v>1048</v>
      </c>
      <c r="D339" s="145"/>
      <c r="E339" s="145"/>
      <c r="G339" s="149">
        <v>210</v>
      </c>
      <c r="H339" s="144"/>
      <c r="W339" s="148" t="s">
        <v>298</v>
      </c>
      <c r="X339" s="148" t="str">
        <f>IFERROR(Datos[[#This Row],[ARIBA PRECIO POR MILLAR (Dólares)]]/1000*Datos[[#This Row],[DEMANDA ANUAL]],"")</f>
        <v/>
      </c>
      <c r="Y339" s="153" t="str">
        <f>IFERROR((Datos[[#This Row],[INGRESO PRECIO ARIBA]]-Datos[[#This Row],[Costos Totales (Norwork)]])/Datos[[#This Row],[INGRESO PRECIO ARIBA]],"")</f>
        <v/>
      </c>
      <c r="Z339" s="148" t="str">
        <f>IFERROR(IF(Datos[[#This Row],[CON ETIQUETA]]="No",VALORHOJA(Datos[[#This Row],[NP]],$B$44),VALORHOJA(Datos[[#This Row],[NP]],$D$44)),"")</f>
        <v/>
      </c>
      <c r="AA339" s="148" t="str">
        <f>IFERROR(IF(Datos[[#This Row],[Precio / Millar (Norwork)]]&lt;&gt;"",PRODUCT(Datos[[#This Row],[Precio / Millar (Norwork)]]/1000,Datos[[#This Row],[DEMANDA ANUAL]]),""),"")</f>
        <v/>
      </c>
      <c r="AB33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39" s="148" t="str">
        <f>IFERROR(IF(Datos[[#This Row],[Precio / Millar (Norwork)]]&lt;&gt;"",SUM(Datos[[#This Row],[Ingresos Totales (Norwork)]],-Datos[[#This Row],[Costos Totales (Norwork)]]),""),"")</f>
        <v/>
      </c>
      <c r="AD339" s="153" t="str">
        <f>IFERROR(Datos[[#This Row],[Beneficio (Norwork)]]/Datos[[#This Row],[Ingresos Totales (Norwork)]],"")</f>
        <v/>
      </c>
    </row>
    <row r="340" spans="2:30" x14ac:dyDescent="0.3">
      <c r="B340" s="145" t="s">
        <v>689</v>
      </c>
      <c r="C340" s="145" t="s">
        <v>1111</v>
      </c>
      <c r="D340" s="145"/>
      <c r="E340" s="145"/>
      <c r="G340" s="149">
        <v>209</v>
      </c>
      <c r="H340" s="144"/>
      <c r="W340" s="148" t="s">
        <v>298</v>
      </c>
      <c r="X340" s="148" t="str">
        <f>IFERROR(Datos[[#This Row],[ARIBA PRECIO POR MILLAR (Dólares)]]/1000*Datos[[#This Row],[DEMANDA ANUAL]],"")</f>
        <v/>
      </c>
      <c r="Y340" s="153" t="str">
        <f>IFERROR((Datos[[#This Row],[INGRESO PRECIO ARIBA]]-Datos[[#This Row],[Costos Totales (Norwork)]])/Datos[[#This Row],[INGRESO PRECIO ARIBA]],"")</f>
        <v/>
      </c>
      <c r="Z340" s="148" t="str">
        <f>IFERROR(IF(Datos[[#This Row],[CON ETIQUETA]]="No",VALORHOJA(Datos[[#This Row],[NP]],$B$44),VALORHOJA(Datos[[#This Row],[NP]],$D$44)),"")</f>
        <v/>
      </c>
      <c r="AA340" s="148" t="str">
        <f>IFERROR(IF(Datos[[#This Row],[Precio / Millar (Norwork)]]&lt;&gt;"",PRODUCT(Datos[[#This Row],[Precio / Millar (Norwork)]]/1000,Datos[[#This Row],[DEMANDA ANUAL]]),""),"")</f>
        <v/>
      </c>
      <c r="AB34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40" s="148" t="str">
        <f>IFERROR(IF(Datos[[#This Row],[Precio / Millar (Norwork)]]&lt;&gt;"",SUM(Datos[[#This Row],[Ingresos Totales (Norwork)]],-Datos[[#This Row],[Costos Totales (Norwork)]]),""),"")</f>
        <v/>
      </c>
      <c r="AD340" s="153" t="str">
        <f>IFERROR(Datos[[#This Row],[Beneficio (Norwork)]]/Datos[[#This Row],[Ingresos Totales (Norwork)]],"")</f>
        <v/>
      </c>
    </row>
    <row r="341" spans="2:30" x14ac:dyDescent="0.3">
      <c r="B341" s="145" t="s">
        <v>691</v>
      </c>
      <c r="C341" s="145" t="s">
        <v>1113</v>
      </c>
      <c r="D341" s="145"/>
      <c r="E341" s="145"/>
      <c r="G341" s="149">
        <v>201</v>
      </c>
      <c r="H341" s="144"/>
      <c r="W341" s="148" t="s">
        <v>298</v>
      </c>
      <c r="X341" s="148" t="str">
        <f>IFERROR(Datos[[#This Row],[ARIBA PRECIO POR MILLAR (Dólares)]]/1000*Datos[[#This Row],[DEMANDA ANUAL]],"")</f>
        <v/>
      </c>
      <c r="Y341" s="153" t="str">
        <f>IFERROR((Datos[[#This Row],[INGRESO PRECIO ARIBA]]-Datos[[#This Row],[Costos Totales (Norwork)]])/Datos[[#This Row],[INGRESO PRECIO ARIBA]],"")</f>
        <v/>
      </c>
      <c r="Z341" s="148" t="str">
        <f>IFERROR(IF(Datos[[#This Row],[CON ETIQUETA]]="No",VALORHOJA(Datos[[#This Row],[NP]],$B$44),VALORHOJA(Datos[[#This Row],[NP]],$D$44)),"")</f>
        <v/>
      </c>
      <c r="AA341" s="148" t="str">
        <f>IFERROR(IF(Datos[[#This Row],[Precio / Millar (Norwork)]]&lt;&gt;"",PRODUCT(Datos[[#This Row],[Precio / Millar (Norwork)]]/1000,Datos[[#This Row],[DEMANDA ANUAL]]),""),"")</f>
        <v/>
      </c>
      <c r="AB34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41" s="148" t="str">
        <f>IFERROR(IF(Datos[[#This Row],[Precio / Millar (Norwork)]]&lt;&gt;"",SUM(Datos[[#This Row],[Ingresos Totales (Norwork)]],-Datos[[#This Row],[Costos Totales (Norwork)]]),""),"")</f>
        <v/>
      </c>
      <c r="AD341" s="153" t="str">
        <f>IFERROR(Datos[[#This Row],[Beneficio (Norwork)]]/Datos[[#This Row],[Ingresos Totales (Norwork)]],"")</f>
        <v/>
      </c>
    </row>
    <row r="342" spans="2:30" x14ac:dyDescent="0.3">
      <c r="B342" s="145" t="s">
        <v>663</v>
      </c>
      <c r="C342" s="145" t="s">
        <v>1086</v>
      </c>
      <c r="D342" s="145"/>
      <c r="E342" s="145"/>
      <c r="G342" s="149">
        <v>200</v>
      </c>
      <c r="H342" s="144"/>
      <c r="W342" s="148" t="s">
        <v>298</v>
      </c>
      <c r="X342" s="148" t="str">
        <f>IFERROR(Datos[[#This Row],[ARIBA PRECIO POR MILLAR (Dólares)]]/1000*Datos[[#This Row],[DEMANDA ANUAL]],"")</f>
        <v/>
      </c>
      <c r="Y342" s="153" t="str">
        <f>IFERROR((Datos[[#This Row],[INGRESO PRECIO ARIBA]]-Datos[[#This Row],[Costos Totales (Norwork)]])/Datos[[#This Row],[INGRESO PRECIO ARIBA]],"")</f>
        <v/>
      </c>
      <c r="Z342" s="148" t="str">
        <f>IFERROR(IF(Datos[[#This Row],[CON ETIQUETA]]="No",VALORHOJA(Datos[[#This Row],[NP]],$B$44),VALORHOJA(Datos[[#This Row],[NP]],$D$44)),"")</f>
        <v/>
      </c>
      <c r="AA342" s="148" t="str">
        <f>IFERROR(IF(Datos[[#This Row],[Precio / Millar (Norwork)]]&lt;&gt;"",PRODUCT(Datos[[#This Row],[Precio / Millar (Norwork)]]/1000,Datos[[#This Row],[DEMANDA ANUAL]]),""),"")</f>
        <v/>
      </c>
      <c r="AB34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42" s="148" t="str">
        <f>IFERROR(IF(Datos[[#This Row],[Precio / Millar (Norwork)]]&lt;&gt;"",SUM(Datos[[#This Row],[Ingresos Totales (Norwork)]],-Datos[[#This Row],[Costos Totales (Norwork)]]),""),"")</f>
        <v/>
      </c>
      <c r="AD342" s="153" t="str">
        <f>IFERROR(Datos[[#This Row],[Beneficio (Norwork)]]/Datos[[#This Row],[Ingresos Totales (Norwork)]],"")</f>
        <v/>
      </c>
    </row>
    <row r="343" spans="2:30" x14ac:dyDescent="0.3">
      <c r="B343" s="145" t="s">
        <v>587</v>
      </c>
      <c r="C343" s="145" t="s">
        <v>1011</v>
      </c>
      <c r="D343" s="145"/>
      <c r="E343" s="145"/>
      <c r="G343" s="149">
        <v>198</v>
      </c>
      <c r="H343" s="144"/>
      <c r="W343" s="148" t="s">
        <v>298</v>
      </c>
      <c r="X343" s="148" t="str">
        <f>IFERROR(Datos[[#This Row],[ARIBA PRECIO POR MILLAR (Dólares)]]/1000*Datos[[#This Row],[DEMANDA ANUAL]],"")</f>
        <v/>
      </c>
      <c r="Y343" s="153" t="str">
        <f>IFERROR((Datos[[#This Row],[INGRESO PRECIO ARIBA]]-Datos[[#This Row],[Costos Totales (Norwork)]])/Datos[[#This Row],[INGRESO PRECIO ARIBA]],"")</f>
        <v/>
      </c>
      <c r="Z343" s="148" t="str">
        <f>IFERROR(IF(Datos[[#This Row],[CON ETIQUETA]]="No",VALORHOJA(Datos[[#This Row],[NP]],$B$44),VALORHOJA(Datos[[#This Row],[NP]],$D$44)),"")</f>
        <v/>
      </c>
      <c r="AA343" s="148" t="str">
        <f>IFERROR(IF(Datos[[#This Row],[Precio / Millar (Norwork)]]&lt;&gt;"",PRODUCT(Datos[[#This Row],[Precio / Millar (Norwork)]]/1000,Datos[[#This Row],[DEMANDA ANUAL]]),""),"")</f>
        <v/>
      </c>
      <c r="AB34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43" s="148" t="str">
        <f>IFERROR(IF(Datos[[#This Row],[Precio / Millar (Norwork)]]&lt;&gt;"",SUM(Datos[[#This Row],[Ingresos Totales (Norwork)]],-Datos[[#This Row],[Costos Totales (Norwork)]]),""),"")</f>
        <v/>
      </c>
      <c r="AD343" s="153" t="str">
        <f>IFERROR(Datos[[#This Row],[Beneficio (Norwork)]]/Datos[[#This Row],[Ingresos Totales (Norwork)]],"")</f>
        <v/>
      </c>
    </row>
    <row r="344" spans="2:30" x14ac:dyDescent="0.3">
      <c r="B344" s="145" t="s">
        <v>692</v>
      </c>
      <c r="C344" s="145" t="s">
        <v>1114</v>
      </c>
      <c r="D344" s="145"/>
      <c r="E344" s="145"/>
      <c r="G344" s="149">
        <v>193</v>
      </c>
      <c r="H344" s="144"/>
      <c r="W344" s="148" t="s">
        <v>298</v>
      </c>
      <c r="X344" s="148" t="str">
        <f>IFERROR(Datos[[#This Row],[ARIBA PRECIO POR MILLAR (Dólares)]]/1000*Datos[[#This Row],[DEMANDA ANUAL]],"")</f>
        <v/>
      </c>
      <c r="Y344" s="153" t="str">
        <f>IFERROR((Datos[[#This Row],[INGRESO PRECIO ARIBA]]-Datos[[#This Row],[Costos Totales (Norwork)]])/Datos[[#This Row],[INGRESO PRECIO ARIBA]],"")</f>
        <v/>
      </c>
      <c r="Z344" s="148" t="str">
        <f>IFERROR(IF(Datos[[#This Row],[CON ETIQUETA]]="No",VALORHOJA(Datos[[#This Row],[NP]],$B$44),VALORHOJA(Datos[[#This Row],[NP]],$D$44)),"")</f>
        <v/>
      </c>
      <c r="AA344" s="148" t="str">
        <f>IFERROR(IF(Datos[[#This Row],[Precio / Millar (Norwork)]]&lt;&gt;"",PRODUCT(Datos[[#This Row],[Precio / Millar (Norwork)]]/1000,Datos[[#This Row],[DEMANDA ANUAL]]),""),"")</f>
        <v/>
      </c>
      <c r="AB34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44" s="148" t="str">
        <f>IFERROR(IF(Datos[[#This Row],[Precio / Millar (Norwork)]]&lt;&gt;"",SUM(Datos[[#This Row],[Ingresos Totales (Norwork)]],-Datos[[#This Row],[Costos Totales (Norwork)]]),""),"")</f>
        <v/>
      </c>
      <c r="AD344" s="153" t="str">
        <f>IFERROR(Datos[[#This Row],[Beneficio (Norwork)]]/Datos[[#This Row],[Ingresos Totales (Norwork)]],"")</f>
        <v/>
      </c>
    </row>
    <row r="345" spans="2:30" x14ac:dyDescent="0.3">
      <c r="B345" s="145" t="s">
        <v>665</v>
      </c>
      <c r="C345" s="145" t="s">
        <v>1088</v>
      </c>
      <c r="D345" s="145"/>
      <c r="E345" s="145"/>
      <c r="G345" s="149">
        <v>192</v>
      </c>
      <c r="H345" s="144"/>
      <c r="W345" s="148" t="s">
        <v>298</v>
      </c>
      <c r="X345" s="148" t="str">
        <f>IFERROR(Datos[[#This Row],[ARIBA PRECIO POR MILLAR (Dólares)]]/1000*Datos[[#This Row],[DEMANDA ANUAL]],"")</f>
        <v/>
      </c>
      <c r="Y345" s="153" t="str">
        <f>IFERROR((Datos[[#This Row],[INGRESO PRECIO ARIBA]]-Datos[[#This Row],[Costos Totales (Norwork)]])/Datos[[#This Row],[INGRESO PRECIO ARIBA]],"")</f>
        <v/>
      </c>
      <c r="Z345" s="148" t="str">
        <f>IFERROR(IF(Datos[[#This Row],[CON ETIQUETA]]="No",VALORHOJA(Datos[[#This Row],[NP]],$B$44),VALORHOJA(Datos[[#This Row],[NP]],$D$44)),"")</f>
        <v/>
      </c>
      <c r="AA345" s="148" t="str">
        <f>IFERROR(IF(Datos[[#This Row],[Precio / Millar (Norwork)]]&lt;&gt;"",PRODUCT(Datos[[#This Row],[Precio / Millar (Norwork)]]/1000,Datos[[#This Row],[DEMANDA ANUAL]]),""),"")</f>
        <v/>
      </c>
      <c r="AB34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45" s="148" t="str">
        <f>IFERROR(IF(Datos[[#This Row],[Precio / Millar (Norwork)]]&lt;&gt;"",SUM(Datos[[#This Row],[Ingresos Totales (Norwork)]],-Datos[[#This Row],[Costos Totales (Norwork)]]),""),"")</f>
        <v/>
      </c>
      <c r="AD345" s="153" t="str">
        <f>IFERROR(Datos[[#This Row],[Beneficio (Norwork)]]/Datos[[#This Row],[Ingresos Totales (Norwork)]],"")</f>
        <v/>
      </c>
    </row>
    <row r="346" spans="2:30" x14ac:dyDescent="0.3">
      <c r="B346" s="145" t="s">
        <v>693</v>
      </c>
      <c r="C346" s="145" t="s">
        <v>1115</v>
      </c>
      <c r="D346" s="145"/>
      <c r="E346" s="145"/>
      <c r="G346" s="149">
        <v>190</v>
      </c>
      <c r="H346" s="144"/>
      <c r="W346" s="148" t="s">
        <v>298</v>
      </c>
      <c r="X346" s="148" t="str">
        <f>IFERROR(Datos[[#This Row],[ARIBA PRECIO POR MILLAR (Dólares)]]/1000*Datos[[#This Row],[DEMANDA ANUAL]],"")</f>
        <v/>
      </c>
      <c r="Y346" s="153" t="str">
        <f>IFERROR((Datos[[#This Row],[INGRESO PRECIO ARIBA]]-Datos[[#This Row],[Costos Totales (Norwork)]])/Datos[[#This Row],[INGRESO PRECIO ARIBA]],"")</f>
        <v/>
      </c>
      <c r="Z346" s="148" t="str">
        <f>IFERROR(IF(Datos[[#This Row],[CON ETIQUETA]]="No",VALORHOJA(Datos[[#This Row],[NP]],$B$44),VALORHOJA(Datos[[#This Row],[NP]],$D$44)),"")</f>
        <v/>
      </c>
      <c r="AA346" s="148" t="str">
        <f>IFERROR(IF(Datos[[#This Row],[Precio / Millar (Norwork)]]&lt;&gt;"",PRODUCT(Datos[[#This Row],[Precio / Millar (Norwork)]]/1000,Datos[[#This Row],[DEMANDA ANUAL]]),""),"")</f>
        <v/>
      </c>
      <c r="AB34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46" s="148" t="str">
        <f>IFERROR(IF(Datos[[#This Row],[Precio / Millar (Norwork)]]&lt;&gt;"",SUM(Datos[[#This Row],[Ingresos Totales (Norwork)]],-Datos[[#This Row],[Costos Totales (Norwork)]]),""),"")</f>
        <v/>
      </c>
      <c r="AD346" s="153" t="str">
        <f>IFERROR(Datos[[#This Row],[Beneficio (Norwork)]]/Datos[[#This Row],[Ingresos Totales (Norwork)]],"")</f>
        <v/>
      </c>
    </row>
    <row r="347" spans="2:30" x14ac:dyDescent="0.3">
      <c r="B347" s="145" t="s">
        <v>694</v>
      </c>
      <c r="C347" s="145" t="s">
        <v>1116</v>
      </c>
      <c r="D347" s="145"/>
      <c r="E347" s="145"/>
      <c r="G347" s="149">
        <v>187</v>
      </c>
      <c r="H347" s="144"/>
      <c r="W347" s="148" t="s">
        <v>298</v>
      </c>
      <c r="X347" s="148" t="str">
        <f>IFERROR(Datos[[#This Row],[ARIBA PRECIO POR MILLAR (Dólares)]]/1000*Datos[[#This Row],[DEMANDA ANUAL]],"")</f>
        <v/>
      </c>
      <c r="Y347" s="153" t="str">
        <f>IFERROR((Datos[[#This Row],[INGRESO PRECIO ARIBA]]-Datos[[#This Row],[Costos Totales (Norwork)]])/Datos[[#This Row],[INGRESO PRECIO ARIBA]],"")</f>
        <v/>
      </c>
      <c r="Z347" s="148" t="str">
        <f>IFERROR(IF(Datos[[#This Row],[CON ETIQUETA]]="No",VALORHOJA(Datos[[#This Row],[NP]],$B$44),VALORHOJA(Datos[[#This Row],[NP]],$D$44)),"")</f>
        <v/>
      </c>
      <c r="AA347" s="148" t="str">
        <f>IFERROR(IF(Datos[[#This Row],[Precio / Millar (Norwork)]]&lt;&gt;"",PRODUCT(Datos[[#This Row],[Precio / Millar (Norwork)]]/1000,Datos[[#This Row],[DEMANDA ANUAL]]),""),"")</f>
        <v/>
      </c>
      <c r="AB34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47" s="148" t="str">
        <f>IFERROR(IF(Datos[[#This Row],[Precio / Millar (Norwork)]]&lt;&gt;"",SUM(Datos[[#This Row],[Ingresos Totales (Norwork)]],-Datos[[#This Row],[Costos Totales (Norwork)]]),""),"")</f>
        <v/>
      </c>
      <c r="AD347" s="153" t="str">
        <f>IFERROR(Datos[[#This Row],[Beneficio (Norwork)]]/Datos[[#This Row],[Ingresos Totales (Norwork)]],"")</f>
        <v/>
      </c>
    </row>
    <row r="348" spans="2:30" x14ac:dyDescent="0.3">
      <c r="B348" s="145" t="s">
        <v>667</v>
      </c>
      <c r="C348" s="145" t="s">
        <v>1090</v>
      </c>
      <c r="D348" s="145"/>
      <c r="E348" s="145"/>
      <c r="G348" s="149">
        <v>178</v>
      </c>
      <c r="H348" s="144"/>
      <c r="W348" s="148" t="s">
        <v>298</v>
      </c>
      <c r="X348" s="148" t="str">
        <f>IFERROR(Datos[[#This Row],[ARIBA PRECIO POR MILLAR (Dólares)]]/1000*Datos[[#This Row],[DEMANDA ANUAL]],"")</f>
        <v/>
      </c>
      <c r="Y348" s="153" t="str">
        <f>IFERROR((Datos[[#This Row],[INGRESO PRECIO ARIBA]]-Datos[[#This Row],[Costos Totales (Norwork)]])/Datos[[#This Row],[INGRESO PRECIO ARIBA]],"")</f>
        <v/>
      </c>
      <c r="Z348" s="148" t="str">
        <f>IFERROR(IF(Datos[[#This Row],[CON ETIQUETA]]="No",VALORHOJA(Datos[[#This Row],[NP]],$B$44),VALORHOJA(Datos[[#This Row],[NP]],$D$44)),"")</f>
        <v/>
      </c>
      <c r="AA348" s="148" t="str">
        <f>IFERROR(IF(Datos[[#This Row],[Precio / Millar (Norwork)]]&lt;&gt;"",PRODUCT(Datos[[#This Row],[Precio / Millar (Norwork)]]/1000,Datos[[#This Row],[DEMANDA ANUAL]]),""),"")</f>
        <v/>
      </c>
      <c r="AB34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48" s="148" t="str">
        <f>IFERROR(IF(Datos[[#This Row],[Precio / Millar (Norwork)]]&lt;&gt;"",SUM(Datos[[#This Row],[Ingresos Totales (Norwork)]],-Datos[[#This Row],[Costos Totales (Norwork)]]),""),"")</f>
        <v/>
      </c>
      <c r="AD348" s="153" t="str">
        <f>IFERROR(Datos[[#This Row],[Beneficio (Norwork)]]/Datos[[#This Row],[Ingresos Totales (Norwork)]],"")</f>
        <v/>
      </c>
    </row>
    <row r="349" spans="2:30" x14ac:dyDescent="0.3">
      <c r="B349" s="145" t="s">
        <v>503</v>
      </c>
      <c r="C349" s="145" t="s">
        <v>930</v>
      </c>
      <c r="D349" s="145"/>
      <c r="E349" s="145"/>
      <c r="G349" s="149">
        <v>176</v>
      </c>
      <c r="H349" s="144"/>
      <c r="W349" s="148" t="s">
        <v>298</v>
      </c>
      <c r="X349" s="148" t="str">
        <f>IFERROR(Datos[[#This Row],[ARIBA PRECIO POR MILLAR (Dólares)]]/1000*Datos[[#This Row],[DEMANDA ANUAL]],"")</f>
        <v/>
      </c>
      <c r="Y349" s="153" t="str">
        <f>IFERROR((Datos[[#This Row],[INGRESO PRECIO ARIBA]]-Datos[[#This Row],[Costos Totales (Norwork)]])/Datos[[#This Row],[INGRESO PRECIO ARIBA]],"")</f>
        <v/>
      </c>
      <c r="Z349" s="148" t="str">
        <f>IFERROR(IF(Datos[[#This Row],[CON ETIQUETA]]="No",VALORHOJA(Datos[[#This Row],[NP]],$B$44),VALORHOJA(Datos[[#This Row],[NP]],$D$44)),"")</f>
        <v/>
      </c>
      <c r="AA349" s="148" t="str">
        <f>IFERROR(IF(Datos[[#This Row],[Precio / Millar (Norwork)]]&lt;&gt;"",PRODUCT(Datos[[#This Row],[Precio / Millar (Norwork)]]/1000,Datos[[#This Row],[DEMANDA ANUAL]]),""),"")</f>
        <v/>
      </c>
      <c r="AB34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49" s="148" t="str">
        <f>IFERROR(IF(Datos[[#This Row],[Precio / Millar (Norwork)]]&lt;&gt;"",SUM(Datos[[#This Row],[Ingresos Totales (Norwork)]],-Datos[[#This Row],[Costos Totales (Norwork)]]),""),"")</f>
        <v/>
      </c>
      <c r="AD349" s="153" t="str">
        <f>IFERROR(Datos[[#This Row],[Beneficio (Norwork)]]/Datos[[#This Row],[Ingresos Totales (Norwork)]],"")</f>
        <v/>
      </c>
    </row>
    <row r="350" spans="2:30" x14ac:dyDescent="0.3">
      <c r="B350" s="145" t="s">
        <v>696</v>
      </c>
      <c r="C350" s="145" t="s">
        <v>1118</v>
      </c>
      <c r="D350" s="145"/>
      <c r="E350" s="145"/>
      <c r="G350" s="149">
        <v>176</v>
      </c>
      <c r="H350" s="144"/>
      <c r="W350" s="148" t="s">
        <v>298</v>
      </c>
      <c r="X350" s="148" t="str">
        <f>IFERROR(Datos[[#This Row],[ARIBA PRECIO POR MILLAR (Dólares)]]/1000*Datos[[#This Row],[DEMANDA ANUAL]],"")</f>
        <v/>
      </c>
      <c r="Y350" s="153" t="str">
        <f>IFERROR((Datos[[#This Row],[INGRESO PRECIO ARIBA]]-Datos[[#This Row],[Costos Totales (Norwork)]])/Datos[[#This Row],[INGRESO PRECIO ARIBA]],"")</f>
        <v/>
      </c>
      <c r="Z350" s="148" t="str">
        <f>IFERROR(IF(Datos[[#This Row],[CON ETIQUETA]]="No",VALORHOJA(Datos[[#This Row],[NP]],$B$44),VALORHOJA(Datos[[#This Row],[NP]],$D$44)),"")</f>
        <v/>
      </c>
      <c r="AA350" s="148" t="str">
        <f>IFERROR(IF(Datos[[#This Row],[Precio / Millar (Norwork)]]&lt;&gt;"",PRODUCT(Datos[[#This Row],[Precio / Millar (Norwork)]]/1000,Datos[[#This Row],[DEMANDA ANUAL]]),""),"")</f>
        <v/>
      </c>
      <c r="AB35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50" s="148" t="str">
        <f>IFERROR(IF(Datos[[#This Row],[Precio / Millar (Norwork)]]&lt;&gt;"",SUM(Datos[[#This Row],[Ingresos Totales (Norwork)]],-Datos[[#This Row],[Costos Totales (Norwork)]]),""),"")</f>
        <v/>
      </c>
      <c r="AD350" s="153" t="str">
        <f>IFERROR(Datos[[#This Row],[Beneficio (Norwork)]]/Datos[[#This Row],[Ingresos Totales (Norwork)]],"")</f>
        <v/>
      </c>
    </row>
    <row r="351" spans="2:30" x14ac:dyDescent="0.3">
      <c r="B351" s="145" t="s">
        <v>539</v>
      </c>
      <c r="C351" s="145" t="s">
        <v>965</v>
      </c>
      <c r="D351" s="145"/>
      <c r="E351" s="145"/>
      <c r="G351" s="149">
        <v>174</v>
      </c>
      <c r="H351" s="144"/>
      <c r="W351" s="148" t="s">
        <v>298</v>
      </c>
      <c r="X351" s="148" t="str">
        <f>IFERROR(Datos[[#This Row],[ARIBA PRECIO POR MILLAR (Dólares)]]/1000*Datos[[#This Row],[DEMANDA ANUAL]],"")</f>
        <v/>
      </c>
      <c r="Y351" s="153" t="str">
        <f>IFERROR((Datos[[#This Row],[INGRESO PRECIO ARIBA]]-Datos[[#This Row],[Costos Totales (Norwork)]])/Datos[[#This Row],[INGRESO PRECIO ARIBA]],"")</f>
        <v/>
      </c>
      <c r="Z351" s="148" t="str">
        <f>IFERROR(IF(Datos[[#This Row],[CON ETIQUETA]]="No",VALORHOJA(Datos[[#This Row],[NP]],$B$44),VALORHOJA(Datos[[#This Row],[NP]],$D$44)),"")</f>
        <v/>
      </c>
      <c r="AA351" s="148" t="str">
        <f>IFERROR(IF(Datos[[#This Row],[Precio / Millar (Norwork)]]&lt;&gt;"",PRODUCT(Datos[[#This Row],[Precio / Millar (Norwork)]]/1000,Datos[[#This Row],[DEMANDA ANUAL]]),""),"")</f>
        <v/>
      </c>
      <c r="AB35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51" s="148" t="str">
        <f>IFERROR(IF(Datos[[#This Row],[Precio / Millar (Norwork)]]&lt;&gt;"",SUM(Datos[[#This Row],[Ingresos Totales (Norwork)]],-Datos[[#This Row],[Costos Totales (Norwork)]]),""),"")</f>
        <v/>
      </c>
      <c r="AD351" s="153" t="str">
        <f>IFERROR(Datos[[#This Row],[Beneficio (Norwork)]]/Datos[[#This Row],[Ingresos Totales (Norwork)]],"")</f>
        <v/>
      </c>
    </row>
    <row r="352" spans="2:30" x14ac:dyDescent="0.3">
      <c r="B352" s="145" t="s">
        <v>588</v>
      </c>
      <c r="C352" s="145" t="s">
        <v>1012</v>
      </c>
      <c r="D352" s="145"/>
      <c r="E352" s="145"/>
      <c r="G352" s="149">
        <v>164</v>
      </c>
      <c r="H352" s="144"/>
      <c r="W352" s="148" t="s">
        <v>298</v>
      </c>
      <c r="X352" s="148" t="str">
        <f>IFERROR(Datos[[#This Row],[ARIBA PRECIO POR MILLAR (Dólares)]]/1000*Datos[[#This Row],[DEMANDA ANUAL]],"")</f>
        <v/>
      </c>
      <c r="Y352" s="153" t="str">
        <f>IFERROR((Datos[[#This Row],[INGRESO PRECIO ARIBA]]-Datos[[#This Row],[Costos Totales (Norwork)]])/Datos[[#This Row],[INGRESO PRECIO ARIBA]],"")</f>
        <v/>
      </c>
      <c r="Z352" s="148" t="str">
        <f>IFERROR(IF(Datos[[#This Row],[CON ETIQUETA]]="No",VALORHOJA(Datos[[#This Row],[NP]],$B$44),VALORHOJA(Datos[[#This Row],[NP]],$D$44)),"")</f>
        <v/>
      </c>
      <c r="AA352" s="148" t="str">
        <f>IFERROR(IF(Datos[[#This Row],[Precio / Millar (Norwork)]]&lt;&gt;"",PRODUCT(Datos[[#This Row],[Precio / Millar (Norwork)]]/1000,Datos[[#This Row],[DEMANDA ANUAL]]),""),"")</f>
        <v/>
      </c>
      <c r="AB35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52" s="148" t="str">
        <f>IFERROR(IF(Datos[[#This Row],[Precio / Millar (Norwork)]]&lt;&gt;"",SUM(Datos[[#This Row],[Ingresos Totales (Norwork)]],-Datos[[#This Row],[Costos Totales (Norwork)]]),""),"")</f>
        <v/>
      </c>
      <c r="AD352" s="153" t="str">
        <f>IFERROR(Datos[[#This Row],[Beneficio (Norwork)]]/Datos[[#This Row],[Ingresos Totales (Norwork)]],"")</f>
        <v/>
      </c>
    </row>
    <row r="353" spans="2:30" x14ac:dyDescent="0.3">
      <c r="B353" s="145" t="s">
        <v>669</v>
      </c>
      <c r="C353" s="145" t="s">
        <v>1092</v>
      </c>
      <c r="D353" s="145"/>
      <c r="E353" s="145"/>
      <c r="G353" s="149">
        <v>164</v>
      </c>
      <c r="H353" s="144"/>
      <c r="W353" s="148" t="s">
        <v>298</v>
      </c>
      <c r="X353" s="148" t="str">
        <f>IFERROR(Datos[[#This Row],[ARIBA PRECIO POR MILLAR (Dólares)]]/1000*Datos[[#This Row],[DEMANDA ANUAL]],"")</f>
        <v/>
      </c>
      <c r="Y353" s="153" t="str">
        <f>IFERROR((Datos[[#This Row],[INGRESO PRECIO ARIBA]]-Datos[[#This Row],[Costos Totales (Norwork)]])/Datos[[#This Row],[INGRESO PRECIO ARIBA]],"")</f>
        <v/>
      </c>
      <c r="Z353" s="148" t="str">
        <f>IFERROR(IF(Datos[[#This Row],[CON ETIQUETA]]="No",VALORHOJA(Datos[[#This Row],[NP]],$B$44),VALORHOJA(Datos[[#This Row],[NP]],$D$44)),"")</f>
        <v/>
      </c>
      <c r="AA353" s="148" t="str">
        <f>IFERROR(IF(Datos[[#This Row],[Precio / Millar (Norwork)]]&lt;&gt;"",PRODUCT(Datos[[#This Row],[Precio / Millar (Norwork)]]/1000,Datos[[#This Row],[DEMANDA ANUAL]]),""),"")</f>
        <v/>
      </c>
      <c r="AB35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53" s="148" t="str">
        <f>IFERROR(IF(Datos[[#This Row],[Precio / Millar (Norwork)]]&lt;&gt;"",SUM(Datos[[#This Row],[Ingresos Totales (Norwork)]],-Datos[[#This Row],[Costos Totales (Norwork)]]),""),"")</f>
        <v/>
      </c>
      <c r="AD353" s="153" t="str">
        <f>IFERROR(Datos[[#This Row],[Beneficio (Norwork)]]/Datos[[#This Row],[Ingresos Totales (Norwork)]],"")</f>
        <v/>
      </c>
    </row>
    <row r="354" spans="2:30" x14ac:dyDescent="0.3">
      <c r="B354" s="145" t="s">
        <v>697</v>
      </c>
      <c r="C354" s="145" t="s">
        <v>1119</v>
      </c>
      <c r="D354" s="145"/>
      <c r="E354" s="145"/>
      <c r="G354" s="149">
        <v>164</v>
      </c>
      <c r="H354" s="144"/>
      <c r="W354" s="148" t="s">
        <v>298</v>
      </c>
      <c r="X354" s="148" t="str">
        <f>IFERROR(Datos[[#This Row],[ARIBA PRECIO POR MILLAR (Dólares)]]/1000*Datos[[#This Row],[DEMANDA ANUAL]],"")</f>
        <v/>
      </c>
      <c r="Y354" s="153" t="str">
        <f>IFERROR((Datos[[#This Row],[INGRESO PRECIO ARIBA]]-Datos[[#This Row],[Costos Totales (Norwork)]])/Datos[[#This Row],[INGRESO PRECIO ARIBA]],"")</f>
        <v/>
      </c>
      <c r="Z354" s="148" t="str">
        <f>IFERROR(IF(Datos[[#This Row],[CON ETIQUETA]]="No",VALORHOJA(Datos[[#This Row],[NP]],$B$44),VALORHOJA(Datos[[#This Row],[NP]],$D$44)),"")</f>
        <v/>
      </c>
      <c r="AA354" s="148" t="str">
        <f>IFERROR(IF(Datos[[#This Row],[Precio / Millar (Norwork)]]&lt;&gt;"",PRODUCT(Datos[[#This Row],[Precio / Millar (Norwork)]]/1000,Datos[[#This Row],[DEMANDA ANUAL]]),""),"")</f>
        <v/>
      </c>
      <c r="AB35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54" s="148" t="str">
        <f>IFERROR(IF(Datos[[#This Row],[Precio / Millar (Norwork)]]&lt;&gt;"",SUM(Datos[[#This Row],[Ingresos Totales (Norwork)]],-Datos[[#This Row],[Costos Totales (Norwork)]]),""),"")</f>
        <v/>
      </c>
      <c r="AD354" s="153" t="str">
        <f>IFERROR(Datos[[#This Row],[Beneficio (Norwork)]]/Datos[[#This Row],[Ingresos Totales (Norwork)]],"")</f>
        <v/>
      </c>
    </row>
    <row r="355" spans="2:30" x14ac:dyDescent="0.3">
      <c r="B355" s="145" t="s">
        <v>698</v>
      </c>
      <c r="C355" s="145" t="s">
        <v>1120</v>
      </c>
      <c r="D355" s="145"/>
      <c r="E355" s="145"/>
      <c r="G355" s="149">
        <v>164</v>
      </c>
      <c r="H355" s="144"/>
      <c r="W355" s="148" t="s">
        <v>298</v>
      </c>
      <c r="X355" s="148" t="str">
        <f>IFERROR(Datos[[#This Row],[ARIBA PRECIO POR MILLAR (Dólares)]]/1000*Datos[[#This Row],[DEMANDA ANUAL]],"")</f>
        <v/>
      </c>
      <c r="Y355" s="153" t="str">
        <f>IFERROR((Datos[[#This Row],[INGRESO PRECIO ARIBA]]-Datos[[#This Row],[Costos Totales (Norwork)]])/Datos[[#This Row],[INGRESO PRECIO ARIBA]],"")</f>
        <v/>
      </c>
      <c r="Z355" s="148" t="str">
        <f>IFERROR(IF(Datos[[#This Row],[CON ETIQUETA]]="No",VALORHOJA(Datos[[#This Row],[NP]],$B$44),VALORHOJA(Datos[[#This Row],[NP]],$D$44)),"")</f>
        <v/>
      </c>
      <c r="AA355" s="148" t="str">
        <f>IFERROR(IF(Datos[[#This Row],[Precio / Millar (Norwork)]]&lt;&gt;"",PRODUCT(Datos[[#This Row],[Precio / Millar (Norwork)]]/1000,Datos[[#This Row],[DEMANDA ANUAL]]),""),"")</f>
        <v/>
      </c>
      <c r="AB35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55" s="148" t="str">
        <f>IFERROR(IF(Datos[[#This Row],[Precio / Millar (Norwork)]]&lt;&gt;"",SUM(Datos[[#This Row],[Ingresos Totales (Norwork)]],-Datos[[#This Row],[Costos Totales (Norwork)]]),""),"")</f>
        <v/>
      </c>
      <c r="AD355" s="153" t="str">
        <f>IFERROR(Datos[[#This Row],[Beneficio (Norwork)]]/Datos[[#This Row],[Ingresos Totales (Norwork)]],"")</f>
        <v/>
      </c>
    </row>
    <row r="356" spans="2:30" x14ac:dyDescent="0.3">
      <c r="B356" s="145" t="s">
        <v>699</v>
      </c>
      <c r="C356" s="145" t="s">
        <v>1121</v>
      </c>
      <c r="D356" s="145"/>
      <c r="E356" s="145"/>
      <c r="G356" s="149">
        <v>164</v>
      </c>
      <c r="H356" s="144"/>
      <c r="W356" s="148" t="s">
        <v>298</v>
      </c>
      <c r="X356" s="148" t="str">
        <f>IFERROR(Datos[[#This Row],[ARIBA PRECIO POR MILLAR (Dólares)]]/1000*Datos[[#This Row],[DEMANDA ANUAL]],"")</f>
        <v/>
      </c>
      <c r="Y356" s="153" t="str">
        <f>IFERROR((Datos[[#This Row],[INGRESO PRECIO ARIBA]]-Datos[[#This Row],[Costos Totales (Norwork)]])/Datos[[#This Row],[INGRESO PRECIO ARIBA]],"")</f>
        <v/>
      </c>
      <c r="Z356" s="148" t="str">
        <f>IFERROR(IF(Datos[[#This Row],[CON ETIQUETA]]="No",VALORHOJA(Datos[[#This Row],[NP]],$B$44),VALORHOJA(Datos[[#This Row],[NP]],$D$44)),"")</f>
        <v/>
      </c>
      <c r="AA356" s="148" t="str">
        <f>IFERROR(IF(Datos[[#This Row],[Precio / Millar (Norwork)]]&lt;&gt;"",PRODUCT(Datos[[#This Row],[Precio / Millar (Norwork)]]/1000,Datos[[#This Row],[DEMANDA ANUAL]]),""),"")</f>
        <v/>
      </c>
      <c r="AB35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56" s="148" t="str">
        <f>IFERROR(IF(Datos[[#This Row],[Precio / Millar (Norwork)]]&lt;&gt;"",SUM(Datos[[#This Row],[Ingresos Totales (Norwork)]],-Datos[[#This Row],[Costos Totales (Norwork)]]),""),"")</f>
        <v/>
      </c>
      <c r="AD356" s="153" t="str">
        <f>IFERROR(Datos[[#This Row],[Beneficio (Norwork)]]/Datos[[#This Row],[Ingresos Totales (Norwork)]],"")</f>
        <v/>
      </c>
    </row>
    <row r="357" spans="2:30" x14ac:dyDescent="0.3">
      <c r="B357" s="145" t="s">
        <v>642</v>
      </c>
      <c r="C357" s="145" t="s">
        <v>1065</v>
      </c>
      <c r="D357" s="145"/>
      <c r="E357" s="145"/>
      <c r="G357" s="149">
        <v>160</v>
      </c>
      <c r="H357" s="144"/>
      <c r="W357" s="148" t="s">
        <v>298</v>
      </c>
      <c r="X357" s="148" t="str">
        <f>IFERROR(Datos[[#This Row],[ARIBA PRECIO POR MILLAR (Dólares)]]/1000*Datos[[#This Row],[DEMANDA ANUAL]],"")</f>
        <v/>
      </c>
      <c r="Y357" s="153" t="str">
        <f>IFERROR((Datos[[#This Row],[INGRESO PRECIO ARIBA]]-Datos[[#This Row],[Costos Totales (Norwork)]])/Datos[[#This Row],[INGRESO PRECIO ARIBA]],"")</f>
        <v/>
      </c>
      <c r="Z357" s="148" t="str">
        <f>IFERROR(IF(Datos[[#This Row],[CON ETIQUETA]]="No",VALORHOJA(Datos[[#This Row],[NP]],$B$44),VALORHOJA(Datos[[#This Row],[NP]],$D$44)),"")</f>
        <v/>
      </c>
      <c r="AA357" s="148" t="str">
        <f>IFERROR(IF(Datos[[#This Row],[Precio / Millar (Norwork)]]&lt;&gt;"",PRODUCT(Datos[[#This Row],[Precio / Millar (Norwork)]]/1000,Datos[[#This Row],[DEMANDA ANUAL]]),""),"")</f>
        <v/>
      </c>
      <c r="AB35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57" s="148" t="str">
        <f>IFERROR(IF(Datos[[#This Row],[Precio / Millar (Norwork)]]&lt;&gt;"",SUM(Datos[[#This Row],[Ingresos Totales (Norwork)]],-Datos[[#This Row],[Costos Totales (Norwork)]]),""),"")</f>
        <v/>
      </c>
      <c r="AD357" s="153" t="str">
        <f>IFERROR(Datos[[#This Row],[Beneficio (Norwork)]]/Datos[[#This Row],[Ingresos Totales (Norwork)]],"")</f>
        <v/>
      </c>
    </row>
    <row r="358" spans="2:30" x14ac:dyDescent="0.3">
      <c r="B358" s="145" t="s">
        <v>701</v>
      </c>
      <c r="C358" s="145" t="s">
        <v>1123</v>
      </c>
      <c r="D358" s="145"/>
      <c r="E358" s="145"/>
      <c r="G358" s="149">
        <v>160</v>
      </c>
      <c r="H358" s="144"/>
      <c r="W358" s="148" t="s">
        <v>298</v>
      </c>
      <c r="X358" s="148" t="str">
        <f>IFERROR(Datos[[#This Row],[ARIBA PRECIO POR MILLAR (Dólares)]]/1000*Datos[[#This Row],[DEMANDA ANUAL]],"")</f>
        <v/>
      </c>
      <c r="Y358" s="153" t="str">
        <f>IFERROR((Datos[[#This Row],[INGRESO PRECIO ARIBA]]-Datos[[#This Row],[Costos Totales (Norwork)]])/Datos[[#This Row],[INGRESO PRECIO ARIBA]],"")</f>
        <v/>
      </c>
      <c r="Z358" s="148" t="str">
        <f>IFERROR(IF(Datos[[#This Row],[CON ETIQUETA]]="No",VALORHOJA(Datos[[#This Row],[NP]],$B$44),VALORHOJA(Datos[[#This Row],[NP]],$D$44)),"")</f>
        <v/>
      </c>
      <c r="AA358" s="148" t="str">
        <f>IFERROR(IF(Datos[[#This Row],[Precio / Millar (Norwork)]]&lt;&gt;"",PRODUCT(Datos[[#This Row],[Precio / Millar (Norwork)]]/1000,Datos[[#This Row],[DEMANDA ANUAL]]),""),"")</f>
        <v/>
      </c>
      <c r="AB35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58" s="148" t="str">
        <f>IFERROR(IF(Datos[[#This Row],[Precio / Millar (Norwork)]]&lt;&gt;"",SUM(Datos[[#This Row],[Ingresos Totales (Norwork)]],-Datos[[#This Row],[Costos Totales (Norwork)]]),""),"")</f>
        <v/>
      </c>
      <c r="AD358" s="153" t="str">
        <f>IFERROR(Datos[[#This Row],[Beneficio (Norwork)]]/Datos[[#This Row],[Ingresos Totales (Norwork)]],"")</f>
        <v/>
      </c>
    </row>
    <row r="359" spans="2:30" x14ac:dyDescent="0.3">
      <c r="B359" s="145" t="s">
        <v>672</v>
      </c>
      <c r="C359" s="145" t="s">
        <v>1095</v>
      </c>
      <c r="D359" s="145"/>
      <c r="E359" s="145"/>
      <c r="G359" s="149">
        <v>157</v>
      </c>
      <c r="H359" s="144"/>
      <c r="W359" s="148" t="s">
        <v>298</v>
      </c>
      <c r="X359" s="148" t="str">
        <f>IFERROR(Datos[[#This Row],[ARIBA PRECIO POR MILLAR (Dólares)]]/1000*Datos[[#This Row],[DEMANDA ANUAL]],"")</f>
        <v/>
      </c>
      <c r="Y359" s="153" t="str">
        <f>IFERROR((Datos[[#This Row],[INGRESO PRECIO ARIBA]]-Datos[[#This Row],[Costos Totales (Norwork)]])/Datos[[#This Row],[INGRESO PRECIO ARIBA]],"")</f>
        <v/>
      </c>
      <c r="Z359" s="148" t="str">
        <f>IFERROR(IF(Datos[[#This Row],[CON ETIQUETA]]="No",VALORHOJA(Datos[[#This Row],[NP]],$B$44),VALORHOJA(Datos[[#This Row],[NP]],$D$44)),"")</f>
        <v/>
      </c>
      <c r="AA359" s="148" t="str">
        <f>IFERROR(IF(Datos[[#This Row],[Precio / Millar (Norwork)]]&lt;&gt;"",PRODUCT(Datos[[#This Row],[Precio / Millar (Norwork)]]/1000,Datos[[#This Row],[DEMANDA ANUAL]]),""),"")</f>
        <v/>
      </c>
      <c r="AB35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59" s="148" t="str">
        <f>IFERROR(IF(Datos[[#This Row],[Precio / Millar (Norwork)]]&lt;&gt;"",SUM(Datos[[#This Row],[Ingresos Totales (Norwork)]],-Datos[[#This Row],[Costos Totales (Norwork)]]),""),"")</f>
        <v/>
      </c>
      <c r="AD359" s="153" t="str">
        <f>IFERROR(Datos[[#This Row],[Beneficio (Norwork)]]/Datos[[#This Row],[Ingresos Totales (Norwork)]],"")</f>
        <v/>
      </c>
    </row>
    <row r="360" spans="2:30" x14ac:dyDescent="0.3">
      <c r="B360" s="145" t="s">
        <v>704</v>
      </c>
      <c r="C360" s="145" t="s">
        <v>1126</v>
      </c>
      <c r="D360" s="145"/>
      <c r="E360" s="145"/>
      <c r="G360" s="149">
        <v>154</v>
      </c>
      <c r="H360" s="144"/>
      <c r="W360" s="148" t="s">
        <v>298</v>
      </c>
      <c r="X360" s="148" t="str">
        <f>IFERROR(Datos[[#This Row],[ARIBA PRECIO POR MILLAR (Dólares)]]/1000*Datos[[#This Row],[DEMANDA ANUAL]],"")</f>
        <v/>
      </c>
      <c r="Y360" s="153" t="str">
        <f>IFERROR((Datos[[#This Row],[INGRESO PRECIO ARIBA]]-Datos[[#This Row],[Costos Totales (Norwork)]])/Datos[[#This Row],[INGRESO PRECIO ARIBA]],"")</f>
        <v/>
      </c>
      <c r="Z360" s="148" t="str">
        <f>IFERROR(IF(Datos[[#This Row],[CON ETIQUETA]]="No",VALORHOJA(Datos[[#This Row],[NP]],$B$44),VALORHOJA(Datos[[#This Row],[NP]],$D$44)),"")</f>
        <v/>
      </c>
      <c r="AA360" s="148" t="str">
        <f>IFERROR(IF(Datos[[#This Row],[Precio / Millar (Norwork)]]&lt;&gt;"",PRODUCT(Datos[[#This Row],[Precio / Millar (Norwork)]]/1000,Datos[[#This Row],[DEMANDA ANUAL]]),""),"")</f>
        <v/>
      </c>
      <c r="AB36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60" s="148" t="str">
        <f>IFERROR(IF(Datos[[#This Row],[Precio / Millar (Norwork)]]&lt;&gt;"",SUM(Datos[[#This Row],[Ingresos Totales (Norwork)]],-Datos[[#This Row],[Costos Totales (Norwork)]]),""),"")</f>
        <v/>
      </c>
      <c r="AD360" s="153" t="str">
        <f>IFERROR(Datos[[#This Row],[Beneficio (Norwork)]]/Datos[[#This Row],[Ingresos Totales (Norwork)]],"")</f>
        <v/>
      </c>
    </row>
    <row r="361" spans="2:30" x14ac:dyDescent="0.3">
      <c r="B361" s="145" t="s">
        <v>705</v>
      </c>
      <c r="C361" s="145" t="s">
        <v>1127</v>
      </c>
      <c r="D361" s="145"/>
      <c r="E361" s="145"/>
      <c r="G361" s="149">
        <v>153</v>
      </c>
      <c r="H361" s="144"/>
      <c r="W361" s="148" t="s">
        <v>298</v>
      </c>
      <c r="X361" s="148" t="str">
        <f>IFERROR(Datos[[#This Row],[ARIBA PRECIO POR MILLAR (Dólares)]]/1000*Datos[[#This Row],[DEMANDA ANUAL]],"")</f>
        <v/>
      </c>
      <c r="Y361" s="153" t="str">
        <f>IFERROR((Datos[[#This Row],[INGRESO PRECIO ARIBA]]-Datos[[#This Row],[Costos Totales (Norwork)]])/Datos[[#This Row],[INGRESO PRECIO ARIBA]],"")</f>
        <v/>
      </c>
      <c r="Z361" s="148" t="str">
        <f>IFERROR(IF(Datos[[#This Row],[CON ETIQUETA]]="No",VALORHOJA(Datos[[#This Row],[NP]],$B$44),VALORHOJA(Datos[[#This Row],[NP]],$D$44)),"")</f>
        <v/>
      </c>
      <c r="AA361" s="148" t="str">
        <f>IFERROR(IF(Datos[[#This Row],[Precio / Millar (Norwork)]]&lt;&gt;"",PRODUCT(Datos[[#This Row],[Precio / Millar (Norwork)]]/1000,Datos[[#This Row],[DEMANDA ANUAL]]),""),"")</f>
        <v/>
      </c>
      <c r="AB36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61" s="148" t="str">
        <f>IFERROR(IF(Datos[[#This Row],[Precio / Millar (Norwork)]]&lt;&gt;"",SUM(Datos[[#This Row],[Ingresos Totales (Norwork)]],-Datos[[#This Row],[Costos Totales (Norwork)]]),""),"")</f>
        <v/>
      </c>
      <c r="AD361" s="153" t="str">
        <f>IFERROR(Datos[[#This Row],[Beneficio (Norwork)]]/Datos[[#This Row],[Ingresos Totales (Norwork)]],"")</f>
        <v/>
      </c>
    </row>
    <row r="362" spans="2:30" x14ac:dyDescent="0.3">
      <c r="B362" s="145" t="s">
        <v>647</v>
      </c>
      <c r="C362" s="145" t="s">
        <v>1070</v>
      </c>
      <c r="D362" s="145"/>
      <c r="E362" s="145"/>
      <c r="G362" s="149">
        <v>147</v>
      </c>
      <c r="H362" s="144"/>
      <c r="W362" s="148" t="s">
        <v>298</v>
      </c>
      <c r="X362" s="148" t="str">
        <f>IFERROR(Datos[[#This Row],[ARIBA PRECIO POR MILLAR (Dólares)]]/1000*Datos[[#This Row],[DEMANDA ANUAL]],"")</f>
        <v/>
      </c>
      <c r="Y362" s="153" t="str">
        <f>IFERROR((Datos[[#This Row],[INGRESO PRECIO ARIBA]]-Datos[[#This Row],[Costos Totales (Norwork)]])/Datos[[#This Row],[INGRESO PRECIO ARIBA]],"")</f>
        <v/>
      </c>
      <c r="Z362" s="148" t="str">
        <f>IFERROR(IF(Datos[[#This Row],[CON ETIQUETA]]="No",VALORHOJA(Datos[[#This Row],[NP]],$B$44),VALORHOJA(Datos[[#This Row],[NP]],$D$44)),"")</f>
        <v/>
      </c>
      <c r="AA362" s="148" t="str">
        <f>IFERROR(IF(Datos[[#This Row],[Precio / Millar (Norwork)]]&lt;&gt;"",PRODUCT(Datos[[#This Row],[Precio / Millar (Norwork)]]/1000,Datos[[#This Row],[DEMANDA ANUAL]]),""),"")</f>
        <v/>
      </c>
      <c r="AB36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62" s="148" t="str">
        <f>IFERROR(IF(Datos[[#This Row],[Precio / Millar (Norwork)]]&lt;&gt;"",SUM(Datos[[#This Row],[Ingresos Totales (Norwork)]],-Datos[[#This Row],[Costos Totales (Norwork)]]),""),"")</f>
        <v/>
      </c>
      <c r="AD362" s="153" t="str">
        <f>IFERROR(Datos[[#This Row],[Beneficio (Norwork)]]/Datos[[#This Row],[Ingresos Totales (Norwork)]],"")</f>
        <v/>
      </c>
    </row>
    <row r="363" spans="2:30" x14ac:dyDescent="0.3">
      <c r="B363" s="145" t="s">
        <v>706</v>
      </c>
      <c r="C363" s="145" t="s">
        <v>1128</v>
      </c>
      <c r="D363" s="145"/>
      <c r="E363" s="145"/>
      <c r="G363" s="149">
        <v>147</v>
      </c>
      <c r="H363" s="144"/>
      <c r="W363" s="148" t="s">
        <v>298</v>
      </c>
      <c r="X363" s="148" t="str">
        <f>IFERROR(Datos[[#This Row],[ARIBA PRECIO POR MILLAR (Dólares)]]/1000*Datos[[#This Row],[DEMANDA ANUAL]],"")</f>
        <v/>
      </c>
      <c r="Y363" s="153" t="str">
        <f>IFERROR((Datos[[#This Row],[INGRESO PRECIO ARIBA]]-Datos[[#This Row],[Costos Totales (Norwork)]])/Datos[[#This Row],[INGRESO PRECIO ARIBA]],"")</f>
        <v/>
      </c>
      <c r="Z363" s="148" t="str">
        <f>IFERROR(IF(Datos[[#This Row],[CON ETIQUETA]]="No",VALORHOJA(Datos[[#This Row],[NP]],$B$44),VALORHOJA(Datos[[#This Row],[NP]],$D$44)),"")</f>
        <v/>
      </c>
      <c r="AA363" s="148" t="str">
        <f>IFERROR(IF(Datos[[#This Row],[Precio / Millar (Norwork)]]&lt;&gt;"",PRODUCT(Datos[[#This Row],[Precio / Millar (Norwork)]]/1000,Datos[[#This Row],[DEMANDA ANUAL]]),""),"")</f>
        <v/>
      </c>
      <c r="AB36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63" s="148" t="str">
        <f>IFERROR(IF(Datos[[#This Row],[Precio / Millar (Norwork)]]&lt;&gt;"",SUM(Datos[[#This Row],[Ingresos Totales (Norwork)]],-Datos[[#This Row],[Costos Totales (Norwork)]]),""),"")</f>
        <v/>
      </c>
      <c r="AD363" s="153" t="str">
        <f>IFERROR(Datos[[#This Row],[Beneficio (Norwork)]]/Datos[[#This Row],[Ingresos Totales (Norwork)]],"")</f>
        <v/>
      </c>
    </row>
    <row r="364" spans="2:30" x14ac:dyDescent="0.3">
      <c r="B364" s="145" t="s">
        <v>624</v>
      </c>
      <c r="C364" s="145" t="s">
        <v>1047</v>
      </c>
      <c r="D364" s="145"/>
      <c r="E364" s="145"/>
      <c r="G364" s="149">
        <v>144</v>
      </c>
      <c r="H364" s="144"/>
      <c r="W364" s="148" t="s">
        <v>298</v>
      </c>
      <c r="X364" s="148" t="str">
        <f>IFERROR(Datos[[#This Row],[ARIBA PRECIO POR MILLAR (Dólares)]]/1000*Datos[[#This Row],[DEMANDA ANUAL]],"")</f>
        <v/>
      </c>
      <c r="Y364" s="153" t="str">
        <f>IFERROR((Datos[[#This Row],[INGRESO PRECIO ARIBA]]-Datos[[#This Row],[Costos Totales (Norwork)]])/Datos[[#This Row],[INGRESO PRECIO ARIBA]],"")</f>
        <v/>
      </c>
      <c r="Z364" s="148" t="str">
        <f>IFERROR(IF(Datos[[#This Row],[CON ETIQUETA]]="No",VALORHOJA(Datos[[#This Row],[NP]],$B$44),VALORHOJA(Datos[[#This Row],[NP]],$D$44)),"")</f>
        <v/>
      </c>
      <c r="AA364" s="148" t="str">
        <f>IFERROR(IF(Datos[[#This Row],[Precio / Millar (Norwork)]]&lt;&gt;"",PRODUCT(Datos[[#This Row],[Precio / Millar (Norwork)]]/1000,Datos[[#This Row],[DEMANDA ANUAL]]),""),"")</f>
        <v/>
      </c>
      <c r="AB36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64" s="148" t="str">
        <f>IFERROR(IF(Datos[[#This Row],[Precio / Millar (Norwork)]]&lt;&gt;"",SUM(Datos[[#This Row],[Ingresos Totales (Norwork)]],-Datos[[#This Row],[Costos Totales (Norwork)]]),""),"")</f>
        <v/>
      </c>
      <c r="AD364" s="153" t="str">
        <f>IFERROR(Datos[[#This Row],[Beneficio (Norwork)]]/Datos[[#This Row],[Ingresos Totales (Norwork)]],"")</f>
        <v/>
      </c>
    </row>
    <row r="365" spans="2:30" x14ac:dyDescent="0.3">
      <c r="B365" s="145" t="s">
        <v>710</v>
      </c>
      <c r="C365" s="145" t="s">
        <v>1132</v>
      </c>
      <c r="D365" s="145"/>
      <c r="E365" s="145"/>
      <c r="G365" s="149">
        <v>136</v>
      </c>
      <c r="H365" s="144"/>
      <c r="W365" s="148" t="s">
        <v>298</v>
      </c>
      <c r="X365" s="148" t="str">
        <f>IFERROR(Datos[[#This Row],[ARIBA PRECIO POR MILLAR (Dólares)]]/1000*Datos[[#This Row],[DEMANDA ANUAL]],"")</f>
        <v/>
      </c>
      <c r="Y365" s="153" t="str">
        <f>IFERROR((Datos[[#This Row],[INGRESO PRECIO ARIBA]]-Datos[[#This Row],[Costos Totales (Norwork)]])/Datos[[#This Row],[INGRESO PRECIO ARIBA]],"")</f>
        <v/>
      </c>
      <c r="Z365" s="148" t="str">
        <f>IFERROR(IF(Datos[[#This Row],[CON ETIQUETA]]="No",VALORHOJA(Datos[[#This Row],[NP]],$B$44),VALORHOJA(Datos[[#This Row],[NP]],$D$44)),"")</f>
        <v/>
      </c>
      <c r="AA365" s="148" t="str">
        <f>IFERROR(IF(Datos[[#This Row],[Precio / Millar (Norwork)]]&lt;&gt;"",PRODUCT(Datos[[#This Row],[Precio / Millar (Norwork)]]/1000,Datos[[#This Row],[DEMANDA ANUAL]]),""),"")</f>
        <v/>
      </c>
      <c r="AB36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65" s="148" t="str">
        <f>IFERROR(IF(Datos[[#This Row],[Precio / Millar (Norwork)]]&lt;&gt;"",SUM(Datos[[#This Row],[Ingresos Totales (Norwork)]],-Datos[[#This Row],[Costos Totales (Norwork)]]),""),"")</f>
        <v/>
      </c>
      <c r="AD365" s="153" t="str">
        <f>IFERROR(Datos[[#This Row],[Beneficio (Norwork)]]/Datos[[#This Row],[Ingresos Totales (Norwork)]],"")</f>
        <v/>
      </c>
    </row>
    <row r="366" spans="2:30" x14ac:dyDescent="0.3">
      <c r="B366" s="145" t="s">
        <v>711</v>
      </c>
      <c r="C366" s="145" t="s">
        <v>1133</v>
      </c>
      <c r="D366" s="145"/>
      <c r="E366" s="145"/>
      <c r="G366" s="149">
        <v>133</v>
      </c>
      <c r="H366" s="144"/>
      <c r="W366" s="148" t="s">
        <v>298</v>
      </c>
      <c r="X366" s="148" t="str">
        <f>IFERROR(Datos[[#This Row],[ARIBA PRECIO POR MILLAR (Dólares)]]/1000*Datos[[#This Row],[DEMANDA ANUAL]],"")</f>
        <v/>
      </c>
      <c r="Y366" s="153" t="str">
        <f>IFERROR((Datos[[#This Row],[INGRESO PRECIO ARIBA]]-Datos[[#This Row],[Costos Totales (Norwork)]])/Datos[[#This Row],[INGRESO PRECIO ARIBA]],"")</f>
        <v/>
      </c>
      <c r="Z366" s="148" t="str">
        <f>IFERROR(IF(Datos[[#This Row],[CON ETIQUETA]]="No",VALORHOJA(Datos[[#This Row],[NP]],$B$44),VALORHOJA(Datos[[#This Row],[NP]],$D$44)),"")</f>
        <v/>
      </c>
      <c r="AA366" s="148" t="str">
        <f>IFERROR(IF(Datos[[#This Row],[Precio / Millar (Norwork)]]&lt;&gt;"",PRODUCT(Datos[[#This Row],[Precio / Millar (Norwork)]]/1000,Datos[[#This Row],[DEMANDA ANUAL]]),""),"")</f>
        <v/>
      </c>
      <c r="AB36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66" s="148" t="str">
        <f>IFERROR(IF(Datos[[#This Row],[Precio / Millar (Norwork)]]&lt;&gt;"",SUM(Datos[[#This Row],[Ingresos Totales (Norwork)]],-Datos[[#This Row],[Costos Totales (Norwork)]]),""),"")</f>
        <v/>
      </c>
      <c r="AD366" s="153" t="str">
        <f>IFERROR(Datos[[#This Row],[Beneficio (Norwork)]]/Datos[[#This Row],[Ingresos Totales (Norwork)]],"")</f>
        <v/>
      </c>
    </row>
    <row r="367" spans="2:30" x14ac:dyDescent="0.3">
      <c r="B367" s="145" t="s">
        <v>585</v>
      </c>
      <c r="C367" s="145" t="s">
        <v>1009</v>
      </c>
      <c r="D367" s="145"/>
      <c r="E367" s="145"/>
      <c r="G367" s="149">
        <v>132</v>
      </c>
      <c r="H367" s="144"/>
      <c r="W367" s="148" t="s">
        <v>298</v>
      </c>
      <c r="X367" s="148" t="str">
        <f>IFERROR(Datos[[#This Row],[ARIBA PRECIO POR MILLAR (Dólares)]]/1000*Datos[[#This Row],[DEMANDA ANUAL]],"")</f>
        <v/>
      </c>
      <c r="Y367" s="153" t="str">
        <f>IFERROR((Datos[[#This Row],[INGRESO PRECIO ARIBA]]-Datos[[#This Row],[Costos Totales (Norwork)]])/Datos[[#This Row],[INGRESO PRECIO ARIBA]],"")</f>
        <v/>
      </c>
      <c r="Z367" s="148" t="str">
        <f>IFERROR(IF(Datos[[#This Row],[CON ETIQUETA]]="No",VALORHOJA(Datos[[#This Row],[NP]],$B$44),VALORHOJA(Datos[[#This Row],[NP]],$D$44)),"")</f>
        <v/>
      </c>
      <c r="AA367" s="148" t="str">
        <f>IFERROR(IF(Datos[[#This Row],[Precio / Millar (Norwork)]]&lt;&gt;"",PRODUCT(Datos[[#This Row],[Precio / Millar (Norwork)]]/1000,Datos[[#This Row],[DEMANDA ANUAL]]),""),"")</f>
        <v/>
      </c>
      <c r="AB36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67" s="148" t="str">
        <f>IFERROR(IF(Datos[[#This Row],[Precio / Millar (Norwork)]]&lt;&gt;"",SUM(Datos[[#This Row],[Ingresos Totales (Norwork)]],-Datos[[#This Row],[Costos Totales (Norwork)]]),""),"")</f>
        <v/>
      </c>
      <c r="AD367" s="153" t="str">
        <f>IFERROR(Datos[[#This Row],[Beneficio (Norwork)]]/Datos[[#This Row],[Ingresos Totales (Norwork)]],"")</f>
        <v/>
      </c>
    </row>
    <row r="368" spans="2:30" x14ac:dyDescent="0.3">
      <c r="B368" s="145" t="s">
        <v>680</v>
      </c>
      <c r="C368" s="145" t="s">
        <v>1103</v>
      </c>
      <c r="D368" s="145"/>
      <c r="E368" s="145"/>
      <c r="G368" s="149">
        <v>132</v>
      </c>
      <c r="H368" s="144"/>
      <c r="W368" s="148" t="s">
        <v>298</v>
      </c>
      <c r="X368" s="148" t="str">
        <f>IFERROR(Datos[[#This Row],[ARIBA PRECIO POR MILLAR (Dólares)]]/1000*Datos[[#This Row],[DEMANDA ANUAL]],"")</f>
        <v/>
      </c>
      <c r="Y368" s="153" t="str">
        <f>IFERROR((Datos[[#This Row],[INGRESO PRECIO ARIBA]]-Datos[[#This Row],[Costos Totales (Norwork)]])/Datos[[#This Row],[INGRESO PRECIO ARIBA]],"")</f>
        <v/>
      </c>
      <c r="Z368" s="148" t="str">
        <f>IFERROR(IF(Datos[[#This Row],[CON ETIQUETA]]="No",VALORHOJA(Datos[[#This Row],[NP]],$B$44),VALORHOJA(Datos[[#This Row],[NP]],$D$44)),"")</f>
        <v/>
      </c>
      <c r="AA368" s="148" t="str">
        <f>IFERROR(IF(Datos[[#This Row],[Precio / Millar (Norwork)]]&lt;&gt;"",PRODUCT(Datos[[#This Row],[Precio / Millar (Norwork)]]/1000,Datos[[#This Row],[DEMANDA ANUAL]]),""),"")</f>
        <v/>
      </c>
      <c r="AB36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68" s="148" t="str">
        <f>IFERROR(IF(Datos[[#This Row],[Precio / Millar (Norwork)]]&lt;&gt;"",SUM(Datos[[#This Row],[Ingresos Totales (Norwork)]],-Datos[[#This Row],[Costos Totales (Norwork)]]),""),"")</f>
        <v/>
      </c>
      <c r="AD368" s="153" t="str">
        <f>IFERROR(Datos[[#This Row],[Beneficio (Norwork)]]/Datos[[#This Row],[Ingresos Totales (Norwork)]],"")</f>
        <v/>
      </c>
    </row>
    <row r="369" spans="2:30" x14ac:dyDescent="0.3">
      <c r="B369" s="145" t="s">
        <v>682</v>
      </c>
      <c r="C369" s="145" t="s">
        <v>1105</v>
      </c>
      <c r="D369" s="145"/>
      <c r="E369" s="145"/>
      <c r="G369" s="149">
        <v>130</v>
      </c>
      <c r="H369" s="144"/>
      <c r="W369" s="148" t="s">
        <v>298</v>
      </c>
      <c r="X369" s="148" t="str">
        <f>IFERROR(Datos[[#This Row],[ARIBA PRECIO POR MILLAR (Dólares)]]/1000*Datos[[#This Row],[DEMANDA ANUAL]],"")</f>
        <v/>
      </c>
      <c r="Y369" s="153" t="str">
        <f>IFERROR((Datos[[#This Row],[INGRESO PRECIO ARIBA]]-Datos[[#This Row],[Costos Totales (Norwork)]])/Datos[[#This Row],[INGRESO PRECIO ARIBA]],"")</f>
        <v/>
      </c>
      <c r="Z369" s="148" t="str">
        <f>IFERROR(IF(Datos[[#This Row],[CON ETIQUETA]]="No",VALORHOJA(Datos[[#This Row],[NP]],$B$44),VALORHOJA(Datos[[#This Row],[NP]],$D$44)),"")</f>
        <v/>
      </c>
      <c r="AA369" s="148" t="str">
        <f>IFERROR(IF(Datos[[#This Row],[Precio / Millar (Norwork)]]&lt;&gt;"",PRODUCT(Datos[[#This Row],[Precio / Millar (Norwork)]]/1000,Datos[[#This Row],[DEMANDA ANUAL]]),""),"")</f>
        <v/>
      </c>
      <c r="AB36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69" s="148" t="str">
        <f>IFERROR(IF(Datos[[#This Row],[Precio / Millar (Norwork)]]&lt;&gt;"",SUM(Datos[[#This Row],[Ingresos Totales (Norwork)]],-Datos[[#This Row],[Costos Totales (Norwork)]]),""),"")</f>
        <v/>
      </c>
      <c r="AD369" s="153" t="str">
        <f>IFERROR(Datos[[#This Row],[Beneficio (Norwork)]]/Datos[[#This Row],[Ingresos Totales (Norwork)]],"")</f>
        <v/>
      </c>
    </row>
    <row r="370" spans="2:30" x14ac:dyDescent="0.3">
      <c r="B370" s="145" t="s">
        <v>712</v>
      </c>
      <c r="C370" s="145" t="s">
        <v>1134</v>
      </c>
      <c r="D370" s="145"/>
      <c r="E370" s="145"/>
      <c r="G370" s="149">
        <v>121</v>
      </c>
      <c r="H370" s="144"/>
      <c r="W370" s="148" t="s">
        <v>298</v>
      </c>
      <c r="X370" s="148" t="str">
        <f>IFERROR(Datos[[#This Row],[ARIBA PRECIO POR MILLAR (Dólares)]]/1000*Datos[[#This Row],[DEMANDA ANUAL]],"")</f>
        <v/>
      </c>
      <c r="Y370" s="153" t="str">
        <f>IFERROR((Datos[[#This Row],[INGRESO PRECIO ARIBA]]-Datos[[#This Row],[Costos Totales (Norwork)]])/Datos[[#This Row],[INGRESO PRECIO ARIBA]],"")</f>
        <v/>
      </c>
      <c r="Z370" s="148" t="str">
        <f>IFERROR(IF(Datos[[#This Row],[CON ETIQUETA]]="No",VALORHOJA(Datos[[#This Row],[NP]],$B$44),VALORHOJA(Datos[[#This Row],[NP]],$D$44)),"")</f>
        <v/>
      </c>
      <c r="AA370" s="148" t="str">
        <f>IFERROR(IF(Datos[[#This Row],[Precio / Millar (Norwork)]]&lt;&gt;"",PRODUCT(Datos[[#This Row],[Precio / Millar (Norwork)]]/1000,Datos[[#This Row],[DEMANDA ANUAL]]),""),"")</f>
        <v/>
      </c>
      <c r="AB37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70" s="148" t="str">
        <f>IFERROR(IF(Datos[[#This Row],[Precio / Millar (Norwork)]]&lt;&gt;"",SUM(Datos[[#This Row],[Ingresos Totales (Norwork)]],-Datos[[#This Row],[Costos Totales (Norwork)]]),""),"")</f>
        <v/>
      </c>
      <c r="AD370" s="153" t="str">
        <f>IFERROR(Datos[[#This Row],[Beneficio (Norwork)]]/Datos[[#This Row],[Ingresos Totales (Norwork)]],"")</f>
        <v/>
      </c>
    </row>
    <row r="371" spans="2:30" x14ac:dyDescent="0.3">
      <c r="B371" s="145" t="s">
        <v>714</v>
      </c>
      <c r="C371" s="145" t="s">
        <v>1136</v>
      </c>
      <c r="D371" s="145"/>
      <c r="E371" s="145"/>
      <c r="G371" s="149">
        <v>120</v>
      </c>
      <c r="H371" s="144"/>
      <c r="W371" s="148" t="s">
        <v>298</v>
      </c>
      <c r="X371" s="148" t="str">
        <f>IFERROR(Datos[[#This Row],[ARIBA PRECIO POR MILLAR (Dólares)]]/1000*Datos[[#This Row],[DEMANDA ANUAL]],"")</f>
        <v/>
      </c>
      <c r="Y371" s="153" t="str">
        <f>IFERROR((Datos[[#This Row],[INGRESO PRECIO ARIBA]]-Datos[[#This Row],[Costos Totales (Norwork)]])/Datos[[#This Row],[INGRESO PRECIO ARIBA]],"")</f>
        <v/>
      </c>
      <c r="Z371" s="148" t="str">
        <f>IFERROR(IF(Datos[[#This Row],[CON ETIQUETA]]="No",VALORHOJA(Datos[[#This Row],[NP]],$B$44),VALORHOJA(Datos[[#This Row],[NP]],$D$44)),"")</f>
        <v/>
      </c>
      <c r="AA371" s="148" t="str">
        <f>IFERROR(IF(Datos[[#This Row],[Precio / Millar (Norwork)]]&lt;&gt;"",PRODUCT(Datos[[#This Row],[Precio / Millar (Norwork)]]/1000,Datos[[#This Row],[DEMANDA ANUAL]]),""),"")</f>
        <v/>
      </c>
      <c r="AB37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71" s="148" t="str">
        <f>IFERROR(IF(Datos[[#This Row],[Precio / Millar (Norwork)]]&lt;&gt;"",SUM(Datos[[#This Row],[Ingresos Totales (Norwork)]],-Datos[[#This Row],[Costos Totales (Norwork)]]),""),"")</f>
        <v/>
      </c>
      <c r="AD371" s="153" t="str">
        <f>IFERROR(Datos[[#This Row],[Beneficio (Norwork)]]/Datos[[#This Row],[Ingresos Totales (Norwork)]],"")</f>
        <v/>
      </c>
    </row>
    <row r="372" spans="2:30" x14ac:dyDescent="0.3">
      <c r="B372" s="145" t="s">
        <v>621</v>
      </c>
      <c r="C372" s="145" t="s">
        <v>1044</v>
      </c>
      <c r="D372" s="145"/>
      <c r="E372" s="145"/>
      <c r="G372" s="149">
        <v>115</v>
      </c>
      <c r="H372" s="144"/>
      <c r="W372" s="148" t="s">
        <v>298</v>
      </c>
      <c r="X372" s="148" t="str">
        <f>IFERROR(Datos[[#This Row],[ARIBA PRECIO POR MILLAR (Dólares)]]/1000*Datos[[#This Row],[DEMANDA ANUAL]],"")</f>
        <v/>
      </c>
      <c r="Y372" s="153" t="str">
        <f>IFERROR((Datos[[#This Row],[INGRESO PRECIO ARIBA]]-Datos[[#This Row],[Costos Totales (Norwork)]])/Datos[[#This Row],[INGRESO PRECIO ARIBA]],"")</f>
        <v/>
      </c>
      <c r="Z372" s="148" t="str">
        <f>IFERROR(IF(Datos[[#This Row],[CON ETIQUETA]]="No",VALORHOJA(Datos[[#This Row],[NP]],$B$44),VALORHOJA(Datos[[#This Row],[NP]],$D$44)),"")</f>
        <v/>
      </c>
      <c r="AA372" s="148" t="str">
        <f>IFERROR(IF(Datos[[#This Row],[Precio / Millar (Norwork)]]&lt;&gt;"",PRODUCT(Datos[[#This Row],[Precio / Millar (Norwork)]]/1000,Datos[[#This Row],[DEMANDA ANUAL]]),""),"")</f>
        <v/>
      </c>
      <c r="AB37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72" s="148" t="str">
        <f>IFERROR(IF(Datos[[#This Row],[Precio / Millar (Norwork)]]&lt;&gt;"",SUM(Datos[[#This Row],[Ingresos Totales (Norwork)]],-Datos[[#This Row],[Costos Totales (Norwork)]]),""),"")</f>
        <v/>
      </c>
      <c r="AD372" s="153" t="str">
        <f>IFERROR(Datos[[#This Row],[Beneficio (Norwork)]]/Datos[[#This Row],[Ingresos Totales (Norwork)]],"")</f>
        <v/>
      </c>
    </row>
    <row r="373" spans="2:30" x14ac:dyDescent="0.3">
      <c r="B373" s="145" t="s">
        <v>686</v>
      </c>
      <c r="C373" s="145" t="s">
        <v>1108</v>
      </c>
      <c r="D373" s="145"/>
      <c r="E373" s="145"/>
      <c r="G373" s="149">
        <v>108</v>
      </c>
      <c r="H373" s="144"/>
      <c r="W373" s="148" t="s">
        <v>298</v>
      </c>
      <c r="X373" s="148" t="str">
        <f>IFERROR(Datos[[#This Row],[ARIBA PRECIO POR MILLAR (Dólares)]]/1000*Datos[[#This Row],[DEMANDA ANUAL]],"")</f>
        <v/>
      </c>
      <c r="Y373" s="153" t="str">
        <f>IFERROR((Datos[[#This Row],[INGRESO PRECIO ARIBA]]-Datos[[#This Row],[Costos Totales (Norwork)]])/Datos[[#This Row],[INGRESO PRECIO ARIBA]],"")</f>
        <v/>
      </c>
      <c r="Z373" s="148" t="str">
        <f>IFERROR(IF(Datos[[#This Row],[CON ETIQUETA]]="No",VALORHOJA(Datos[[#This Row],[NP]],$B$44),VALORHOJA(Datos[[#This Row],[NP]],$D$44)),"")</f>
        <v/>
      </c>
      <c r="AA373" s="148" t="str">
        <f>IFERROR(IF(Datos[[#This Row],[Precio / Millar (Norwork)]]&lt;&gt;"",PRODUCT(Datos[[#This Row],[Precio / Millar (Norwork)]]/1000,Datos[[#This Row],[DEMANDA ANUAL]]),""),"")</f>
        <v/>
      </c>
      <c r="AB37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73" s="148" t="str">
        <f>IFERROR(IF(Datos[[#This Row],[Precio / Millar (Norwork)]]&lt;&gt;"",SUM(Datos[[#This Row],[Ingresos Totales (Norwork)]],-Datos[[#This Row],[Costos Totales (Norwork)]]),""),"")</f>
        <v/>
      </c>
      <c r="AD373" s="153" t="str">
        <f>IFERROR(Datos[[#This Row],[Beneficio (Norwork)]]/Datos[[#This Row],[Ingresos Totales (Norwork)]],"")</f>
        <v/>
      </c>
    </row>
    <row r="374" spans="2:30" x14ac:dyDescent="0.3">
      <c r="B374" s="145" t="s">
        <v>719</v>
      </c>
      <c r="C374" s="145" t="s">
        <v>1141</v>
      </c>
      <c r="D374" s="145"/>
      <c r="E374" s="145"/>
      <c r="G374" s="149">
        <v>108</v>
      </c>
      <c r="H374" s="144"/>
      <c r="W374" s="148" t="s">
        <v>298</v>
      </c>
      <c r="X374" s="148" t="str">
        <f>IFERROR(Datos[[#This Row],[ARIBA PRECIO POR MILLAR (Dólares)]]/1000*Datos[[#This Row],[DEMANDA ANUAL]],"")</f>
        <v/>
      </c>
      <c r="Y374" s="153" t="str">
        <f>IFERROR((Datos[[#This Row],[INGRESO PRECIO ARIBA]]-Datos[[#This Row],[Costos Totales (Norwork)]])/Datos[[#This Row],[INGRESO PRECIO ARIBA]],"")</f>
        <v/>
      </c>
      <c r="Z374" s="148" t="str">
        <f>IFERROR(IF(Datos[[#This Row],[CON ETIQUETA]]="No",VALORHOJA(Datos[[#This Row],[NP]],$B$44),VALORHOJA(Datos[[#This Row],[NP]],$D$44)),"")</f>
        <v/>
      </c>
      <c r="AA374" s="148" t="str">
        <f>IFERROR(IF(Datos[[#This Row],[Precio / Millar (Norwork)]]&lt;&gt;"",PRODUCT(Datos[[#This Row],[Precio / Millar (Norwork)]]/1000,Datos[[#This Row],[DEMANDA ANUAL]]),""),"")</f>
        <v/>
      </c>
      <c r="AB37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74" s="148" t="str">
        <f>IFERROR(IF(Datos[[#This Row],[Precio / Millar (Norwork)]]&lt;&gt;"",SUM(Datos[[#This Row],[Ingresos Totales (Norwork)]],-Datos[[#This Row],[Costos Totales (Norwork)]]),""),"")</f>
        <v/>
      </c>
      <c r="AD374" s="153" t="str">
        <f>IFERROR(Datos[[#This Row],[Beneficio (Norwork)]]/Datos[[#This Row],[Ingresos Totales (Norwork)]],"")</f>
        <v/>
      </c>
    </row>
    <row r="375" spans="2:30" x14ac:dyDescent="0.3">
      <c r="B375" s="145" t="s">
        <v>596</v>
      </c>
      <c r="C375" s="145" t="s">
        <v>1020</v>
      </c>
      <c r="D375" s="145"/>
      <c r="E375" s="145"/>
      <c r="G375" s="149">
        <v>105</v>
      </c>
      <c r="H375" s="144"/>
      <c r="W375" s="148" t="s">
        <v>298</v>
      </c>
      <c r="X375" s="148" t="str">
        <f>IFERROR(Datos[[#This Row],[ARIBA PRECIO POR MILLAR (Dólares)]]/1000*Datos[[#This Row],[DEMANDA ANUAL]],"")</f>
        <v/>
      </c>
      <c r="Y375" s="153" t="str">
        <f>IFERROR((Datos[[#This Row],[INGRESO PRECIO ARIBA]]-Datos[[#This Row],[Costos Totales (Norwork)]])/Datos[[#This Row],[INGRESO PRECIO ARIBA]],"")</f>
        <v/>
      </c>
      <c r="Z375" s="148" t="str">
        <f>IFERROR(IF(Datos[[#This Row],[CON ETIQUETA]]="No",VALORHOJA(Datos[[#This Row],[NP]],$B$44),VALORHOJA(Datos[[#This Row],[NP]],$D$44)),"")</f>
        <v/>
      </c>
      <c r="AA375" s="148" t="str">
        <f>IFERROR(IF(Datos[[#This Row],[Precio / Millar (Norwork)]]&lt;&gt;"",PRODUCT(Datos[[#This Row],[Precio / Millar (Norwork)]]/1000,Datos[[#This Row],[DEMANDA ANUAL]]),""),"")</f>
        <v/>
      </c>
      <c r="AB37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75" s="148" t="str">
        <f>IFERROR(IF(Datos[[#This Row],[Precio / Millar (Norwork)]]&lt;&gt;"",SUM(Datos[[#This Row],[Ingresos Totales (Norwork)]],-Datos[[#This Row],[Costos Totales (Norwork)]]),""),"")</f>
        <v/>
      </c>
      <c r="AD375" s="153" t="str">
        <f>IFERROR(Datos[[#This Row],[Beneficio (Norwork)]]/Datos[[#This Row],[Ingresos Totales (Norwork)]],"")</f>
        <v/>
      </c>
    </row>
    <row r="376" spans="2:30" x14ac:dyDescent="0.3">
      <c r="B376" s="145" t="s">
        <v>617</v>
      </c>
      <c r="C376" s="145" t="s">
        <v>1040</v>
      </c>
      <c r="D376" s="145"/>
      <c r="E376" s="145"/>
      <c r="G376" s="149">
        <v>102</v>
      </c>
      <c r="H376" s="144"/>
      <c r="W376" s="148" t="s">
        <v>298</v>
      </c>
      <c r="X376" s="148" t="str">
        <f>IFERROR(Datos[[#This Row],[ARIBA PRECIO POR MILLAR (Dólares)]]/1000*Datos[[#This Row],[DEMANDA ANUAL]],"")</f>
        <v/>
      </c>
      <c r="Y376" s="153" t="str">
        <f>IFERROR((Datos[[#This Row],[INGRESO PRECIO ARIBA]]-Datos[[#This Row],[Costos Totales (Norwork)]])/Datos[[#This Row],[INGRESO PRECIO ARIBA]],"")</f>
        <v/>
      </c>
      <c r="Z376" s="148" t="str">
        <f>IFERROR(IF(Datos[[#This Row],[CON ETIQUETA]]="No",VALORHOJA(Datos[[#This Row],[NP]],$B$44),VALORHOJA(Datos[[#This Row],[NP]],$D$44)),"")</f>
        <v/>
      </c>
      <c r="AA376" s="148" t="str">
        <f>IFERROR(IF(Datos[[#This Row],[Precio / Millar (Norwork)]]&lt;&gt;"",PRODUCT(Datos[[#This Row],[Precio / Millar (Norwork)]]/1000,Datos[[#This Row],[DEMANDA ANUAL]]),""),"")</f>
        <v/>
      </c>
      <c r="AB37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76" s="148" t="str">
        <f>IFERROR(IF(Datos[[#This Row],[Precio / Millar (Norwork)]]&lt;&gt;"",SUM(Datos[[#This Row],[Ingresos Totales (Norwork)]],-Datos[[#This Row],[Costos Totales (Norwork)]]),""),"")</f>
        <v/>
      </c>
      <c r="AD376" s="153" t="str">
        <f>IFERROR(Datos[[#This Row],[Beneficio (Norwork)]]/Datos[[#This Row],[Ingresos Totales (Norwork)]],"")</f>
        <v/>
      </c>
    </row>
    <row r="377" spans="2:30" x14ac:dyDescent="0.3">
      <c r="B377" s="145" t="s">
        <v>720</v>
      </c>
      <c r="C377" s="145" t="s">
        <v>1142</v>
      </c>
      <c r="D377" s="145"/>
      <c r="E377" s="145"/>
      <c r="G377" s="149">
        <v>100</v>
      </c>
      <c r="H377" s="144"/>
      <c r="W377" s="148" t="s">
        <v>298</v>
      </c>
      <c r="X377" s="148" t="str">
        <f>IFERROR(Datos[[#This Row],[ARIBA PRECIO POR MILLAR (Dólares)]]/1000*Datos[[#This Row],[DEMANDA ANUAL]],"")</f>
        <v/>
      </c>
      <c r="Y377" s="153" t="str">
        <f>IFERROR((Datos[[#This Row],[INGRESO PRECIO ARIBA]]-Datos[[#This Row],[Costos Totales (Norwork)]])/Datos[[#This Row],[INGRESO PRECIO ARIBA]],"")</f>
        <v/>
      </c>
      <c r="Z377" s="148" t="str">
        <f>IFERROR(IF(Datos[[#This Row],[CON ETIQUETA]]="No",VALORHOJA(Datos[[#This Row],[NP]],$B$44),VALORHOJA(Datos[[#This Row],[NP]],$D$44)),"")</f>
        <v/>
      </c>
      <c r="AA377" s="148" t="str">
        <f>IFERROR(IF(Datos[[#This Row],[Precio / Millar (Norwork)]]&lt;&gt;"",PRODUCT(Datos[[#This Row],[Precio / Millar (Norwork)]]/1000,Datos[[#This Row],[DEMANDA ANUAL]]),""),"")</f>
        <v/>
      </c>
      <c r="AB37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77" s="148" t="str">
        <f>IFERROR(IF(Datos[[#This Row],[Precio / Millar (Norwork)]]&lt;&gt;"",SUM(Datos[[#This Row],[Ingresos Totales (Norwork)]],-Datos[[#This Row],[Costos Totales (Norwork)]]),""),"")</f>
        <v/>
      </c>
      <c r="AD377" s="153" t="str">
        <f>IFERROR(Datos[[#This Row],[Beneficio (Norwork)]]/Datos[[#This Row],[Ingresos Totales (Norwork)]],"")</f>
        <v/>
      </c>
    </row>
    <row r="378" spans="2:30" x14ac:dyDescent="0.3">
      <c r="B378" s="145" t="s">
        <v>648</v>
      </c>
      <c r="C378" s="145" t="s">
        <v>1071</v>
      </c>
      <c r="D378" s="145"/>
      <c r="E378" s="145"/>
      <c r="G378" s="149">
        <v>96</v>
      </c>
      <c r="H378" s="144"/>
      <c r="W378" s="148" t="s">
        <v>298</v>
      </c>
      <c r="X378" s="148" t="str">
        <f>IFERROR(Datos[[#This Row],[ARIBA PRECIO POR MILLAR (Dólares)]]/1000*Datos[[#This Row],[DEMANDA ANUAL]],"")</f>
        <v/>
      </c>
      <c r="Y378" s="153" t="str">
        <f>IFERROR((Datos[[#This Row],[INGRESO PRECIO ARIBA]]-Datos[[#This Row],[Costos Totales (Norwork)]])/Datos[[#This Row],[INGRESO PRECIO ARIBA]],"")</f>
        <v/>
      </c>
      <c r="Z378" s="148" t="str">
        <f>IFERROR(IF(Datos[[#This Row],[CON ETIQUETA]]="No",VALORHOJA(Datos[[#This Row],[NP]],$B$44),VALORHOJA(Datos[[#This Row],[NP]],$D$44)),"")</f>
        <v/>
      </c>
      <c r="AA378" s="148" t="str">
        <f>IFERROR(IF(Datos[[#This Row],[Precio / Millar (Norwork)]]&lt;&gt;"",PRODUCT(Datos[[#This Row],[Precio / Millar (Norwork)]]/1000,Datos[[#This Row],[DEMANDA ANUAL]]),""),"")</f>
        <v/>
      </c>
      <c r="AB37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78" s="148" t="str">
        <f>IFERROR(IF(Datos[[#This Row],[Precio / Millar (Norwork)]]&lt;&gt;"",SUM(Datos[[#This Row],[Ingresos Totales (Norwork)]],-Datos[[#This Row],[Costos Totales (Norwork)]]),""),"")</f>
        <v/>
      </c>
      <c r="AD378" s="153" t="str">
        <f>IFERROR(Datos[[#This Row],[Beneficio (Norwork)]]/Datos[[#This Row],[Ingresos Totales (Norwork)]],"")</f>
        <v/>
      </c>
    </row>
    <row r="379" spans="2:30" x14ac:dyDescent="0.3">
      <c r="B379" s="145" t="s">
        <v>632</v>
      </c>
      <c r="C379" s="145" t="s">
        <v>1055</v>
      </c>
      <c r="D379" s="145"/>
      <c r="E379" s="145"/>
      <c r="G379" s="149">
        <v>95</v>
      </c>
      <c r="H379" s="144"/>
      <c r="W379" s="148" t="s">
        <v>298</v>
      </c>
      <c r="X379" s="148" t="str">
        <f>IFERROR(Datos[[#This Row],[ARIBA PRECIO POR MILLAR (Dólares)]]/1000*Datos[[#This Row],[DEMANDA ANUAL]],"")</f>
        <v/>
      </c>
      <c r="Y379" s="153" t="str">
        <f>IFERROR((Datos[[#This Row],[INGRESO PRECIO ARIBA]]-Datos[[#This Row],[Costos Totales (Norwork)]])/Datos[[#This Row],[INGRESO PRECIO ARIBA]],"")</f>
        <v/>
      </c>
      <c r="Z379" s="148" t="str">
        <f>IFERROR(IF(Datos[[#This Row],[CON ETIQUETA]]="No",VALORHOJA(Datos[[#This Row],[NP]],$B$44),VALORHOJA(Datos[[#This Row],[NP]],$D$44)),"")</f>
        <v/>
      </c>
      <c r="AA379" s="148" t="str">
        <f>IFERROR(IF(Datos[[#This Row],[Precio / Millar (Norwork)]]&lt;&gt;"",PRODUCT(Datos[[#This Row],[Precio / Millar (Norwork)]]/1000,Datos[[#This Row],[DEMANDA ANUAL]]),""),"")</f>
        <v/>
      </c>
      <c r="AB37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79" s="148" t="str">
        <f>IFERROR(IF(Datos[[#This Row],[Precio / Millar (Norwork)]]&lt;&gt;"",SUM(Datos[[#This Row],[Ingresos Totales (Norwork)]],-Datos[[#This Row],[Costos Totales (Norwork)]]),""),"")</f>
        <v/>
      </c>
      <c r="AD379" s="153" t="str">
        <f>IFERROR(Datos[[#This Row],[Beneficio (Norwork)]]/Datos[[#This Row],[Ingresos Totales (Norwork)]],"")</f>
        <v/>
      </c>
    </row>
    <row r="380" spans="2:30" x14ac:dyDescent="0.3">
      <c r="B380" s="145" t="s">
        <v>729</v>
      </c>
      <c r="C380" s="145" t="s">
        <v>1151</v>
      </c>
      <c r="D380" s="145"/>
      <c r="E380" s="145"/>
      <c r="G380" s="149">
        <v>95</v>
      </c>
      <c r="H380" s="144"/>
      <c r="W380" s="148" t="s">
        <v>298</v>
      </c>
      <c r="X380" s="148" t="str">
        <f>IFERROR(Datos[[#This Row],[ARIBA PRECIO POR MILLAR (Dólares)]]/1000*Datos[[#This Row],[DEMANDA ANUAL]],"")</f>
        <v/>
      </c>
      <c r="Y380" s="153" t="str">
        <f>IFERROR((Datos[[#This Row],[INGRESO PRECIO ARIBA]]-Datos[[#This Row],[Costos Totales (Norwork)]])/Datos[[#This Row],[INGRESO PRECIO ARIBA]],"")</f>
        <v/>
      </c>
      <c r="Z380" s="148" t="str">
        <f>IFERROR(IF(Datos[[#This Row],[CON ETIQUETA]]="No",VALORHOJA(Datos[[#This Row],[NP]],$B$44),VALORHOJA(Datos[[#This Row],[NP]],$D$44)),"")</f>
        <v/>
      </c>
      <c r="AA380" s="148" t="str">
        <f>IFERROR(IF(Datos[[#This Row],[Precio / Millar (Norwork)]]&lt;&gt;"",PRODUCT(Datos[[#This Row],[Precio / Millar (Norwork)]]/1000,Datos[[#This Row],[DEMANDA ANUAL]]),""),"")</f>
        <v/>
      </c>
      <c r="AB38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80" s="148" t="str">
        <f>IFERROR(IF(Datos[[#This Row],[Precio / Millar (Norwork)]]&lt;&gt;"",SUM(Datos[[#This Row],[Ingresos Totales (Norwork)]],-Datos[[#This Row],[Costos Totales (Norwork)]]),""),"")</f>
        <v/>
      </c>
      <c r="AD380" s="153" t="str">
        <f>IFERROR(Datos[[#This Row],[Beneficio (Norwork)]]/Datos[[#This Row],[Ingresos Totales (Norwork)]],"")</f>
        <v/>
      </c>
    </row>
    <row r="381" spans="2:30" x14ac:dyDescent="0.3">
      <c r="B381" s="145" t="s">
        <v>727</v>
      </c>
      <c r="C381" s="145" t="s">
        <v>1149</v>
      </c>
      <c r="D381" s="145"/>
      <c r="E381" s="145"/>
      <c r="G381" s="149">
        <v>91</v>
      </c>
      <c r="H381" s="144"/>
      <c r="W381" s="148" t="s">
        <v>298</v>
      </c>
      <c r="X381" s="148" t="str">
        <f>IFERROR(Datos[[#This Row],[ARIBA PRECIO POR MILLAR (Dólares)]]/1000*Datos[[#This Row],[DEMANDA ANUAL]],"")</f>
        <v/>
      </c>
      <c r="Y381" s="153" t="str">
        <f>IFERROR((Datos[[#This Row],[INGRESO PRECIO ARIBA]]-Datos[[#This Row],[Costos Totales (Norwork)]])/Datos[[#This Row],[INGRESO PRECIO ARIBA]],"")</f>
        <v/>
      </c>
      <c r="Z381" s="148" t="str">
        <f>IFERROR(IF(Datos[[#This Row],[CON ETIQUETA]]="No",VALORHOJA(Datos[[#This Row],[NP]],$B$44),VALORHOJA(Datos[[#This Row],[NP]],$D$44)),"")</f>
        <v/>
      </c>
      <c r="AA381" s="148" t="str">
        <f>IFERROR(IF(Datos[[#This Row],[Precio / Millar (Norwork)]]&lt;&gt;"",PRODUCT(Datos[[#This Row],[Precio / Millar (Norwork)]]/1000,Datos[[#This Row],[DEMANDA ANUAL]]),""),"")</f>
        <v/>
      </c>
      <c r="AB38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81" s="148" t="str">
        <f>IFERROR(IF(Datos[[#This Row],[Precio / Millar (Norwork)]]&lt;&gt;"",SUM(Datos[[#This Row],[Ingresos Totales (Norwork)]],-Datos[[#This Row],[Costos Totales (Norwork)]]),""),"")</f>
        <v/>
      </c>
      <c r="AD381" s="153" t="str">
        <f>IFERROR(Datos[[#This Row],[Beneficio (Norwork)]]/Datos[[#This Row],[Ingresos Totales (Norwork)]],"")</f>
        <v/>
      </c>
    </row>
    <row r="382" spans="2:30" x14ac:dyDescent="0.3">
      <c r="B382" s="145" t="s">
        <v>695</v>
      </c>
      <c r="C382" s="145" t="s">
        <v>1117</v>
      </c>
      <c r="D382" s="145"/>
      <c r="E382" s="145"/>
      <c r="G382" s="149">
        <v>90</v>
      </c>
      <c r="H382" s="144"/>
      <c r="W382" s="148" t="s">
        <v>298</v>
      </c>
      <c r="X382" s="148" t="str">
        <f>IFERROR(Datos[[#This Row],[ARIBA PRECIO POR MILLAR (Dólares)]]/1000*Datos[[#This Row],[DEMANDA ANUAL]],"")</f>
        <v/>
      </c>
      <c r="Y382" s="153" t="str">
        <f>IFERROR((Datos[[#This Row],[INGRESO PRECIO ARIBA]]-Datos[[#This Row],[Costos Totales (Norwork)]])/Datos[[#This Row],[INGRESO PRECIO ARIBA]],"")</f>
        <v/>
      </c>
      <c r="Z382" s="148" t="str">
        <f>IFERROR(IF(Datos[[#This Row],[CON ETIQUETA]]="No",VALORHOJA(Datos[[#This Row],[NP]],$B$44),VALORHOJA(Datos[[#This Row],[NP]],$D$44)),"")</f>
        <v/>
      </c>
      <c r="AA382" s="148" t="str">
        <f>IFERROR(IF(Datos[[#This Row],[Precio / Millar (Norwork)]]&lt;&gt;"",PRODUCT(Datos[[#This Row],[Precio / Millar (Norwork)]]/1000,Datos[[#This Row],[DEMANDA ANUAL]]),""),"")</f>
        <v/>
      </c>
      <c r="AB38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82" s="148" t="str">
        <f>IFERROR(IF(Datos[[#This Row],[Precio / Millar (Norwork)]]&lt;&gt;"",SUM(Datos[[#This Row],[Ingresos Totales (Norwork)]],-Datos[[#This Row],[Costos Totales (Norwork)]]),""),"")</f>
        <v/>
      </c>
      <c r="AD382" s="153" t="str">
        <f>IFERROR(Datos[[#This Row],[Beneficio (Norwork)]]/Datos[[#This Row],[Ingresos Totales (Norwork)]],"")</f>
        <v/>
      </c>
    </row>
    <row r="383" spans="2:30" x14ac:dyDescent="0.3">
      <c r="B383" s="145" t="s">
        <v>728</v>
      </c>
      <c r="C383" s="145" t="s">
        <v>1150</v>
      </c>
      <c r="D383" s="145"/>
      <c r="E383" s="145"/>
      <c r="G383" s="149">
        <v>89</v>
      </c>
      <c r="H383" s="144"/>
      <c r="W383" s="148" t="s">
        <v>298</v>
      </c>
      <c r="X383" s="148" t="str">
        <f>IFERROR(Datos[[#This Row],[ARIBA PRECIO POR MILLAR (Dólares)]]/1000*Datos[[#This Row],[DEMANDA ANUAL]],"")</f>
        <v/>
      </c>
      <c r="Y383" s="153" t="str">
        <f>IFERROR((Datos[[#This Row],[INGRESO PRECIO ARIBA]]-Datos[[#This Row],[Costos Totales (Norwork)]])/Datos[[#This Row],[INGRESO PRECIO ARIBA]],"")</f>
        <v/>
      </c>
      <c r="Z383" s="148" t="str">
        <f>IFERROR(IF(Datos[[#This Row],[CON ETIQUETA]]="No",VALORHOJA(Datos[[#This Row],[NP]],$B$44),VALORHOJA(Datos[[#This Row],[NP]],$D$44)),"")</f>
        <v/>
      </c>
      <c r="AA383" s="148" t="str">
        <f>IFERROR(IF(Datos[[#This Row],[Precio / Millar (Norwork)]]&lt;&gt;"",PRODUCT(Datos[[#This Row],[Precio / Millar (Norwork)]]/1000,Datos[[#This Row],[DEMANDA ANUAL]]),""),"")</f>
        <v/>
      </c>
      <c r="AB38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83" s="148" t="str">
        <f>IFERROR(IF(Datos[[#This Row],[Precio / Millar (Norwork)]]&lt;&gt;"",SUM(Datos[[#This Row],[Ingresos Totales (Norwork)]],-Datos[[#This Row],[Costos Totales (Norwork)]]),""),"")</f>
        <v/>
      </c>
      <c r="AD383" s="153" t="str">
        <f>IFERROR(Datos[[#This Row],[Beneficio (Norwork)]]/Datos[[#This Row],[Ingresos Totales (Norwork)]],"")</f>
        <v/>
      </c>
    </row>
    <row r="384" spans="2:30" x14ac:dyDescent="0.3">
      <c r="B384" s="145" t="s">
        <v>747</v>
      </c>
      <c r="C384" s="145" t="s">
        <v>1169</v>
      </c>
      <c r="D384" s="145"/>
      <c r="E384" s="145"/>
      <c r="G384" s="149">
        <v>89</v>
      </c>
      <c r="H384" s="144"/>
      <c r="W384" s="148" t="s">
        <v>298</v>
      </c>
      <c r="X384" s="148" t="str">
        <f>IFERROR(Datos[[#This Row],[ARIBA PRECIO POR MILLAR (Dólares)]]/1000*Datos[[#This Row],[DEMANDA ANUAL]],"")</f>
        <v/>
      </c>
      <c r="Y384" s="153" t="str">
        <f>IFERROR((Datos[[#This Row],[INGRESO PRECIO ARIBA]]-Datos[[#This Row],[Costos Totales (Norwork)]])/Datos[[#This Row],[INGRESO PRECIO ARIBA]],"")</f>
        <v/>
      </c>
      <c r="Z384" s="148" t="str">
        <f>IFERROR(IF(Datos[[#This Row],[CON ETIQUETA]]="No",VALORHOJA(Datos[[#This Row],[NP]],$B$44),VALORHOJA(Datos[[#This Row],[NP]],$D$44)),"")</f>
        <v/>
      </c>
      <c r="AA384" s="148" t="str">
        <f>IFERROR(IF(Datos[[#This Row],[Precio / Millar (Norwork)]]&lt;&gt;"",PRODUCT(Datos[[#This Row],[Precio / Millar (Norwork)]]/1000,Datos[[#This Row],[DEMANDA ANUAL]]),""),"")</f>
        <v/>
      </c>
      <c r="AB38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84" s="148" t="str">
        <f>IFERROR(IF(Datos[[#This Row],[Precio / Millar (Norwork)]]&lt;&gt;"",SUM(Datos[[#This Row],[Ingresos Totales (Norwork)]],-Datos[[#This Row],[Costos Totales (Norwork)]]),""),"")</f>
        <v/>
      </c>
      <c r="AD384" s="153" t="str">
        <f>IFERROR(Datos[[#This Row],[Beneficio (Norwork)]]/Datos[[#This Row],[Ingresos Totales (Norwork)]],"")</f>
        <v/>
      </c>
    </row>
    <row r="385" spans="2:30" x14ac:dyDescent="0.3">
      <c r="B385" s="145" t="s">
        <v>730</v>
      </c>
      <c r="C385" s="145" t="s">
        <v>1152</v>
      </c>
      <c r="D385" s="145"/>
      <c r="E385" s="145"/>
      <c r="G385" s="149">
        <v>88</v>
      </c>
      <c r="H385" s="144"/>
      <c r="W385" s="148" t="s">
        <v>298</v>
      </c>
      <c r="X385" s="148" t="str">
        <f>IFERROR(Datos[[#This Row],[ARIBA PRECIO POR MILLAR (Dólares)]]/1000*Datos[[#This Row],[DEMANDA ANUAL]],"")</f>
        <v/>
      </c>
      <c r="Y385" s="153" t="str">
        <f>IFERROR((Datos[[#This Row],[INGRESO PRECIO ARIBA]]-Datos[[#This Row],[Costos Totales (Norwork)]])/Datos[[#This Row],[INGRESO PRECIO ARIBA]],"")</f>
        <v/>
      </c>
      <c r="Z385" s="148" t="str">
        <f>IFERROR(IF(Datos[[#This Row],[CON ETIQUETA]]="No",VALORHOJA(Datos[[#This Row],[NP]],$B$44),VALORHOJA(Datos[[#This Row],[NP]],$D$44)),"")</f>
        <v/>
      </c>
      <c r="AA385" s="148" t="str">
        <f>IFERROR(IF(Datos[[#This Row],[Precio / Millar (Norwork)]]&lt;&gt;"",PRODUCT(Datos[[#This Row],[Precio / Millar (Norwork)]]/1000,Datos[[#This Row],[DEMANDA ANUAL]]),""),"")</f>
        <v/>
      </c>
      <c r="AB38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85" s="148" t="str">
        <f>IFERROR(IF(Datos[[#This Row],[Precio / Millar (Norwork)]]&lt;&gt;"",SUM(Datos[[#This Row],[Ingresos Totales (Norwork)]],-Datos[[#This Row],[Costos Totales (Norwork)]]),""),"")</f>
        <v/>
      </c>
      <c r="AD385" s="153" t="str">
        <f>IFERROR(Datos[[#This Row],[Beneficio (Norwork)]]/Datos[[#This Row],[Ingresos Totales (Norwork)]],"")</f>
        <v/>
      </c>
    </row>
    <row r="386" spans="2:30" x14ac:dyDescent="0.3">
      <c r="B386" s="145" t="s">
        <v>654</v>
      </c>
      <c r="C386" s="145" t="s">
        <v>1077</v>
      </c>
      <c r="D386" s="145"/>
      <c r="E386" s="145"/>
      <c r="G386" s="149">
        <v>87</v>
      </c>
      <c r="H386" s="144"/>
      <c r="W386" s="148" t="s">
        <v>298</v>
      </c>
      <c r="X386" s="148" t="str">
        <f>IFERROR(Datos[[#This Row],[ARIBA PRECIO POR MILLAR (Dólares)]]/1000*Datos[[#This Row],[DEMANDA ANUAL]],"")</f>
        <v/>
      </c>
      <c r="Y386" s="153" t="str">
        <f>IFERROR((Datos[[#This Row],[INGRESO PRECIO ARIBA]]-Datos[[#This Row],[Costos Totales (Norwork)]])/Datos[[#This Row],[INGRESO PRECIO ARIBA]],"")</f>
        <v/>
      </c>
      <c r="Z386" s="148" t="str">
        <f>IFERROR(IF(Datos[[#This Row],[CON ETIQUETA]]="No",VALORHOJA(Datos[[#This Row],[NP]],$B$44),VALORHOJA(Datos[[#This Row],[NP]],$D$44)),"")</f>
        <v/>
      </c>
      <c r="AA386" s="148" t="str">
        <f>IFERROR(IF(Datos[[#This Row],[Precio / Millar (Norwork)]]&lt;&gt;"",PRODUCT(Datos[[#This Row],[Precio / Millar (Norwork)]]/1000,Datos[[#This Row],[DEMANDA ANUAL]]),""),"")</f>
        <v/>
      </c>
      <c r="AB38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86" s="148" t="str">
        <f>IFERROR(IF(Datos[[#This Row],[Precio / Millar (Norwork)]]&lt;&gt;"",SUM(Datos[[#This Row],[Ingresos Totales (Norwork)]],-Datos[[#This Row],[Costos Totales (Norwork)]]),""),"")</f>
        <v/>
      </c>
      <c r="AD386" s="153" t="str">
        <f>IFERROR(Datos[[#This Row],[Beneficio (Norwork)]]/Datos[[#This Row],[Ingresos Totales (Norwork)]],"")</f>
        <v/>
      </c>
    </row>
    <row r="387" spans="2:30" x14ac:dyDescent="0.3">
      <c r="B387" s="145" t="s">
        <v>668</v>
      </c>
      <c r="C387" s="145" t="s">
        <v>1091</v>
      </c>
      <c r="D387" s="145"/>
      <c r="E387" s="145"/>
      <c r="G387" s="149">
        <v>87</v>
      </c>
      <c r="H387" s="144"/>
      <c r="W387" s="148" t="s">
        <v>298</v>
      </c>
      <c r="X387" s="148" t="str">
        <f>IFERROR(Datos[[#This Row],[ARIBA PRECIO POR MILLAR (Dólares)]]/1000*Datos[[#This Row],[DEMANDA ANUAL]],"")</f>
        <v/>
      </c>
      <c r="Y387" s="153" t="str">
        <f>IFERROR((Datos[[#This Row],[INGRESO PRECIO ARIBA]]-Datos[[#This Row],[Costos Totales (Norwork)]])/Datos[[#This Row],[INGRESO PRECIO ARIBA]],"")</f>
        <v/>
      </c>
      <c r="Z387" s="148" t="str">
        <f>IFERROR(IF(Datos[[#This Row],[CON ETIQUETA]]="No",VALORHOJA(Datos[[#This Row],[NP]],$B$44),VALORHOJA(Datos[[#This Row],[NP]],$D$44)),"")</f>
        <v/>
      </c>
      <c r="AA387" s="148" t="str">
        <f>IFERROR(IF(Datos[[#This Row],[Precio / Millar (Norwork)]]&lt;&gt;"",PRODUCT(Datos[[#This Row],[Precio / Millar (Norwork)]]/1000,Datos[[#This Row],[DEMANDA ANUAL]]),""),"")</f>
        <v/>
      </c>
      <c r="AB38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87" s="148" t="str">
        <f>IFERROR(IF(Datos[[#This Row],[Precio / Millar (Norwork)]]&lt;&gt;"",SUM(Datos[[#This Row],[Ingresos Totales (Norwork)]],-Datos[[#This Row],[Costos Totales (Norwork)]]),""),"")</f>
        <v/>
      </c>
      <c r="AD387" s="153" t="str">
        <f>IFERROR(Datos[[#This Row],[Beneficio (Norwork)]]/Datos[[#This Row],[Ingresos Totales (Norwork)]],"")</f>
        <v/>
      </c>
    </row>
    <row r="388" spans="2:30" x14ac:dyDescent="0.3">
      <c r="B388" s="145" t="s">
        <v>733</v>
      </c>
      <c r="C388" s="145" t="s">
        <v>1155</v>
      </c>
      <c r="D388" s="145"/>
      <c r="E388" s="145"/>
      <c r="G388" s="149">
        <v>87</v>
      </c>
      <c r="H388" s="144"/>
      <c r="W388" s="148" t="s">
        <v>298</v>
      </c>
      <c r="X388" s="148" t="str">
        <f>IFERROR(Datos[[#This Row],[ARIBA PRECIO POR MILLAR (Dólares)]]/1000*Datos[[#This Row],[DEMANDA ANUAL]],"")</f>
        <v/>
      </c>
      <c r="Y388" s="153" t="str">
        <f>IFERROR((Datos[[#This Row],[INGRESO PRECIO ARIBA]]-Datos[[#This Row],[Costos Totales (Norwork)]])/Datos[[#This Row],[INGRESO PRECIO ARIBA]],"")</f>
        <v/>
      </c>
      <c r="Z388" s="148" t="str">
        <f>IFERROR(IF(Datos[[#This Row],[CON ETIQUETA]]="No",VALORHOJA(Datos[[#This Row],[NP]],$B$44),VALORHOJA(Datos[[#This Row],[NP]],$D$44)),"")</f>
        <v/>
      </c>
      <c r="AA388" s="148" t="str">
        <f>IFERROR(IF(Datos[[#This Row],[Precio / Millar (Norwork)]]&lt;&gt;"",PRODUCT(Datos[[#This Row],[Precio / Millar (Norwork)]]/1000,Datos[[#This Row],[DEMANDA ANUAL]]),""),"")</f>
        <v/>
      </c>
      <c r="AB38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88" s="148" t="str">
        <f>IFERROR(IF(Datos[[#This Row],[Precio / Millar (Norwork)]]&lt;&gt;"",SUM(Datos[[#This Row],[Ingresos Totales (Norwork)]],-Datos[[#This Row],[Costos Totales (Norwork)]]),""),"")</f>
        <v/>
      </c>
      <c r="AD388" s="153" t="str">
        <f>IFERROR(Datos[[#This Row],[Beneficio (Norwork)]]/Datos[[#This Row],[Ingresos Totales (Norwork)]],"")</f>
        <v/>
      </c>
    </row>
    <row r="389" spans="2:30" x14ac:dyDescent="0.3">
      <c r="B389" s="145" t="s">
        <v>671</v>
      </c>
      <c r="C389" s="145" t="s">
        <v>1094</v>
      </c>
      <c r="D389" s="145"/>
      <c r="E389" s="145"/>
      <c r="G389" s="149">
        <v>82</v>
      </c>
      <c r="H389" s="144"/>
      <c r="W389" s="148" t="s">
        <v>298</v>
      </c>
      <c r="X389" s="148" t="str">
        <f>IFERROR(Datos[[#This Row],[ARIBA PRECIO POR MILLAR (Dólares)]]/1000*Datos[[#This Row],[DEMANDA ANUAL]],"")</f>
        <v/>
      </c>
      <c r="Y389" s="153" t="str">
        <f>IFERROR((Datos[[#This Row],[INGRESO PRECIO ARIBA]]-Datos[[#This Row],[Costos Totales (Norwork)]])/Datos[[#This Row],[INGRESO PRECIO ARIBA]],"")</f>
        <v/>
      </c>
      <c r="Z389" s="148" t="str">
        <f>IFERROR(IF(Datos[[#This Row],[CON ETIQUETA]]="No",VALORHOJA(Datos[[#This Row],[NP]],$B$44),VALORHOJA(Datos[[#This Row],[NP]],$D$44)),"")</f>
        <v/>
      </c>
      <c r="AA389" s="148" t="str">
        <f>IFERROR(IF(Datos[[#This Row],[Precio / Millar (Norwork)]]&lt;&gt;"",PRODUCT(Datos[[#This Row],[Precio / Millar (Norwork)]]/1000,Datos[[#This Row],[DEMANDA ANUAL]]),""),"")</f>
        <v/>
      </c>
      <c r="AB38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89" s="148" t="str">
        <f>IFERROR(IF(Datos[[#This Row],[Precio / Millar (Norwork)]]&lt;&gt;"",SUM(Datos[[#This Row],[Ingresos Totales (Norwork)]],-Datos[[#This Row],[Costos Totales (Norwork)]]),""),"")</f>
        <v/>
      </c>
      <c r="AD389" s="153" t="str">
        <f>IFERROR(Datos[[#This Row],[Beneficio (Norwork)]]/Datos[[#This Row],[Ingresos Totales (Norwork)]],"")</f>
        <v/>
      </c>
    </row>
    <row r="390" spans="2:30" x14ac:dyDescent="0.3">
      <c r="B390" s="145" t="s">
        <v>700</v>
      </c>
      <c r="C390" s="145" t="s">
        <v>1122</v>
      </c>
      <c r="D390" s="145"/>
      <c r="E390" s="145"/>
      <c r="G390" s="149">
        <v>80</v>
      </c>
      <c r="H390" s="144"/>
      <c r="W390" s="148" t="s">
        <v>298</v>
      </c>
      <c r="X390" s="148" t="str">
        <f>IFERROR(Datos[[#This Row],[ARIBA PRECIO POR MILLAR (Dólares)]]/1000*Datos[[#This Row],[DEMANDA ANUAL]],"")</f>
        <v/>
      </c>
      <c r="Y390" s="153" t="str">
        <f>IFERROR((Datos[[#This Row],[INGRESO PRECIO ARIBA]]-Datos[[#This Row],[Costos Totales (Norwork)]])/Datos[[#This Row],[INGRESO PRECIO ARIBA]],"")</f>
        <v/>
      </c>
      <c r="Z390" s="148" t="str">
        <f>IFERROR(IF(Datos[[#This Row],[CON ETIQUETA]]="No",VALORHOJA(Datos[[#This Row],[NP]],$B$44),VALORHOJA(Datos[[#This Row],[NP]],$D$44)),"")</f>
        <v/>
      </c>
      <c r="AA390" s="148" t="str">
        <f>IFERROR(IF(Datos[[#This Row],[Precio / Millar (Norwork)]]&lt;&gt;"",PRODUCT(Datos[[#This Row],[Precio / Millar (Norwork)]]/1000,Datos[[#This Row],[DEMANDA ANUAL]]),""),"")</f>
        <v/>
      </c>
      <c r="AB39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90" s="148" t="str">
        <f>IFERROR(IF(Datos[[#This Row],[Precio / Millar (Norwork)]]&lt;&gt;"",SUM(Datos[[#This Row],[Ingresos Totales (Norwork)]],-Datos[[#This Row],[Costos Totales (Norwork)]]),""),"")</f>
        <v/>
      </c>
      <c r="AD390" s="153" t="str">
        <f>IFERROR(Datos[[#This Row],[Beneficio (Norwork)]]/Datos[[#This Row],[Ingresos Totales (Norwork)]],"")</f>
        <v/>
      </c>
    </row>
    <row r="391" spans="2:30" x14ac:dyDescent="0.3">
      <c r="B391" s="145" t="s">
        <v>734</v>
      </c>
      <c r="C391" s="145" t="s">
        <v>1156</v>
      </c>
      <c r="D391" s="145"/>
      <c r="E391" s="145"/>
      <c r="G391" s="149">
        <v>80</v>
      </c>
      <c r="H391" s="144"/>
      <c r="W391" s="148" t="s">
        <v>298</v>
      </c>
      <c r="X391" s="148" t="str">
        <f>IFERROR(Datos[[#This Row],[ARIBA PRECIO POR MILLAR (Dólares)]]/1000*Datos[[#This Row],[DEMANDA ANUAL]],"")</f>
        <v/>
      </c>
      <c r="Y391" s="153" t="str">
        <f>IFERROR((Datos[[#This Row],[INGRESO PRECIO ARIBA]]-Datos[[#This Row],[Costos Totales (Norwork)]])/Datos[[#This Row],[INGRESO PRECIO ARIBA]],"")</f>
        <v/>
      </c>
      <c r="Z391" s="148" t="str">
        <f>IFERROR(IF(Datos[[#This Row],[CON ETIQUETA]]="No",VALORHOJA(Datos[[#This Row],[NP]],$B$44),VALORHOJA(Datos[[#This Row],[NP]],$D$44)),"")</f>
        <v/>
      </c>
      <c r="AA391" s="148" t="str">
        <f>IFERROR(IF(Datos[[#This Row],[Precio / Millar (Norwork)]]&lt;&gt;"",PRODUCT(Datos[[#This Row],[Precio / Millar (Norwork)]]/1000,Datos[[#This Row],[DEMANDA ANUAL]]),""),"")</f>
        <v/>
      </c>
      <c r="AB39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91" s="148" t="str">
        <f>IFERROR(IF(Datos[[#This Row],[Precio / Millar (Norwork)]]&lt;&gt;"",SUM(Datos[[#This Row],[Ingresos Totales (Norwork)]],-Datos[[#This Row],[Costos Totales (Norwork)]]),""),"")</f>
        <v/>
      </c>
      <c r="AD391" s="153" t="str">
        <f>IFERROR(Datos[[#This Row],[Beneficio (Norwork)]]/Datos[[#This Row],[Ingresos Totales (Norwork)]],"")</f>
        <v/>
      </c>
    </row>
    <row r="392" spans="2:30" x14ac:dyDescent="0.3">
      <c r="B392" s="145" t="s">
        <v>702</v>
      </c>
      <c r="C392" s="145" t="s">
        <v>1124</v>
      </c>
      <c r="D392" s="145"/>
      <c r="E392" s="145"/>
      <c r="G392" s="149">
        <v>78</v>
      </c>
      <c r="H392" s="144"/>
      <c r="W392" s="148" t="s">
        <v>298</v>
      </c>
      <c r="X392" s="148" t="str">
        <f>IFERROR(Datos[[#This Row],[ARIBA PRECIO POR MILLAR (Dólares)]]/1000*Datos[[#This Row],[DEMANDA ANUAL]],"")</f>
        <v/>
      </c>
      <c r="Y392" s="153" t="str">
        <f>IFERROR((Datos[[#This Row],[INGRESO PRECIO ARIBA]]-Datos[[#This Row],[Costos Totales (Norwork)]])/Datos[[#This Row],[INGRESO PRECIO ARIBA]],"")</f>
        <v/>
      </c>
      <c r="Z392" s="148" t="str">
        <f>IFERROR(IF(Datos[[#This Row],[CON ETIQUETA]]="No",VALORHOJA(Datos[[#This Row],[NP]],$B$44),VALORHOJA(Datos[[#This Row],[NP]],$D$44)),"")</f>
        <v/>
      </c>
      <c r="AA392" s="148" t="str">
        <f>IFERROR(IF(Datos[[#This Row],[Precio / Millar (Norwork)]]&lt;&gt;"",PRODUCT(Datos[[#This Row],[Precio / Millar (Norwork)]]/1000,Datos[[#This Row],[DEMANDA ANUAL]]),""),"")</f>
        <v/>
      </c>
      <c r="AB39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92" s="148" t="str">
        <f>IFERROR(IF(Datos[[#This Row],[Precio / Millar (Norwork)]]&lt;&gt;"",SUM(Datos[[#This Row],[Ingresos Totales (Norwork)]],-Datos[[#This Row],[Costos Totales (Norwork)]]),""),"")</f>
        <v/>
      </c>
      <c r="AD392" s="153" t="str">
        <f>IFERROR(Datos[[#This Row],[Beneficio (Norwork)]]/Datos[[#This Row],[Ingresos Totales (Norwork)]],"")</f>
        <v/>
      </c>
    </row>
    <row r="393" spans="2:30" x14ac:dyDescent="0.3">
      <c r="B393" s="145" t="s">
        <v>661</v>
      </c>
      <c r="C393" s="145" t="s">
        <v>1084</v>
      </c>
      <c r="D393" s="145"/>
      <c r="E393" s="145"/>
      <c r="G393" s="149">
        <v>76</v>
      </c>
      <c r="H393" s="144"/>
      <c r="W393" s="148" t="s">
        <v>298</v>
      </c>
      <c r="X393" s="148" t="str">
        <f>IFERROR(Datos[[#This Row],[ARIBA PRECIO POR MILLAR (Dólares)]]/1000*Datos[[#This Row],[DEMANDA ANUAL]],"")</f>
        <v/>
      </c>
      <c r="Y393" s="153" t="str">
        <f>IFERROR((Datos[[#This Row],[INGRESO PRECIO ARIBA]]-Datos[[#This Row],[Costos Totales (Norwork)]])/Datos[[#This Row],[INGRESO PRECIO ARIBA]],"")</f>
        <v/>
      </c>
      <c r="Z393" s="148" t="str">
        <f>IFERROR(IF(Datos[[#This Row],[CON ETIQUETA]]="No",VALORHOJA(Datos[[#This Row],[NP]],$B$44),VALORHOJA(Datos[[#This Row],[NP]],$D$44)),"")</f>
        <v/>
      </c>
      <c r="AA393" s="148" t="str">
        <f>IFERROR(IF(Datos[[#This Row],[Precio / Millar (Norwork)]]&lt;&gt;"",PRODUCT(Datos[[#This Row],[Precio / Millar (Norwork)]]/1000,Datos[[#This Row],[DEMANDA ANUAL]]),""),"")</f>
        <v/>
      </c>
      <c r="AB39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93" s="148" t="str">
        <f>IFERROR(IF(Datos[[#This Row],[Precio / Millar (Norwork)]]&lt;&gt;"",SUM(Datos[[#This Row],[Ingresos Totales (Norwork)]],-Datos[[#This Row],[Costos Totales (Norwork)]]),""),"")</f>
        <v/>
      </c>
      <c r="AD393" s="153" t="str">
        <f>IFERROR(Datos[[#This Row],[Beneficio (Norwork)]]/Datos[[#This Row],[Ingresos Totales (Norwork)]],"")</f>
        <v/>
      </c>
    </row>
    <row r="394" spans="2:30" x14ac:dyDescent="0.3">
      <c r="B394" s="145" t="s">
        <v>708</v>
      </c>
      <c r="C394" s="145" t="s">
        <v>1130</v>
      </c>
      <c r="D394" s="145"/>
      <c r="E394" s="145"/>
      <c r="G394" s="149">
        <v>72</v>
      </c>
      <c r="H394" s="144"/>
      <c r="W394" s="148" t="s">
        <v>298</v>
      </c>
      <c r="X394" s="148" t="str">
        <f>IFERROR(Datos[[#This Row],[ARIBA PRECIO POR MILLAR (Dólares)]]/1000*Datos[[#This Row],[DEMANDA ANUAL]],"")</f>
        <v/>
      </c>
      <c r="Y394" s="153" t="str">
        <f>IFERROR((Datos[[#This Row],[INGRESO PRECIO ARIBA]]-Datos[[#This Row],[Costos Totales (Norwork)]])/Datos[[#This Row],[INGRESO PRECIO ARIBA]],"")</f>
        <v/>
      </c>
      <c r="Z394" s="148" t="str">
        <f>IFERROR(IF(Datos[[#This Row],[CON ETIQUETA]]="No",VALORHOJA(Datos[[#This Row],[NP]],$B$44),VALORHOJA(Datos[[#This Row],[NP]],$D$44)),"")</f>
        <v/>
      </c>
      <c r="AA394" s="148" t="str">
        <f>IFERROR(IF(Datos[[#This Row],[Precio / Millar (Norwork)]]&lt;&gt;"",PRODUCT(Datos[[#This Row],[Precio / Millar (Norwork)]]/1000,Datos[[#This Row],[DEMANDA ANUAL]]),""),"")</f>
        <v/>
      </c>
      <c r="AB39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94" s="148" t="str">
        <f>IFERROR(IF(Datos[[#This Row],[Precio / Millar (Norwork)]]&lt;&gt;"",SUM(Datos[[#This Row],[Ingresos Totales (Norwork)]],-Datos[[#This Row],[Costos Totales (Norwork)]]),""),"")</f>
        <v/>
      </c>
      <c r="AD394" s="153" t="str">
        <f>IFERROR(Datos[[#This Row],[Beneficio (Norwork)]]/Datos[[#This Row],[Ingresos Totales (Norwork)]],"")</f>
        <v/>
      </c>
    </row>
    <row r="395" spans="2:30" x14ac:dyDescent="0.3">
      <c r="B395" s="145" t="s">
        <v>735</v>
      </c>
      <c r="C395" s="145" t="s">
        <v>1157</v>
      </c>
      <c r="D395" s="145"/>
      <c r="E395" s="145"/>
      <c r="G395" s="149">
        <v>72</v>
      </c>
      <c r="H395" s="144"/>
      <c r="W395" s="148" t="s">
        <v>298</v>
      </c>
      <c r="X395" s="148" t="str">
        <f>IFERROR(Datos[[#This Row],[ARIBA PRECIO POR MILLAR (Dólares)]]/1000*Datos[[#This Row],[DEMANDA ANUAL]],"")</f>
        <v/>
      </c>
      <c r="Y395" s="153" t="str">
        <f>IFERROR((Datos[[#This Row],[INGRESO PRECIO ARIBA]]-Datos[[#This Row],[Costos Totales (Norwork)]])/Datos[[#This Row],[INGRESO PRECIO ARIBA]],"")</f>
        <v/>
      </c>
      <c r="Z395" s="148" t="str">
        <f>IFERROR(IF(Datos[[#This Row],[CON ETIQUETA]]="No",VALORHOJA(Datos[[#This Row],[NP]],$B$44),VALORHOJA(Datos[[#This Row],[NP]],$D$44)),"")</f>
        <v/>
      </c>
      <c r="AA395" s="148" t="str">
        <f>IFERROR(IF(Datos[[#This Row],[Precio / Millar (Norwork)]]&lt;&gt;"",PRODUCT(Datos[[#This Row],[Precio / Millar (Norwork)]]/1000,Datos[[#This Row],[DEMANDA ANUAL]]),""),"")</f>
        <v/>
      </c>
      <c r="AB39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95" s="148" t="str">
        <f>IFERROR(IF(Datos[[#This Row],[Precio / Millar (Norwork)]]&lt;&gt;"",SUM(Datos[[#This Row],[Ingresos Totales (Norwork)]],-Datos[[#This Row],[Costos Totales (Norwork)]]),""),"")</f>
        <v/>
      </c>
      <c r="AD395" s="153" t="str">
        <f>IFERROR(Datos[[#This Row],[Beneficio (Norwork)]]/Datos[[#This Row],[Ingresos Totales (Norwork)]],"")</f>
        <v/>
      </c>
    </row>
    <row r="396" spans="2:30" x14ac:dyDescent="0.3">
      <c r="B396" s="145" t="s">
        <v>709</v>
      </c>
      <c r="C396" s="145" t="s">
        <v>1131</v>
      </c>
      <c r="D396" s="145"/>
      <c r="E396" s="145"/>
      <c r="G396" s="149">
        <v>70</v>
      </c>
      <c r="H396" s="144"/>
      <c r="W396" s="148" t="s">
        <v>298</v>
      </c>
      <c r="X396" s="148" t="str">
        <f>IFERROR(Datos[[#This Row],[ARIBA PRECIO POR MILLAR (Dólares)]]/1000*Datos[[#This Row],[DEMANDA ANUAL]],"")</f>
        <v/>
      </c>
      <c r="Y396" s="153" t="str">
        <f>IFERROR((Datos[[#This Row],[INGRESO PRECIO ARIBA]]-Datos[[#This Row],[Costos Totales (Norwork)]])/Datos[[#This Row],[INGRESO PRECIO ARIBA]],"")</f>
        <v/>
      </c>
      <c r="Z396" s="148" t="str">
        <f>IFERROR(IF(Datos[[#This Row],[CON ETIQUETA]]="No",VALORHOJA(Datos[[#This Row],[NP]],$B$44),VALORHOJA(Datos[[#This Row],[NP]],$D$44)),"")</f>
        <v/>
      </c>
      <c r="AA396" s="148" t="str">
        <f>IFERROR(IF(Datos[[#This Row],[Precio / Millar (Norwork)]]&lt;&gt;"",PRODUCT(Datos[[#This Row],[Precio / Millar (Norwork)]]/1000,Datos[[#This Row],[DEMANDA ANUAL]]),""),"")</f>
        <v/>
      </c>
      <c r="AB39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96" s="148" t="str">
        <f>IFERROR(IF(Datos[[#This Row],[Precio / Millar (Norwork)]]&lt;&gt;"",SUM(Datos[[#This Row],[Ingresos Totales (Norwork)]],-Datos[[#This Row],[Costos Totales (Norwork)]]),""),"")</f>
        <v/>
      </c>
      <c r="AD396" s="153" t="str">
        <f>IFERROR(Datos[[#This Row],[Beneficio (Norwork)]]/Datos[[#This Row],[Ingresos Totales (Norwork)]],"")</f>
        <v/>
      </c>
    </row>
    <row r="397" spans="2:30" x14ac:dyDescent="0.3">
      <c r="B397" s="145" t="s">
        <v>736</v>
      </c>
      <c r="C397" s="145" t="s">
        <v>1158</v>
      </c>
      <c r="D397" s="145"/>
      <c r="E397" s="145"/>
      <c r="G397" s="149">
        <v>70</v>
      </c>
      <c r="H397" s="144"/>
      <c r="W397" s="148" t="s">
        <v>298</v>
      </c>
      <c r="X397" s="148" t="str">
        <f>IFERROR(Datos[[#This Row],[ARIBA PRECIO POR MILLAR (Dólares)]]/1000*Datos[[#This Row],[DEMANDA ANUAL]],"")</f>
        <v/>
      </c>
      <c r="Y397" s="153" t="str">
        <f>IFERROR((Datos[[#This Row],[INGRESO PRECIO ARIBA]]-Datos[[#This Row],[Costos Totales (Norwork)]])/Datos[[#This Row],[INGRESO PRECIO ARIBA]],"")</f>
        <v/>
      </c>
      <c r="Z397" s="148" t="str">
        <f>IFERROR(IF(Datos[[#This Row],[CON ETIQUETA]]="No",VALORHOJA(Datos[[#This Row],[NP]],$B$44),VALORHOJA(Datos[[#This Row],[NP]],$D$44)),"")</f>
        <v/>
      </c>
      <c r="AA397" s="148" t="str">
        <f>IFERROR(IF(Datos[[#This Row],[Precio / Millar (Norwork)]]&lt;&gt;"",PRODUCT(Datos[[#This Row],[Precio / Millar (Norwork)]]/1000,Datos[[#This Row],[DEMANDA ANUAL]]),""),"")</f>
        <v/>
      </c>
      <c r="AB39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97" s="148" t="str">
        <f>IFERROR(IF(Datos[[#This Row],[Precio / Millar (Norwork)]]&lt;&gt;"",SUM(Datos[[#This Row],[Ingresos Totales (Norwork)]],-Datos[[#This Row],[Costos Totales (Norwork)]]),""),"")</f>
        <v/>
      </c>
      <c r="AD397" s="153" t="str">
        <f>IFERROR(Datos[[#This Row],[Beneficio (Norwork)]]/Datos[[#This Row],[Ingresos Totales (Norwork)]],"")</f>
        <v/>
      </c>
    </row>
    <row r="398" spans="2:30" x14ac:dyDescent="0.3">
      <c r="B398" s="145" t="s">
        <v>655</v>
      </c>
      <c r="C398" s="145" t="s">
        <v>1078</v>
      </c>
      <c r="D398" s="145"/>
      <c r="E398" s="145"/>
      <c r="G398" s="149">
        <v>66</v>
      </c>
      <c r="H398" s="144"/>
      <c r="W398" s="148" t="s">
        <v>298</v>
      </c>
      <c r="X398" s="148" t="str">
        <f>IFERROR(Datos[[#This Row],[ARIBA PRECIO POR MILLAR (Dólares)]]/1000*Datos[[#This Row],[DEMANDA ANUAL]],"")</f>
        <v/>
      </c>
      <c r="Y398" s="153" t="str">
        <f>IFERROR((Datos[[#This Row],[INGRESO PRECIO ARIBA]]-Datos[[#This Row],[Costos Totales (Norwork)]])/Datos[[#This Row],[INGRESO PRECIO ARIBA]],"")</f>
        <v/>
      </c>
      <c r="Z398" s="148" t="str">
        <f>IFERROR(IF(Datos[[#This Row],[CON ETIQUETA]]="No",VALORHOJA(Datos[[#This Row],[NP]],$B$44),VALORHOJA(Datos[[#This Row],[NP]],$D$44)),"")</f>
        <v/>
      </c>
      <c r="AA398" s="148" t="str">
        <f>IFERROR(IF(Datos[[#This Row],[Precio / Millar (Norwork)]]&lt;&gt;"",PRODUCT(Datos[[#This Row],[Precio / Millar (Norwork)]]/1000,Datos[[#This Row],[DEMANDA ANUAL]]),""),"")</f>
        <v/>
      </c>
      <c r="AB39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98" s="148" t="str">
        <f>IFERROR(IF(Datos[[#This Row],[Precio / Millar (Norwork)]]&lt;&gt;"",SUM(Datos[[#This Row],[Ingresos Totales (Norwork)]],-Datos[[#This Row],[Costos Totales (Norwork)]]),""),"")</f>
        <v/>
      </c>
      <c r="AD398" s="153" t="str">
        <f>IFERROR(Datos[[#This Row],[Beneficio (Norwork)]]/Datos[[#This Row],[Ingresos Totales (Norwork)]],"")</f>
        <v/>
      </c>
    </row>
    <row r="399" spans="2:30" x14ac:dyDescent="0.3">
      <c r="B399" s="145" t="s">
        <v>738</v>
      </c>
      <c r="C399" s="145" t="s">
        <v>1160</v>
      </c>
      <c r="D399" s="145"/>
      <c r="E399" s="145"/>
      <c r="G399" s="149">
        <v>64</v>
      </c>
      <c r="H399" s="144"/>
      <c r="W399" s="148" t="s">
        <v>298</v>
      </c>
      <c r="X399" s="148" t="str">
        <f>IFERROR(Datos[[#This Row],[ARIBA PRECIO POR MILLAR (Dólares)]]/1000*Datos[[#This Row],[DEMANDA ANUAL]],"")</f>
        <v/>
      </c>
      <c r="Y399" s="153" t="str">
        <f>IFERROR((Datos[[#This Row],[INGRESO PRECIO ARIBA]]-Datos[[#This Row],[Costos Totales (Norwork)]])/Datos[[#This Row],[INGRESO PRECIO ARIBA]],"")</f>
        <v/>
      </c>
      <c r="Z399" s="148" t="str">
        <f>IFERROR(IF(Datos[[#This Row],[CON ETIQUETA]]="No",VALORHOJA(Datos[[#This Row],[NP]],$B$44),VALORHOJA(Datos[[#This Row],[NP]],$D$44)),"")</f>
        <v/>
      </c>
      <c r="AA399" s="148" t="str">
        <f>IFERROR(IF(Datos[[#This Row],[Precio / Millar (Norwork)]]&lt;&gt;"",PRODUCT(Datos[[#This Row],[Precio / Millar (Norwork)]]/1000,Datos[[#This Row],[DEMANDA ANUAL]]),""),"")</f>
        <v/>
      </c>
      <c r="AB39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399" s="148" t="str">
        <f>IFERROR(IF(Datos[[#This Row],[Precio / Millar (Norwork)]]&lt;&gt;"",SUM(Datos[[#This Row],[Ingresos Totales (Norwork)]],-Datos[[#This Row],[Costos Totales (Norwork)]]),""),"")</f>
        <v/>
      </c>
      <c r="AD399" s="153" t="str">
        <f>IFERROR(Datos[[#This Row],[Beneficio (Norwork)]]/Datos[[#This Row],[Ingresos Totales (Norwork)]],"")</f>
        <v/>
      </c>
    </row>
    <row r="400" spans="2:30" x14ac:dyDescent="0.3">
      <c r="B400" s="145" t="s">
        <v>751</v>
      </c>
      <c r="C400" s="145" t="s">
        <v>1173</v>
      </c>
      <c r="D400" s="145"/>
      <c r="E400" s="145"/>
      <c r="G400" s="149">
        <v>64</v>
      </c>
      <c r="H400" s="144"/>
      <c r="W400" s="148" t="s">
        <v>298</v>
      </c>
      <c r="X400" s="148" t="str">
        <f>IFERROR(Datos[[#This Row],[ARIBA PRECIO POR MILLAR (Dólares)]]/1000*Datos[[#This Row],[DEMANDA ANUAL]],"")</f>
        <v/>
      </c>
      <c r="Y400" s="153" t="str">
        <f>IFERROR((Datos[[#This Row],[INGRESO PRECIO ARIBA]]-Datos[[#This Row],[Costos Totales (Norwork)]])/Datos[[#This Row],[INGRESO PRECIO ARIBA]],"")</f>
        <v/>
      </c>
      <c r="Z400" s="148" t="str">
        <f>IFERROR(IF(Datos[[#This Row],[CON ETIQUETA]]="No",VALORHOJA(Datos[[#This Row],[NP]],$B$44),VALORHOJA(Datos[[#This Row],[NP]],$D$44)),"")</f>
        <v/>
      </c>
      <c r="AA400" s="148" t="str">
        <f>IFERROR(IF(Datos[[#This Row],[Precio / Millar (Norwork)]]&lt;&gt;"",PRODUCT(Datos[[#This Row],[Precio / Millar (Norwork)]]/1000,Datos[[#This Row],[DEMANDA ANUAL]]),""),"")</f>
        <v/>
      </c>
      <c r="AB40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00" s="148" t="str">
        <f>IFERROR(IF(Datos[[#This Row],[Precio / Millar (Norwork)]]&lt;&gt;"",SUM(Datos[[#This Row],[Ingresos Totales (Norwork)]],-Datos[[#This Row],[Costos Totales (Norwork)]]),""),"")</f>
        <v/>
      </c>
      <c r="AD400" s="153" t="str">
        <f>IFERROR(Datos[[#This Row],[Beneficio (Norwork)]]/Datos[[#This Row],[Ingresos Totales (Norwork)]],"")</f>
        <v/>
      </c>
    </row>
    <row r="401" spans="2:30" x14ac:dyDescent="0.3">
      <c r="B401" s="145" t="s">
        <v>633</v>
      </c>
      <c r="C401" s="145" t="s">
        <v>1056</v>
      </c>
      <c r="D401" s="145"/>
      <c r="E401" s="145"/>
      <c r="G401" s="149">
        <v>62</v>
      </c>
      <c r="H401" s="144"/>
      <c r="W401" s="148" t="s">
        <v>298</v>
      </c>
      <c r="X401" s="148" t="str">
        <f>IFERROR(Datos[[#This Row],[ARIBA PRECIO POR MILLAR (Dólares)]]/1000*Datos[[#This Row],[DEMANDA ANUAL]],"")</f>
        <v/>
      </c>
      <c r="Y401" s="153" t="str">
        <f>IFERROR((Datos[[#This Row],[INGRESO PRECIO ARIBA]]-Datos[[#This Row],[Costos Totales (Norwork)]])/Datos[[#This Row],[INGRESO PRECIO ARIBA]],"")</f>
        <v/>
      </c>
      <c r="Z401" s="148" t="str">
        <f>IFERROR(IF(Datos[[#This Row],[CON ETIQUETA]]="No",VALORHOJA(Datos[[#This Row],[NP]],$B$44),VALORHOJA(Datos[[#This Row],[NP]],$D$44)),"")</f>
        <v/>
      </c>
      <c r="AA401" s="148" t="str">
        <f>IFERROR(IF(Datos[[#This Row],[Precio / Millar (Norwork)]]&lt;&gt;"",PRODUCT(Datos[[#This Row],[Precio / Millar (Norwork)]]/1000,Datos[[#This Row],[DEMANDA ANUAL]]),""),"")</f>
        <v/>
      </c>
      <c r="AB40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01" s="148" t="str">
        <f>IFERROR(IF(Datos[[#This Row],[Precio / Millar (Norwork)]]&lt;&gt;"",SUM(Datos[[#This Row],[Ingresos Totales (Norwork)]],-Datos[[#This Row],[Costos Totales (Norwork)]]),""),"")</f>
        <v/>
      </c>
      <c r="AD401" s="153" t="str">
        <f>IFERROR(Datos[[#This Row],[Beneficio (Norwork)]]/Datos[[#This Row],[Ingresos Totales (Norwork)]],"")</f>
        <v/>
      </c>
    </row>
    <row r="402" spans="2:30" x14ac:dyDescent="0.3">
      <c r="B402" s="145" t="s">
        <v>620</v>
      </c>
      <c r="C402" s="145" t="s">
        <v>1043</v>
      </c>
      <c r="D402" s="145"/>
      <c r="E402" s="145"/>
      <c r="G402" s="149">
        <v>60</v>
      </c>
      <c r="H402" s="144"/>
      <c r="W402" s="148" t="s">
        <v>298</v>
      </c>
      <c r="X402" s="148" t="str">
        <f>IFERROR(Datos[[#This Row],[ARIBA PRECIO POR MILLAR (Dólares)]]/1000*Datos[[#This Row],[DEMANDA ANUAL]],"")</f>
        <v/>
      </c>
      <c r="Y402" s="153" t="str">
        <f>IFERROR((Datos[[#This Row],[INGRESO PRECIO ARIBA]]-Datos[[#This Row],[Costos Totales (Norwork)]])/Datos[[#This Row],[INGRESO PRECIO ARIBA]],"")</f>
        <v/>
      </c>
      <c r="Z402" s="148" t="str">
        <f>IFERROR(IF(Datos[[#This Row],[CON ETIQUETA]]="No",VALORHOJA(Datos[[#This Row],[NP]],$B$44),VALORHOJA(Datos[[#This Row],[NP]],$D$44)),"")</f>
        <v/>
      </c>
      <c r="AA402" s="148" t="str">
        <f>IFERROR(IF(Datos[[#This Row],[Precio / Millar (Norwork)]]&lt;&gt;"",PRODUCT(Datos[[#This Row],[Precio / Millar (Norwork)]]/1000,Datos[[#This Row],[DEMANDA ANUAL]]),""),"")</f>
        <v/>
      </c>
      <c r="AB40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02" s="148" t="str">
        <f>IFERROR(IF(Datos[[#This Row],[Precio / Millar (Norwork)]]&lt;&gt;"",SUM(Datos[[#This Row],[Ingresos Totales (Norwork)]],-Datos[[#This Row],[Costos Totales (Norwork)]]),""),"")</f>
        <v/>
      </c>
      <c r="AD402" s="153" t="str">
        <f>IFERROR(Datos[[#This Row],[Beneficio (Norwork)]]/Datos[[#This Row],[Ingresos Totales (Norwork)]],"")</f>
        <v/>
      </c>
    </row>
    <row r="403" spans="2:30" x14ac:dyDescent="0.3">
      <c r="B403" s="145" t="s">
        <v>626</v>
      </c>
      <c r="C403" s="145" t="s">
        <v>1049</v>
      </c>
      <c r="D403" s="145"/>
      <c r="E403" s="145"/>
      <c r="G403" s="149">
        <v>60</v>
      </c>
      <c r="H403" s="144"/>
      <c r="W403" s="148" t="s">
        <v>298</v>
      </c>
      <c r="X403" s="148" t="str">
        <f>IFERROR(Datos[[#This Row],[ARIBA PRECIO POR MILLAR (Dólares)]]/1000*Datos[[#This Row],[DEMANDA ANUAL]],"")</f>
        <v/>
      </c>
      <c r="Y403" s="153" t="str">
        <f>IFERROR((Datos[[#This Row],[INGRESO PRECIO ARIBA]]-Datos[[#This Row],[Costos Totales (Norwork)]])/Datos[[#This Row],[INGRESO PRECIO ARIBA]],"")</f>
        <v/>
      </c>
      <c r="Z403" s="148" t="str">
        <f>IFERROR(IF(Datos[[#This Row],[CON ETIQUETA]]="No",VALORHOJA(Datos[[#This Row],[NP]],$B$44),VALORHOJA(Datos[[#This Row],[NP]],$D$44)),"")</f>
        <v/>
      </c>
      <c r="AA403" s="148" t="str">
        <f>IFERROR(IF(Datos[[#This Row],[Precio / Millar (Norwork)]]&lt;&gt;"",PRODUCT(Datos[[#This Row],[Precio / Millar (Norwork)]]/1000,Datos[[#This Row],[DEMANDA ANUAL]]),""),"")</f>
        <v/>
      </c>
      <c r="AB40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03" s="148" t="str">
        <f>IFERROR(IF(Datos[[#This Row],[Precio / Millar (Norwork)]]&lt;&gt;"",SUM(Datos[[#This Row],[Ingresos Totales (Norwork)]],-Datos[[#This Row],[Costos Totales (Norwork)]]),""),"")</f>
        <v/>
      </c>
      <c r="AD403" s="153" t="str">
        <f>IFERROR(Datos[[#This Row],[Beneficio (Norwork)]]/Datos[[#This Row],[Ingresos Totales (Norwork)]],"")</f>
        <v/>
      </c>
    </row>
    <row r="404" spans="2:30" x14ac:dyDescent="0.3">
      <c r="B404" s="145" t="s">
        <v>739</v>
      </c>
      <c r="C404" s="145" t="s">
        <v>1161</v>
      </c>
      <c r="D404" s="145"/>
      <c r="E404" s="145"/>
      <c r="G404" s="149">
        <v>60</v>
      </c>
      <c r="H404" s="144"/>
      <c r="W404" s="148" t="s">
        <v>298</v>
      </c>
      <c r="X404" s="148" t="str">
        <f>IFERROR(Datos[[#This Row],[ARIBA PRECIO POR MILLAR (Dólares)]]/1000*Datos[[#This Row],[DEMANDA ANUAL]],"")</f>
        <v/>
      </c>
      <c r="Y404" s="153" t="str">
        <f>IFERROR((Datos[[#This Row],[INGRESO PRECIO ARIBA]]-Datos[[#This Row],[Costos Totales (Norwork)]])/Datos[[#This Row],[INGRESO PRECIO ARIBA]],"")</f>
        <v/>
      </c>
      <c r="Z404" s="148" t="str">
        <f>IFERROR(IF(Datos[[#This Row],[CON ETIQUETA]]="No",VALORHOJA(Datos[[#This Row],[NP]],$B$44),VALORHOJA(Datos[[#This Row],[NP]],$D$44)),"")</f>
        <v/>
      </c>
      <c r="AA404" s="148" t="str">
        <f>IFERROR(IF(Datos[[#This Row],[Precio / Millar (Norwork)]]&lt;&gt;"",PRODUCT(Datos[[#This Row],[Precio / Millar (Norwork)]]/1000,Datos[[#This Row],[DEMANDA ANUAL]]),""),"")</f>
        <v/>
      </c>
      <c r="AB40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04" s="148" t="str">
        <f>IFERROR(IF(Datos[[#This Row],[Precio / Millar (Norwork)]]&lt;&gt;"",SUM(Datos[[#This Row],[Ingresos Totales (Norwork)]],-Datos[[#This Row],[Costos Totales (Norwork)]]),""),"")</f>
        <v/>
      </c>
      <c r="AD404" s="153" t="str">
        <f>IFERROR(Datos[[#This Row],[Beneficio (Norwork)]]/Datos[[#This Row],[Ingresos Totales (Norwork)]],"")</f>
        <v/>
      </c>
    </row>
    <row r="405" spans="2:30" x14ac:dyDescent="0.3">
      <c r="B405" s="145" t="s">
        <v>740</v>
      </c>
      <c r="C405" s="145" t="s">
        <v>1162</v>
      </c>
      <c r="D405" s="145"/>
      <c r="E405" s="145"/>
      <c r="G405" s="149">
        <v>60</v>
      </c>
      <c r="H405" s="144"/>
      <c r="W405" s="148" t="s">
        <v>298</v>
      </c>
      <c r="X405" s="148" t="str">
        <f>IFERROR(Datos[[#This Row],[ARIBA PRECIO POR MILLAR (Dólares)]]/1000*Datos[[#This Row],[DEMANDA ANUAL]],"")</f>
        <v/>
      </c>
      <c r="Y405" s="153" t="str">
        <f>IFERROR((Datos[[#This Row],[INGRESO PRECIO ARIBA]]-Datos[[#This Row],[Costos Totales (Norwork)]])/Datos[[#This Row],[INGRESO PRECIO ARIBA]],"")</f>
        <v/>
      </c>
      <c r="Z405" s="148" t="str">
        <f>IFERROR(IF(Datos[[#This Row],[CON ETIQUETA]]="No",VALORHOJA(Datos[[#This Row],[NP]],$B$44),VALORHOJA(Datos[[#This Row],[NP]],$D$44)),"")</f>
        <v/>
      </c>
      <c r="AA405" s="148" t="str">
        <f>IFERROR(IF(Datos[[#This Row],[Precio / Millar (Norwork)]]&lt;&gt;"",PRODUCT(Datos[[#This Row],[Precio / Millar (Norwork)]]/1000,Datos[[#This Row],[DEMANDA ANUAL]]),""),"")</f>
        <v/>
      </c>
      <c r="AB40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05" s="148" t="str">
        <f>IFERROR(IF(Datos[[#This Row],[Precio / Millar (Norwork)]]&lt;&gt;"",SUM(Datos[[#This Row],[Ingresos Totales (Norwork)]],-Datos[[#This Row],[Costos Totales (Norwork)]]),""),"")</f>
        <v/>
      </c>
      <c r="AD405" s="153" t="str">
        <f>IFERROR(Datos[[#This Row],[Beneficio (Norwork)]]/Datos[[#This Row],[Ingresos Totales (Norwork)]],"")</f>
        <v/>
      </c>
    </row>
    <row r="406" spans="2:30" x14ac:dyDescent="0.3">
      <c r="B406" s="145" t="s">
        <v>742</v>
      </c>
      <c r="C406" s="145" t="s">
        <v>1164</v>
      </c>
      <c r="D406" s="145"/>
      <c r="E406" s="145"/>
      <c r="G406" s="149">
        <v>56</v>
      </c>
      <c r="H406" s="144"/>
      <c r="W406" s="148" t="s">
        <v>298</v>
      </c>
      <c r="X406" s="148" t="str">
        <f>IFERROR(Datos[[#This Row],[ARIBA PRECIO POR MILLAR (Dólares)]]/1000*Datos[[#This Row],[DEMANDA ANUAL]],"")</f>
        <v/>
      </c>
      <c r="Y406" s="153" t="str">
        <f>IFERROR((Datos[[#This Row],[INGRESO PRECIO ARIBA]]-Datos[[#This Row],[Costos Totales (Norwork)]])/Datos[[#This Row],[INGRESO PRECIO ARIBA]],"")</f>
        <v/>
      </c>
      <c r="Z406" s="148" t="str">
        <f>IFERROR(IF(Datos[[#This Row],[CON ETIQUETA]]="No",VALORHOJA(Datos[[#This Row],[NP]],$B$44),VALORHOJA(Datos[[#This Row],[NP]],$D$44)),"")</f>
        <v/>
      </c>
      <c r="AA406" s="148" t="str">
        <f>IFERROR(IF(Datos[[#This Row],[Precio / Millar (Norwork)]]&lt;&gt;"",PRODUCT(Datos[[#This Row],[Precio / Millar (Norwork)]]/1000,Datos[[#This Row],[DEMANDA ANUAL]]),""),"")</f>
        <v/>
      </c>
      <c r="AB40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06" s="148" t="str">
        <f>IFERROR(IF(Datos[[#This Row],[Precio / Millar (Norwork)]]&lt;&gt;"",SUM(Datos[[#This Row],[Ingresos Totales (Norwork)]],-Datos[[#This Row],[Costos Totales (Norwork)]]),""),"")</f>
        <v/>
      </c>
      <c r="AD406" s="153" t="str">
        <f>IFERROR(Datos[[#This Row],[Beneficio (Norwork)]]/Datos[[#This Row],[Ingresos Totales (Norwork)]],"")</f>
        <v/>
      </c>
    </row>
    <row r="407" spans="2:30" x14ac:dyDescent="0.3">
      <c r="B407" s="145" t="s">
        <v>629</v>
      </c>
      <c r="C407" s="145" t="s">
        <v>1052</v>
      </c>
      <c r="D407" s="145"/>
      <c r="E407" s="145"/>
      <c r="G407" s="149">
        <v>55</v>
      </c>
      <c r="H407" s="144"/>
      <c r="W407" s="148" t="s">
        <v>298</v>
      </c>
      <c r="X407" s="148" t="str">
        <f>IFERROR(Datos[[#This Row],[ARIBA PRECIO POR MILLAR (Dólares)]]/1000*Datos[[#This Row],[DEMANDA ANUAL]],"")</f>
        <v/>
      </c>
      <c r="Y407" s="153" t="str">
        <f>IFERROR((Datos[[#This Row],[INGRESO PRECIO ARIBA]]-Datos[[#This Row],[Costos Totales (Norwork)]])/Datos[[#This Row],[INGRESO PRECIO ARIBA]],"")</f>
        <v/>
      </c>
      <c r="Z407" s="148" t="str">
        <f>IFERROR(IF(Datos[[#This Row],[CON ETIQUETA]]="No",VALORHOJA(Datos[[#This Row],[NP]],$B$44),VALORHOJA(Datos[[#This Row],[NP]],$D$44)),"")</f>
        <v/>
      </c>
      <c r="AA407" s="148" t="str">
        <f>IFERROR(IF(Datos[[#This Row],[Precio / Millar (Norwork)]]&lt;&gt;"",PRODUCT(Datos[[#This Row],[Precio / Millar (Norwork)]]/1000,Datos[[#This Row],[DEMANDA ANUAL]]),""),"")</f>
        <v/>
      </c>
      <c r="AB40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07" s="148" t="str">
        <f>IFERROR(IF(Datos[[#This Row],[Precio / Millar (Norwork)]]&lt;&gt;"",SUM(Datos[[#This Row],[Ingresos Totales (Norwork)]],-Datos[[#This Row],[Costos Totales (Norwork)]]),""),"")</f>
        <v/>
      </c>
      <c r="AD407" s="153" t="str">
        <f>IFERROR(Datos[[#This Row],[Beneficio (Norwork)]]/Datos[[#This Row],[Ingresos Totales (Norwork)]],"")</f>
        <v/>
      </c>
    </row>
    <row r="408" spans="2:30" x14ac:dyDescent="0.3">
      <c r="B408" s="145" t="s">
        <v>718</v>
      </c>
      <c r="C408" s="145" t="s">
        <v>1140</v>
      </c>
      <c r="D408" s="145"/>
      <c r="E408" s="145"/>
      <c r="G408" s="149">
        <v>54</v>
      </c>
      <c r="H408" s="144"/>
      <c r="W408" s="148" t="s">
        <v>298</v>
      </c>
      <c r="X408" s="148" t="str">
        <f>IFERROR(Datos[[#This Row],[ARIBA PRECIO POR MILLAR (Dólares)]]/1000*Datos[[#This Row],[DEMANDA ANUAL]],"")</f>
        <v/>
      </c>
      <c r="Y408" s="153" t="str">
        <f>IFERROR((Datos[[#This Row],[INGRESO PRECIO ARIBA]]-Datos[[#This Row],[Costos Totales (Norwork)]])/Datos[[#This Row],[INGRESO PRECIO ARIBA]],"")</f>
        <v/>
      </c>
      <c r="Z408" s="148" t="str">
        <f>IFERROR(IF(Datos[[#This Row],[CON ETIQUETA]]="No",VALORHOJA(Datos[[#This Row],[NP]],$B$44),VALORHOJA(Datos[[#This Row],[NP]],$D$44)),"")</f>
        <v/>
      </c>
      <c r="AA408" s="148" t="str">
        <f>IFERROR(IF(Datos[[#This Row],[Precio / Millar (Norwork)]]&lt;&gt;"",PRODUCT(Datos[[#This Row],[Precio / Millar (Norwork)]]/1000,Datos[[#This Row],[DEMANDA ANUAL]]),""),"")</f>
        <v/>
      </c>
      <c r="AB40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08" s="148" t="str">
        <f>IFERROR(IF(Datos[[#This Row],[Precio / Millar (Norwork)]]&lt;&gt;"",SUM(Datos[[#This Row],[Ingresos Totales (Norwork)]],-Datos[[#This Row],[Costos Totales (Norwork)]]),""),"")</f>
        <v/>
      </c>
      <c r="AD408" s="153" t="str">
        <f>IFERROR(Datos[[#This Row],[Beneficio (Norwork)]]/Datos[[#This Row],[Ingresos Totales (Norwork)]],"")</f>
        <v/>
      </c>
    </row>
    <row r="409" spans="2:30" x14ac:dyDescent="0.3">
      <c r="B409" s="145" t="s">
        <v>688</v>
      </c>
      <c r="C409" s="145" t="s">
        <v>1110</v>
      </c>
      <c r="D409" s="145"/>
      <c r="E409" s="145"/>
      <c r="G409" s="149">
        <v>53</v>
      </c>
      <c r="H409" s="144"/>
      <c r="W409" s="148" t="s">
        <v>298</v>
      </c>
      <c r="X409" s="148" t="str">
        <f>IFERROR(Datos[[#This Row],[ARIBA PRECIO POR MILLAR (Dólares)]]/1000*Datos[[#This Row],[DEMANDA ANUAL]],"")</f>
        <v/>
      </c>
      <c r="Y409" s="153" t="str">
        <f>IFERROR((Datos[[#This Row],[INGRESO PRECIO ARIBA]]-Datos[[#This Row],[Costos Totales (Norwork)]])/Datos[[#This Row],[INGRESO PRECIO ARIBA]],"")</f>
        <v/>
      </c>
      <c r="Z409" s="148" t="str">
        <f>IFERROR(IF(Datos[[#This Row],[CON ETIQUETA]]="No",VALORHOJA(Datos[[#This Row],[NP]],$B$44),VALORHOJA(Datos[[#This Row],[NP]],$D$44)),"")</f>
        <v/>
      </c>
      <c r="AA409" s="148" t="str">
        <f>IFERROR(IF(Datos[[#This Row],[Precio / Millar (Norwork)]]&lt;&gt;"",PRODUCT(Datos[[#This Row],[Precio / Millar (Norwork)]]/1000,Datos[[#This Row],[DEMANDA ANUAL]]),""),"")</f>
        <v/>
      </c>
      <c r="AB40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09" s="148" t="str">
        <f>IFERROR(IF(Datos[[#This Row],[Precio / Millar (Norwork)]]&lt;&gt;"",SUM(Datos[[#This Row],[Ingresos Totales (Norwork)]],-Datos[[#This Row],[Costos Totales (Norwork)]]),""),"")</f>
        <v/>
      </c>
      <c r="AD409" s="153" t="str">
        <f>IFERROR(Datos[[#This Row],[Beneficio (Norwork)]]/Datos[[#This Row],[Ingresos Totales (Norwork)]],"")</f>
        <v/>
      </c>
    </row>
    <row r="410" spans="2:30" x14ac:dyDescent="0.3">
      <c r="B410" s="145" t="s">
        <v>716</v>
      </c>
      <c r="C410" s="145" t="s">
        <v>1138</v>
      </c>
      <c r="D410" s="145"/>
      <c r="E410" s="145"/>
      <c r="G410" s="149">
        <v>52</v>
      </c>
      <c r="H410" s="144"/>
      <c r="W410" s="148" t="s">
        <v>298</v>
      </c>
      <c r="X410" s="148" t="str">
        <f>IFERROR(Datos[[#This Row],[ARIBA PRECIO POR MILLAR (Dólares)]]/1000*Datos[[#This Row],[DEMANDA ANUAL]],"")</f>
        <v/>
      </c>
      <c r="Y410" s="153" t="str">
        <f>IFERROR((Datos[[#This Row],[INGRESO PRECIO ARIBA]]-Datos[[#This Row],[Costos Totales (Norwork)]])/Datos[[#This Row],[INGRESO PRECIO ARIBA]],"")</f>
        <v/>
      </c>
      <c r="Z410" s="148" t="str">
        <f>IFERROR(IF(Datos[[#This Row],[CON ETIQUETA]]="No",VALORHOJA(Datos[[#This Row],[NP]],$B$44),VALORHOJA(Datos[[#This Row],[NP]],$D$44)),"")</f>
        <v/>
      </c>
      <c r="AA410" s="148" t="str">
        <f>IFERROR(IF(Datos[[#This Row],[Precio / Millar (Norwork)]]&lt;&gt;"",PRODUCT(Datos[[#This Row],[Precio / Millar (Norwork)]]/1000,Datos[[#This Row],[DEMANDA ANUAL]]),""),"")</f>
        <v/>
      </c>
      <c r="AB41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10" s="148" t="str">
        <f>IFERROR(IF(Datos[[#This Row],[Precio / Millar (Norwork)]]&lt;&gt;"",SUM(Datos[[#This Row],[Ingresos Totales (Norwork)]],-Datos[[#This Row],[Costos Totales (Norwork)]]),""),"")</f>
        <v/>
      </c>
      <c r="AD410" s="153" t="str">
        <f>IFERROR(Datos[[#This Row],[Beneficio (Norwork)]]/Datos[[#This Row],[Ingresos Totales (Norwork)]],"")</f>
        <v/>
      </c>
    </row>
    <row r="411" spans="2:30" x14ac:dyDescent="0.3">
      <c r="B411" s="145" t="s">
        <v>673</v>
      </c>
      <c r="C411" s="145" t="s">
        <v>1096</v>
      </c>
      <c r="D411" s="145"/>
      <c r="E411" s="145"/>
      <c r="G411" s="149">
        <v>51</v>
      </c>
      <c r="H411" s="144"/>
      <c r="W411" s="148" t="s">
        <v>298</v>
      </c>
      <c r="X411" s="148" t="str">
        <f>IFERROR(Datos[[#This Row],[ARIBA PRECIO POR MILLAR (Dólares)]]/1000*Datos[[#This Row],[DEMANDA ANUAL]],"")</f>
        <v/>
      </c>
      <c r="Y411" s="153" t="str">
        <f>IFERROR((Datos[[#This Row],[INGRESO PRECIO ARIBA]]-Datos[[#This Row],[Costos Totales (Norwork)]])/Datos[[#This Row],[INGRESO PRECIO ARIBA]],"")</f>
        <v/>
      </c>
      <c r="Z411" s="148" t="str">
        <f>IFERROR(IF(Datos[[#This Row],[CON ETIQUETA]]="No",VALORHOJA(Datos[[#This Row],[NP]],$B$44),VALORHOJA(Datos[[#This Row],[NP]],$D$44)),"")</f>
        <v/>
      </c>
      <c r="AA411" s="148" t="str">
        <f>IFERROR(IF(Datos[[#This Row],[Precio / Millar (Norwork)]]&lt;&gt;"",PRODUCT(Datos[[#This Row],[Precio / Millar (Norwork)]]/1000,Datos[[#This Row],[DEMANDA ANUAL]]),""),"")</f>
        <v/>
      </c>
      <c r="AB41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11" s="148" t="str">
        <f>IFERROR(IF(Datos[[#This Row],[Precio / Millar (Norwork)]]&lt;&gt;"",SUM(Datos[[#This Row],[Ingresos Totales (Norwork)]],-Datos[[#This Row],[Costos Totales (Norwork)]]),""),"")</f>
        <v/>
      </c>
      <c r="AD411" s="153" t="str">
        <f>IFERROR(Datos[[#This Row],[Beneficio (Norwork)]]/Datos[[#This Row],[Ingresos Totales (Norwork)]],"")</f>
        <v/>
      </c>
    </row>
    <row r="412" spans="2:30" x14ac:dyDescent="0.3">
      <c r="B412" s="145" t="s">
        <v>745</v>
      </c>
      <c r="C412" s="145" t="s">
        <v>1167</v>
      </c>
      <c r="D412" s="145"/>
      <c r="E412" s="145"/>
      <c r="G412" s="149">
        <v>51</v>
      </c>
      <c r="H412" s="144"/>
      <c r="W412" s="148" t="s">
        <v>298</v>
      </c>
      <c r="X412" s="148" t="str">
        <f>IFERROR(Datos[[#This Row],[ARIBA PRECIO POR MILLAR (Dólares)]]/1000*Datos[[#This Row],[DEMANDA ANUAL]],"")</f>
        <v/>
      </c>
      <c r="Y412" s="153" t="str">
        <f>IFERROR((Datos[[#This Row],[INGRESO PRECIO ARIBA]]-Datos[[#This Row],[Costos Totales (Norwork)]])/Datos[[#This Row],[INGRESO PRECIO ARIBA]],"")</f>
        <v/>
      </c>
      <c r="Z412" s="148" t="str">
        <f>IFERROR(IF(Datos[[#This Row],[CON ETIQUETA]]="No",VALORHOJA(Datos[[#This Row],[NP]],$B$44),VALORHOJA(Datos[[#This Row],[NP]],$D$44)),"")</f>
        <v/>
      </c>
      <c r="AA412" s="148" t="str">
        <f>IFERROR(IF(Datos[[#This Row],[Precio / Millar (Norwork)]]&lt;&gt;"",PRODUCT(Datos[[#This Row],[Precio / Millar (Norwork)]]/1000,Datos[[#This Row],[DEMANDA ANUAL]]),""),"")</f>
        <v/>
      </c>
      <c r="AB41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12" s="148" t="str">
        <f>IFERROR(IF(Datos[[#This Row],[Precio / Millar (Norwork)]]&lt;&gt;"",SUM(Datos[[#This Row],[Ingresos Totales (Norwork)]],-Datos[[#This Row],[Costos Totales (Norwork)]]),""),"")</f>
        <v/>
      </c>
      <c r="AD412" s="153" t="str">
        <f>IFERROR(Datos[[#This Row],[Beneficio (Norwork)]]/Datos[[#This Row],[Ingresos Totales (Norwork)]],"")</f>
        <v/>
      </c>
    </row>
    <row r="413" spans="2:30" x14ac:dyDescent="0.3">
      <c r="B413" s="145" t="s">
        <v>721</v>
      </c>
      <c r="C413" s="145" t="s">
        <v>1143</v>
      </c>
      <c r="D413" s="145"/>
      <c r="E413" s="145"/>
      <c r="G413" s="149">
        <v>50</v>
      </c>
      <c r="H413" s="144"/>
      <c r="W413" s="148" t="s">
        <v>298</v>
      </c>
      <c r="X413" s="148" t="str">
        <f>IFERROR(Datos[[#This Row],[ARIBA PRECIO POR MILLAR (Dólares)]]/1000*Datos[[#This Row],[DEMANDA ANUAL]],"")</f>
        <v/>
      </c>
      <c r="Y413" s="153" t="str">
        <f>IFERROR((Datos[[#This Row],[INGRESO PRECIO ARIBA]]-Datos[[#This Row],[Costos Totales (Norwork)]])/Datos[[#This Row],[INGRESO PRECIO ARIBA]],"")</f>
        <v/>
      </c>
      <c r="Z413" s="148" t="str">
        <f>IFERROR(IF(Datos[[#This Row],[CON ETIQUETA]]="No",VALORHOJA(Datos[[#This Row],[NP]],$B$44),VALORHOJA(Datos[[#This Row],[NP]],$D$44)),"")</f>
        <v/>
      </c>
      <c r="AA413" s="148" t="str">
        <f>IFERROR(IF(Datos[[#This Row],[Precio / Millar (Norwork)]]&lt;&gt;"",PRODUCT(Datos[[#This Row],[Precio / Millar (Norwork)]]/1000,Datos[[#This Row],[DEMANDA ANUAL]]),""),"")</f>
        <v/>
      </c>
      <c r="AB41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13" s="148" t="str">
        <f>IFERROR(IF(Datos[[#This Row],[Precio / Millar (Norwork)]]&lt;&gt;"",SUM(Datos[[#This Row],[Ingresos Totales (Norwork)]],-Datos[[#This Row],[Costos Totales (Norwork)]]),""),"")</f>
        <v/>
      </c>
      <c r="AD413" s="153" t="str">
        <f>IFERROR(Datos[[#This Row],[Beneficio (Norwork)]]/Datos[[#This Row],[Ingresos Totales (Norwork)]],"")</f>
        <v/>
      </c>
    </row>
    <row r="414" spans="2:30" x14ac:dyDescent="0.3">
      <c r="B414" s="145" t="s">
        <v>722</v>
      </c>
      <c r="C414" s="145" t="s">
        <v>1144</v>
      </c>
      <c r="D414" s="145"/>
      <c r="E414" s="145"/>
      <c r="G414" s="149">
        <v>50</v>
      </c>
      <c r="H414" s="144"/>
      <c r="W414" s="148" t="s">
        <v>298</v>
      </c>
      <c r="X414" s="148" t="str">
        <f>IFERROR(Datos[[#This Row],[ARIBA PRECIO POR MILLAR (Dólares)]]/1000*Datos[[#This Row],[DEMANDA ANUAL]],"")</f>
        <v/>
      </c>
      <c r="Y414" s="153" t="str">
        <f>IFERROR((Datos[[#This Row],[INGRESO PRECIO ARIBA]]-Datos[[#This Row],[Costos Totales (Norwork)]])/Datos[[#This Row],[INGRESO PRECIO ARIBA]],"")</f>
        <v/>
      </c>
      <c r="Z414" s="148" t="str">
        <f>IFERROR(IF(Datos[[#This Row],[CON ETIQUETA]]="No",VALORHOJA(Datos[[#This Row],[NP]],$B$44),VALORHOJA(Datos[[#This Row],[NP]],$D$44)),"")</f>
        <v/>
      </c>
      <c r="AA414" s="148" t="str">
        <f>IFERROR(IF(Datos[[#This Row],[Precio / Millar (Norwork)]]&lt;&gt;"",PRODUCT(Datos[[#This Row],[Precio / Millar (Norwork)]]/1000,Datos[[#This Row],[DEMANDA ANUAL]]),""),"")</f>
        <v/>
      </c>
      <c r="AB41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14" s="148" t="str">
        <f>IFERROR(IF(Datos[[#This Row],[Precio / Millar (Norwork)]]&lt;&gt;"",SUM(Datos[[#This Row],[Ingresos Totales (Norwork)]],-Datos[[#This Row],[Costos Totales (Norwork)]]),""),"")</f>
        <v/>
      </c>
      <c r="AD414" s="153" t="str">
        <f>IFERROR(Datos[[#This Row],[Beneficio (Norwork)]]/Datos[[#This Row],[Ingresos Totales (Norwork)]],"")</f>
        <v/>
      </c>
    </row>
    <row r="415" spans="2:30" x14ac:dyDescent="0.3">
      <c r="B415" s="145" t="s">
        <v>723</v>
      </c>
      <c r="C415" s="145" t="s">
        <v>1145</v>
      </c>
      <c r="D415" s="145"/>
      <c r="E415" s="145"/>
      <c r="G415" s="149">
        <v>50</v>
      </c>
      <c r="H415" s="144"/>
      <c r="W415" s="148" t="s">
        <v>298</v>
      </c>
      <c r="X415" s="148" t="str">
        <f>IFERROR(Datos[[#This Row],[ARIBA PRECIO POR MILLAR (Dólares)]]/1000*Datos[[#This Row],[DEMANDA ANUAL]],"")</f>
        <v/>
      </c>
      <c r="Y415" s="153" t="str">
        <f>IFERROR((Datos[[#This Row],[INGRESO PRECIO ARIBA]]-Datos[[#This Row],[Costos Totales (Norwork)]])/Datos[[#This Row],[INGRESO PRECIO ARIBA]],"")</f>
        <v/>
      </c>
      <c r="Z415" s="148" t="str">
        <f>IFERROR(IF(Datos[[#This Row],[CON ETIQUETA]]="No",VALORHOJA(Datos[[#This Row],[NP]],$B$44),VALORHOJA(Datos[[#This Row],[NP]],$D$44)),"")</f>
        <v/>
      </c>
      <c r="AA415" s="148" t="str">
        <f>IFERROR(IF(Datos[[#This Row],[Precio / Millar (Norwork)]]&lt;&gt;"",PRODUCT(Datos[[#This Row],[Precio / Millar (Norwork)]]/1000,Datos[[#This Row],[DEMANDA ANUAL]]),""),"")</f>
        <v/>
      </c>
      <c r="AB41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15" s="148" t="str">
        <f>IFERROR(IF(Datos[[#This Row],[Precio / Millar (Norwork)]]&lt;&gt;"",SUM(Datos[[#This Row],[Ingresos Totales (Norwork)]],-Datos[[#This Row],[Costos Totales (Norwork)]]),""),"")</f>
        <v/>
      </c>
      <c r="AD415" s="153" t="str">
        <f>IFERROR(Datos[[#This Row],[Beneficio (Norwork)]]/Datos[[#This Row],[Ingresos Totales (Norwork)]],"")</f>
        <v/>
      </c>
    </row>
    <row r="416" spans="2:30" x14ac:dyDescent="0.3">
      <c r="B416" s="145" t="s">
        <v>724</v>
      </c>
      <c r="C416" s="145" t="s">
        <v>1146</v>
      </c>
      <c r="D416" s="145"/>
      <c r="E416" s="145"/>
      <c r="G416" s="149">
        <v>50</v>
      </c>
      <c r="H416" s="144"/>
      <c r="W416" s="148" t="s">
        <v>298</v>
      </c>
      <c r="X416" s="148" t="str">
        <f>IFERROR(Datos[[#This Row],[ARIBA PRECIO POR MILLAR (Dólares)]]/1000*Datos[[#This Row],[DEMANDA ANUAL]],"")</f>
        <v/>
      </c>
      <c r="Y416" s="153" t="str">
        <f>IFERROR((Datos[[#This Row],[INGRESO PRECIO ARIBA]]-Datos[[#This Row],[Costos Totales (Norwork)]])/Datos[[#This Row],[INGRESO PRECIO ARIBA]],"")</f>
        <v/>
      </c>
      <c r="Z416" s="148" t="str">
        <f>IFERROR(IF(Datos[[#This Row],[CON ETIQUETA]]="No",VALORHOJA(Datos[[#This Row],[NP]],$B$44),VALORHOJA(Datos[[#This Row],[NP]],$D$44)),"")</f>
        <v/>
      </c>
      <c r="AA416" s="148" t="str">
        <f>IFERROR(IF(Datos[[#This Row],[Precio / Millar (Norwork)]]&lt;&gt;"",PRODUCT(Datos[[#This Row],[Precio / Millar (Norwork)]]/1000,Datos[[#This Row],[DEMANDA ANUAL]]),""),"")</f>
        <v/>
      </c>
      <c r="AB41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16" s="148" t="str">
        <f>IFERROR(IF(Datos[[#This Row],[Precio / Millar (Norwork)]]&lt;&gt;"",SUM(Datos[[#This Row],[Ingresos Totales (Norwork)]],-Datos[[#This Row],[Costos Totales (Norwork)]]),""),"")</f>
        <v/>
      </c>
      <c r="AD416" s="153" t="str">
        <f>IFERROR(Datos[[#This Row],[Beneficio (Norwork)]]/Datos[[#This Row],[Ingresos Totales (Norwork)]],"")</f>
        <v/>
      </c>
    </row>
    <row r="417" spans="2:30" x14ac:dyDescent="0.3">
      <c r="B417" s="145" t="s">
        <v>746</v>
      </c>
      <c r="C417" s="145" t="s">
        <v>1168</v>
      </c>
      <c r="D417" s="145"/>
      <c r="E417" s="145"/>
      <c r="G417" s="149">
        <v>50</v>
      </c>
      <c r="H417" s="144"/>
      <c r="W417" s="148" t="s">
        <v>298</v>
      </c>
      <c r="X417" s="148" t="str">
        <f>IFERROR(Datos[[#This Row],[ARIBA PRECIO POR MILLAR (Dólares)]]/1000*Datos[[#This Row],[DEMANDA ANUAL]],"")</f>
        <v/>
      </c>
      <c r="Y417" s="153" t="str">
        <f>IFERROR((Datos[[#This Row],[INGRESO PRECIO ARIBA]]-Datos[[#This Row],[Costos Totales (Norwork)]])/Datos[[#This Row],[INGRESO PRECIO ARIBA]],"")</f>
        <v/>
      </c>
      <c r="Z417" s="148" t="str">
        <f>IFERROR(IF(Datos[[#This Row],[CON ETIQUETA]]="No",VALORHOJA(Datos[[#This Row],[NP]],$B$44),VALORHOJA(Datos[[#This Row],[NP]],$D$44)),"")</f>
        <v/>
      </c>
      <c r="AA417" s="148" t="str">
        <f>IFERROR(IF(Datos[[#This Row],[Precio / Millar (Norwork)]]&lt;&gt;"",PRODUCT(Datos[[#This Row],[Precio / Millar (Norwork)]]/1000,Datos[[#This Row],[DEMANDA ANUAL]]),""),"")</f>
        <v/>
      </c>
      <c r="AB41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17" s="148" t="str">
        <f>IFERROR(IF(Datos[[#This Row],[Precio / Millar (Norwork)]]&lt;&gt;"",SUM(Datos[[#This Row],[Ingresos Totales (Norwork)]],-Datos[[#This Row],[Costos Totales (Norwork)]]),""),"")</f>
        <v/>
      </c>
      <c r="AD417" s="153" t="str">
        <f>IFERROR(Datos[[#This Row],[Beneficio (Norwork)]]/Datos[[#This Row],[Ingresos Totales (Norwork)]],"")</f>
        <v/>
      </c>
    </row>
    <row r="418" spans="2:30" x14ac:dyDescent="0.3">
      <c r="B418" s="145" t="s">
        <v>725</v>
      </c>
      <c r="C418" s="145" t="s">
        <v>1147</v>
      </c>
      <c r="D418" s="145"/>
      <c r="E418" s="145"/>
      <c r="G418" s="149">
        <v>48</v>
      </c>
      <c r="H418" s="144"/>
      <c r="W418" s="148" t="s">
        <v>298</v>
      </c>
      <c r="X418" s="148" t="str">
        <f>IFERROR(Datos[[#This Row],[ARIBA PRECIO POR MILLAR (Dólares)]]/1000*Datos[[#This Row],[DEMANDA ANUAL]],"")</f>
        <v/>
      </c>
      <c r="Y418" s="153" t="str">
        <f>IFERROR((Datos[[#This Row],[INGRESO PRECIO ARIBA]]-Datos[[#This Row],[Costos Totales (Norwork)]])/Datos[[#This Row],[INGRESO PRECIO ARIBA]],"")</f>
        <v/>
      </c>
      <c r="Z418" s="148" t="str">
        <f>IFERROR(IF(Datos[[#This Row],[CON ETIQUETA]]="No",VALORHOJA(Datos[[#This Row],[NP]],$B$44),VALORHOJA(Datos[[#This Row],[NP]],$D$44)),"")</f>
        <v/>
      </c>
      <c r="AA418" s="148" t="str">
        <f>IFERROR(IF(Datos[[#This Row],[Precio / Millar (Norwork)]]&lt;&gt;"",PRODUCT(Datos[[#This Row],[Precio / Millar (Norwork)]]/1000,Datos[[#This Row],[DEMANDA ANUAL]]),""),"")</f>
        <v/>
      </c>
      <c r="AB41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18" s="148" t="str">
        <f>IFERROR(IF(Datos[[#This Row],[Precio / Millar (Norwork)]]&lt;&gt;"",SUM(Datos[[#This Row],[Ingresos Totales (Norwork)]],-Datos[[#This Row],[Costos Totales (Norwork)]]),""),"")</f>
        <v/>
      </c>
      <c r="AD418" s="153" t="str">
        <f>IFERROR(Datos[[#This Row],[Beneficio (Norwork)]]/Datos[[#This Row],[Ingresos Totales (Norwork)]],"")</f>
        <v/>
      </c>
    </row>
    <row r="419" spans="2:30" x14ac:dyDescent="0.3">
      <c r="B419" s="145" t="s">
        <v>726</v>
      </c>
      <c r="C419" s="145" t="s">
        <v>1148</v>
      </c>
      <c r="D419" s="145"/>
      <c r="E419" s="145"/>
      <c r="G419" s="149">
        <v>48</v>
      </c>
      <c r="H419" s="144"/>
      <c r="W419" s="148" t="s">
        <v>298</v>
      </c>
      <c r="X419" s="148" t="str">
        <f>IFERROR(Datos[[#This Row],[ARIBA PRECIO POR MILLAR (Dólares)]]/1000*Datos[[#This Row],[DEMANDA ANUAL]],"")</f>
        <v/>
      </c>
      <c r="Y419" s="153" t="str">
        <f>IFERROR((Datos[[#This Row],[INGRESO PRECIO ARIBA]]-Datos[[#This Row],[Costos Totales (Norwork)]])/Datos[[#This Row],[INGRESO PRECIO ARIBA]],"")</f>
        <v/>
      </c>
      <c r="Z419" s="148" t="str">
        <f>IFERROR(IF(Datos[[#This Row],[CON ETIQUETA]]="No",VALORHOJA(Datos[[#This Row],[NP]],$B$44),VALORHOJA(Datos[[#This Row],[NP]],$D$44)),"")</f>
        <v/>
      </c>
      <c r="AA419" s="148" t="str">
        <f>IFERROR(IF(Datos[[#This Row],[Precio / Millar (Norwork)]]&lt;&gt;"",PRODUCT(Datos[[#This Row],[Precio / Millar (Norwork)]]/1000,Datos[[#This Row],[DEMANDA ANUAL]]),""),"")</f>
        <v/>
      </c>
      <c r="AB41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19" s="148" t="str">
        <f>IFERROR(IF(Datos[[#This Row],[Precio / Millar (Norwork)]]&lt;&gt;"",SUM(Datos[[#This Row],[Ingresos Totales (Norwork)]],-Datos[[#This Row],[Costos Totales (Norwork)]]),""),"")</f>
        <v/>
      </c>
      <c r="AD419" s="153" t="str">
        <f>IFERROR(Datos[[#This Row],[Beneficio (Norwork)]]/Datos[[#This Row],[Ingresos Totales (Norwork)]],"")</f>
        <v/>
      </c>
    </row>
    <row r="420" spans="2:30" x14ac:dyDescent="0.3">
      <c r="B420" s="145" t="s">
        <v>744</v>
      </c>
      <c r="C420" s="145" t="s">
        <v>1166</v>
      </c>
      <c r="D420" s="145"/>
      <c r="E420" s="145"/>
      <c r="G420" s="149">
        <v>42</v>
      </c>
      <c r="H420" s="144"/>
      <c r="W420" s="148" t="s">
        <v>298</v>
      </c>
      <c r="X420" s="148" t="str">
        <f>IFERROR(Datos[[#This Row],[ARIBA PRECIO POR MILLAR (Dólares)]]/1000*Datos[[#This Row],[DEMANDA ANUAL]],"")</f>
        <v/>
      </c>
      <c r="Y420" s="153" t="str">
        <f>IFERROR((Datos[[#This Row],[INGRESO PRECIO ARIBA]]-Datos[[#This Row],[Costos Totales (Norwork)]])/Datos[[#This Row],[INGRESO PRECIO ARIBA]],"")</f>
        <v/>
      </c>
      <c r="Z420" s="148" t="str">
        <f>IFERROR(IF(Datos[[#This Row],[CON ETIQUETA]]="No",VALORHOJA(Datos[[#This Row],[NP]],$B$44),VALORHOJA(Datos[[#This Row],[NP]],$D$44)),"")</f>
        <v/>
      </c>
      <c r="AA420" s="148" t="str">
        <f>IFERROR(IF(Datos[[#This Row],[Precio / Millar (Norwork)]]&lt;&gt;"",PRODUCT(Datos[[#This Row],[Precio / Millar (Norwork)]]/1000,Datos[[#This Row],[DEMANDA ANUAL]]),""),"")</f>
        <v/>
      </c>
      <c r="AB42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20" s="148" t="str">
        <f>IFERROR(IF(Datos[[#This Row],[Precio / Millar (Norwork)]]&lt;&gt;"",SUM(Datos[[#This Row],[Ingresos Totales (Norwork)]],-Datos[[#This Row],[Costos Totales (Norwork)]]),""),"")</f>
        <v/>
      </c>
      <c r="AD420" s="153" t="str">
        <f>IFERROR(Datos[[#This Row],[Beneficio (Norwork)]]/Datos[[#This Row],[Ingresos Totales (Norwork)]],"")</f>
        <v/>
      </c>
    </row>
    <row r="421" spans="2:30" x14ac:dyDescent="0.3">
      <c r="B421" s="145" t="s">
        <v>732</v>
      </c>
      <c r="C421" s="145" t="s">
        <v>1154</v>
      </c>
      <c r="D421" s="145"/>
      <c r="E421" s="145"/>
      <c r="G421" s="149">
        <v>41</v>
      </c>
      <c r="H421" s="144"/>
      <c r="W421" s="148" t="s">
        <v>298</v>
      </c>
      <c r="X421" s="148" t="str">
        <f>IFERROR(Datos[[#This Row],[ARIBA PRECIO POR MILLAR (Dólares)]]/1000*Datos[[#This Row],[DEMANDA ANUAL]],"")</f>
        <v/>
      </c>
      <c r="Y421" s="153" t="str">
        <f>IFERROR((Datos[[#This Row],[INGRESO PRECIO ARIBA]]-Datos[[#This Row],[Costos Totales (Norwork)]])/Datos[[#This Row],[INGRESO PRECIO ARIBA]],"")</f>
        <v/>
      </c>
      <c r="Z421" s="148" t="str">
        <f>IFERROR(IF(Datos[[#This Row],[CON ETIQUETA]]="No",VALORHOJA(Datos[[#This Row],[NP]],$B$44),VALORHOJA(Datos[[#This Row],[NP]],$D$44)),"")</f>
        <v/>
      </c>
      <c r="AA421" s="148" t="str">
        <f>IFERROR(IF(Datos[[#This Row],[Precio / Millar (Norwork)]]&lt;&gt;"",PRODUCT(Datos[[#This Row],[Precio / Millar (Norwork)]]/1000,Datos[[#This Row],[DEMANDA ANUAL]]),""),"")</f>
        <v/>
      </c>
      <c r="AB42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21" s="148" t="str">
        <f>IFERROR(IF(Datos[[#This Row],[Precio / Millar (Norwork)]]&lt;&gt;"",SUM(Datos[[#This Row],[Ingresos Totales (Norwork)]],-Datos[[#This Row],[Costos Totales (Norwork)]]),""),"")</f>
        <v/>
      </c>
      <c r="AD421" s="153" t="str">
        <f>IFERROR(Datos[[#This Row],[Beneficio (Norwork)]]/Datos[[#This Row],[Ingresos Totales (Norwork)]],"")</f>
        <v/>
      </c>
    </row>
    <row r="422" spans="2:30" x14ac:dyDescent="0.3">
      <c r="B422" s="145" t="s">
        <v>683</v>
      </c>
      <c r="C422" s="145" t="s">
        <v>910</v>
      </c>
      <c r="D422" s="145"/>
      <c r="E422" s="145"/>
      <c r="G422" s="149">
        <v>40</v>
      </c>
      <c r="H422" s="144"/>
      <c r="W422" s="148" t="s">
        <v>298</v>
      </c>
      <c r="X422" s="148" t="str">
        <f>IFERROR(Datos[[#This Row],[ARIBA PRECIO POR MILLAR (Dólares)]]/1000*Datos[[#This Row],[DEMANDA ANUAL]],"")</f>
        <v/>
      </c>
      <c r="Y422" s="153" t="str">
        <f>IFERROR((Datos[[#This Row],[INGRESO PRECIO ARIBA]]-Datos[[#This Row],[Costos Totales (Norwork)]])/Datos[[#This Row],[INGRESO PRECIO ARIBA]],"")</f>
        <v/>
      </c>
      <c r="Z422" s="148" t="str">
        <f>IFERROR(IF(Datos[[#This Row],[CON ETIQUETA]]="No",VALORHOJA(Datos[[#This Row],[NP]],$B$44),VALORHOJA(Datos[[#This Row],[NP]],$D$44)),"")</f>
        <v/>
      </c>
      <c r="AA422" s="148" t="str">
        <f>IFERROR(IF(Datos[[#This Row],[Precio / Millar (Norwork)]]&lt;&gt;"",PRODUCT(Datos[[#This Row],[Precio / Millar (Norwork)]]/1000,Datos[[#This Row],[DEMANDA ANUAL]]),""),"")</f>
        <v/>
      </c>
      <c r="AB42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22" s="148" t="str">
        <f>IFERROR(IF(Datos[[#This Row],[Precio / Millar (Norwork)]]&lt;&gt;"",SUM(Datos[[#This Row],[Ingresos Totales (Norwork)]],-Datos[[#This Row],[Costos Totales (Norwork)]]),""),"")</f>
        <v/>
      </c>
      <c r="AD422" s="153" t="str">
        <f>IFERROR(Datos[[#This Row],[Beneficio (Norwork)]]/Datos[[#This Row],[Ingresos Totales (Norwork)]],"")</f>
        <v/>
      </c>
    </row>
    <row r="423" spans="2:30" x14ac:dyDescent="0.3">
      <c r="B423" s="145" t="s">
        <v>717</v>
      </c>
      <c r="C423" s="145" t="s">
        <v>1139</v>
      </c>
      <c r="D423" s="145"/>
      <c r="E423" s="145"/>
      <c r="G423" s="149">
        <v>40</v>
      </c>
      <c r="H423" s="144"/>
      <c r="W423" s="148" t="s">
        <v>298</v>
      </c>
      <c r="X423" s="148" t="str">
        <f>IFERROR(Datos[[#This Row],[ARIBA PRECIO POR MILLAR (Dólares)]]/1000*Datos[[#This Row],[DEMANDA ANUAL]],"")</f>
        <v/>
      </c>
      <c r="Y423" s="153" t="str">
        <f>IFERROR((Datos[[#This Row],[INGRESO PRECIO ARIBA]]-Datos[[#This Row],[Costos Totales (Norwork)]])/Datos[[#This Row],[INGRESO PRECIO ARIBA]],"")</f>
        <v/>
      </c>
      <c r="Z423" s="148" t="str">
        <f>IFERROR(IF(Datos[[#This Row],[CON ETIQUETA]]="No",VALORHOJA(Datos[[#This Row],[NP]],$B$44),VALORHOJA(Datos[[#This Row],[NP]],$D$44)),"")</f>
        <v/>
      </c>
      <c r="AA423" s="148" t="str">
        <f>IFERROR(IF(Datos[[#This Row],[Precio / Millar (Norwork)]]&lt;&gt;"",PRODUCT(Datos[[#This Row],[Precio / Millar (Norwork)]]/1000,Datos[[#This Row],[DEMANDA ANUAL]]),""),"")</f>
        <v/>
      </c>
      <c r="AB42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23" s="148" t="str">
        <f>IFERROR(IF(Datos[[#This Row],[Precio / Millar (Norwork)]]&lt;&gt;"",SUM(Datos[[#This Row],[Ingresos Totales (Norwork)]],-Datos[[#This Row],[Costos Totales (Norwork)]]),""),"")</f>
        <v/>
      </c>
      <c r="AD423" s="153" t="str">
        <f>IFERROR(Datos[[#This Row],[Beneficio (Norwork)]]/Datos[[#This Row],[Ingresos Totales (Norwork)]],"")</f>
        <v/>
      </c>
    </row>
    <row r="424" spans="2:30" x14ac:dyDescent="0.3">
      <c r="B424" s="145" t="s">
        <v>757</v>
      </c>
      <c r="C424" s="145" t="s">
        <v>946</v>
      </c>
      <c r="D424" s="145"/>
      <c r="E424" s="145"/>
      <c r="G424" s="149">
        <v>40</v>
      </c>
      <c r="H424" s="144"/>
      <c r="W424" s="148" t="s">
        <v>298</v>
      </c>
      <c r="X424" s="148" t="str">
        <f>IFERROR(Datos[[#This Row],[ARIBA PRECIO POR MILLAR (Dólares)]]/1000*Datos[[#This Row],[DEMANDA ANUAL]],"")</f>
        <v/>
      </c>
      <c r="Y424" s="153" t="str">
        <f>IFERROR((Datos[[#This Row],[INGRESO PRECIO ARIBA]]-Datos[[#This Row],[Costos Totales (Norwork)]])/Datos[[#This Row],[INGRESO PRECIO ARIBA]],"")</f>
        <v/>
      </c>
      <c r="Z424" s="148" t="str">
        <f>IFERROR(IF(Datos[[#This Row],[CON ETIQUETA]]="No",VALORHOJA(Datos[[#This Row],[NP]],$B$44),VALORHOJA(Datos[[#This Row],[NP]],$D$44)),"")</f>
        <v/>
      </c>
      <c r="AA424" s="148" t="str">
        <f>IFERROR(IF(Datos[[#This Row],[Precio / Millar (Norwork)]]&lt;&gt;"",PRODUCT(Datos[[#This Row],[Precio / Millar (Norwork)]]/1000,Datos[[#This Row],[DEMANDA ANUAL]]),""),"")</f>
        <v/>
      </c>
      <c r="AB42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24" s="148" t="str">
        <f>IFERROR(IF(Datos[[#This Row],[Precio / Millar (Norwork)]]&lt;&gt;"",SUM(Datos[[#This Row],[Ingresos Totales (Norwork)]],-Datos[[#This Row],[Costos Totales (Norwork)]]),""),"")</f>
        <v/>
      </c>
      <c r="AD424" s="153" t="str">
        <f>IFERROR(Datos[[#This Row],[Beneficio (Norwork)]]/Datos[[#This Row],[Ingresos Totales (Norwork)]],"")</f>
        <v/>
      </c>
    </row>
    <row r="425" spans="2:30" x14ac:dyDescent="0.3">
      <c r="B425" s="145" t="s">
        <v>538</v>
      </c>
      <c r="C425" s="145" t="s">
        <v>964</v>
      </c>
      <c r="D425" s="145"/>
      <c r="E425" s="145"/>
      <c r="G425" s="149">
        <v>36</v>
      </c>
      <c r="H425" s="144"/>
      <c r="W425" s="148" t="s">
        <v>298</v>
      </c>
      <c r="X425" s="148" t="str">
        <f>IFERROR(Datos[[#This Row],[ARIBA PRECIO POR MILLAR (Dólares)]]/1000*Datos[[#This Row],[DEMANDA ANUAL]],"")</f>
        <v/>
      </c>
      <c r="Y425" s="153" t="str">
        <f>IFERROR((Datos[[#This Row],[INGRESO PRECIO ARIBA]]-Datos[[#This Row],[Costos Totales (Norwork)]])/Datos[[#This Row],[INGRESO PRECIO ARIBA]],"")</f>
        <v/>
      </c>
      <c r="Z425" s="148" t="str">
        <f>IFERROR(IF(Datos[[#This Row],[CON ETIQUETA]]="No",VALORHOJA(Datos[[#This Row],[NP]],$B$44),VALORHOJA(Datos[[#This Row],[NP]],$D$44)),"")</f>
        <v/>
      </c>
      <c r="AA425" s="148" t="str">
        <f>IFERROR(IF(Datos[[#This Row],[Precio / Millar (Norwork)]]&lt;&gt;"",PRODUCT(Datos[[#This Row],[Precio / Millar (Norwork)]]/1000,Datos[[#This Row],[DEMANDA ANUAL]]),""),"")</f>
        <v/>
      </c>
      <c r="AB42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25" s="148" t="str">
        <f>IFERROR(IF(Datos[[#This Row],[Precio / Millar (Norwork)]]&lt;&gt;"",SUM(Datos[[#This Row],[Ingresos Totales (Norwork)]],-Datos[[#This Row],[Costos Totales (Norwork)]]),""),"")</f>
        <v/>
      </c>
      <c r="AD425" s="153" t="str">
        <f>IFERROR(Datos[[#This Row],[Beneficio (Norwork)]]/Datos[[#This Row],[Ingresos Totales (Norwork)]],"")</f>
        <v/>
      </c>
    </row>
    <row r="426" spans="2:30" x14ac:dyDescent="0.3">
      <c r="B426" s="145" t="s">
        <v>707</v>
      </c>
      <c r="C426" s="145" t="s">
        <v>1129</v>
      </c>
      <c r="D426" s="145"/>
      <c r="E426" s="145"/>
      <c r="G426" s="149">
        <v>36</v>
      </c>
      <c r="H426" s="144"/>
      <c r="W426" s="148" t="s">
        <v>298</v>
      </c>
      <c r="X426" s="148" t="str">
        <f>IFERROR(Datos[[#This Row],[ARIBA PRECIO POR MILLAR (Dólares)]]/1000*Datos[[#This Row],[DEMANDA ANUAL]],"")</f>
        <v/>
      </c>
      <c r="Y426" s="153" t="str">
        <f>IFERROR((Datos[[#This Row],[INGRESO PRECIO ARIBA]]-Datos[[#This Row],[Costos Totales (Norwork)]])/Datos[[#This Row],[INGRESO PRECIO ARIBA]],"")</f>
        <v/>
      </c>
      <c r="Z426" s="148" t="str">
        <f>IFERROR(IF(Datos[[#This Row],[CON ETIQUETA]]="No",VALORHOJA(Datos[[#This Row],[NP]],$B$44),VALORHOJA(Datos[[#This Row],[NP]],$D$44)),"")</f>
        <v/>
      </c>
      <c r="AA426" s="148" t="str">
        <f>IFERROR(IF(Datos[[#This Row],[Precio / Millar (Norwork)]]&lt;&gt;"",PRODUCT(Datos[[#This Row],[Precio / Millar (Norwork)]]/1000,Datos[[#This Row],[DEMANDA ANUAL]]),""),"")</f>
        <v/>
      </c>
      <c r="AB42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26" s="148" t="str">
        <f>IFERROR(IF(Datos[[#This Row],[Precio / Millar (Norwork)]]&lt;&gt;"",SUM(Datos[[#This Row],[Ingresos Totales (Norwork)]],-Datos[[#This Row],[Costos Totales (Norwork)]]),""),"")</f>
        <v/>
      </c>
      <c r="AD426" s="153" t="str">
        <f>IFERROR(Datos[[#This Row],[Beneficio (Norwork)]]/Datos[[#This Row],[Ingresos Totales (Norwork)]],"")</f>
        <v/>
      </c>
    </row>
    <row r="427" spans="2:30" x14ac:dyDescent="0.3">
      <c r="B427" s="145" t="s">
        <v>749</v>
      </c>
      <c r="C427" s="145" t="s">
        <v>1171</v>
      </c>
      <c r="D427" s="145"/>
      <c r="E427" s="145"/>
      <c r="G427" s="149">
        <v>36</v>
      </c>
      <c r="H427" s="144"/>
      <c r="W427" s="148" t="s">
        <v>298</v>
      </c>
      <c r="X427" s="148" t="str">
        <f>IFERROR(Datos[[#This Row],[ARIBA PRECIO POR MILLAR (Dólares)]]/1000*Datos[[#This Row],[DEMANDA ANUAL]],"")</f>
        <v/>
      </c>
      <c r="Y427" s="153" t="str">
        <f>IFERROR((Datos[[#This Row],[INGRESO PRECIO ARIBA]]-Datos[[#This Row],[Costos Totales (Norwork)]])/Datos[[#This Row],[INGRESO PRECIO ARIBA]],"")</f>
        <v/>
      </c>
      <c r="Z427" s="148" t="str">
        <f>IFERROR(IF(Datos[[#This Row],[CON ETIQUETA]]="No",VALORHOJA(Datos[[#This Row],[NP]],$B$44),VALORHOJA(Datos[[#This Row],[NP]],$D$44)),"")</f>
        <v/>
      </c>
      <c r="AA427" s="148" t="str">
        <f>IFERROR(IF(Datos[[#This Row],[Precio / Millar (Norwork)]]&lt;&gt;"",PRODUCT(Datos[[#This Row],[Precio / Millar (Norwork)]]/1000,Datos[[#This Row],[DEMANDA ANUAL]]),""),"")</f>
        <v/>
      </c>
      <c r="AB42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27" s="148" t="str">
        <f>IFERROR(IF(Datos[[#This Row],[Precio / Millar (Norwork)]]&lt;&gt;"",SUM(Datos[[#This Row],[Ingresos Totales (Norwork)]],-Datos[[#This Row],[Costos Totales (Norwork)]]),""),"")</f>
        <v/>
      </c>
      <c r="AD427" s="153" t="str">
        <f>IFERROR(Datos[[#This Row],[Beneficio (Norwork)]]/Datos[[#This Row],[Ingresos Totales (Norwork)]],"")</f>
        <v/>
      </c>
    </row>
    <row r="428" spans="2:30" x14ac:dyDescent="0.3">
      <c r="B428" s="145" t="s">
        <v>750</v>
      </c>
      <c r="C428" s="145" t="s">
        <v>1172</v>
      </c>
      <c r="D428" s="145"/>
      <c r="E428" s="145"/>
      <c r="G428" s="149">
        <v>36</v>
      </c>
      <c r="H428" s="144"/>
      <c r="W428" s="148" t="s">
        <v>298</v>
      </c>
      <c r="X428" s="148" t="str">
        <f>IFERROR(Datos[[#This Row],[ARIBA PRECIO POR MILLAR (Dólares)]]/1000*Datos[[#This Row],[DEMANDA ANUAL]],"")</f>
        <v/>
      </c>
      <c r="Y428" s="153" t="str">
        <f>IFERROR((Datos[[#This Row],[INGRESO PRECIO ARIBA]]-Datos[[#This Row],[Costos Totales (Norwork)]])/Datos[[#This Row],[INGRESO PRECIO ARIBA]],"")</f>
        <v/>
      </c>
      <c r="Z428" s="148" t="str">
        <f>IFERROR(IF(Datos[[#This Row],[CON ETIQUETA]]="No",VALORHOJA(Datos[[#This Row],[NP]],$B$44),VALORHOJA(Datos[[#This Row],[NP]],$D$44)),"")</f>
        <v/>
      </c>
      <c r="AA428" s="148" t="str">
        <f>IFERROR(IF(Datos[[#This Row],[Precio / Millar (Norwork)]]&lt;&gt;"",PRODUCT(Datos[[#This Row],[Precio / Millar (Norwork)]]/1000,Datos[[#This Row],[DEMANDA ANUAL]]),""),"")</f>
        <v/>
      </c>
      <c r="AB42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28" s="148" t="str">
        <f>IFERROR(IF(Datos[[#This Row],[Precio / Millar (Norwork)]]&lt;&gt;"",SUM(Datos[[#This Row],[Ingresos Totales (Norwork)]],-Datos[[#This Row],[Costos Totales (Norwork)]]),""),"")</f>
        <v/>
      </c>
      <c r="AD428" s="153" t="str">
        <f>IFERROR(Datos[[#This Row],[Beneficio (Norwork)]]/Datos[[#This Row],[Ingresos Totales (Norwork)]],"")</f>
        <v/>
      </c>
    </row>
    <row r="429" spans="2:30" x14ac:dyDescent="0.3">
      <c r="B429" s="145" t="s">
        <v>737</v>
      </c>
      <c r="C429" s="145" t="s">
        <v>1159</v>
      </c>
      <c r="D429" s="145"/>
      <c r="E429" s="145"/>
      <c r="G429" s="149">
        <v>32</v>
      </c>
      <c r="H429" s="144"/>
      <c r="W429" s="148" t="s">
        <v>298</v>
      </c>
      <c r="X429" s="148" t="str">
        <f>IFERROR(Datos[[#This Row],[ARIBA PRECIO POR MILLAR (Dólares)]]/1000*Datos[[#This Row],[DEMANDA ANUAL]],"")</f>
        <v/>
      </c>
      <c r="Y429" s="153" t="str">
        <f>IFERROR((Datos[[#This Row],[INGRESO PRECIO ARIBA]]-Datos[[#This Row],[Costos Totales (Norwork)]])/Datos[[#This Row],[INGRESO PRECIO ARIBA]],"")</f>
        <v/>
      </c>
      <c r="Z429" s="148" t="str">
        <f>IFERROR(IF(Datos[[#This Row],[CON ETIQUETA]]="No",VALORHOJA(Datos[[#This Row],[NP]],$B$44),VALORHOJA(Datos[[#This Row],[NP]],$D$44)),"")</f>
        <v/>
      </c>
      <c r="AA429" s="148" t="str">
        <f>IFERROR(IF(Datos[[#This Row],[Precio / Millar (Norwork)]]&lt;&gt;"",PRODUCT(Datos[[#This Row],[Precio / Millar (Norwork)]]/1000,Datos[[#This Row],[DEMANDA ANUAL]]),""),"")</f>
        <v/>
      </c>
      <c r="AB42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29" s="148" t="str">
        <f>IFERROR(IF(Datos[[#This Row],[Precio / Millar (Norwork)]]&lt;&gt;"",SUM(Datos[[#This Row],[Ingresos Totales (Norwork)]],-Datos[[#This Row],[Costos Totales (Norwork)]]),""),"")</f>
        <v/>
      </c>
      <c r="AD429" s="153" t="str">
        <f>IFERROR(Datos[[#This Row],[Beneficio (Norwork)]]/Datos[[#This Row],[Ingresos Totales (Norwork)]],"")</f>
        <v/>
      </c>
    </row>
    <row r="430" spans="2:30" x14ac:dyDescent="0.3">
      <c r="B430" s="145" t="s">
        <v>753</v>
      </c>
      <c r="C430" s="145" t="s">
        <v>1175</v>
      </c>
      <c r="D430" s="145"/>
      <c r="E430" s="145"/>
      <c r="G430" s="149">
        <v>30</v>
      </c>
      <c r="H430" s="144"/>
      <c r="W430" s="148" t="s">
        <v>298</v>
      </c>
      <c r="X430" s="148" t="str">
        <f>IFERROR(Datos[[#This Row],[ARIBA PRECIO POR MILLAR (Dólares)]]/1000*Datos[[#This Row],[DEMANDA ANUAL]],"")</f>
        <v/>
      </c>
      <c r="Y430" s="153" t="str">
        <f>IFERROR((Datos[[#This Row],[INGRESO PRECIO ARIBA]]-Datos[[#This Row],[Costos Totales (Norwork)]])/Datos[[#This Row],[INGRESO PRECIO ARIBA]],"")</f>
        <v/>
      </c>
      <c r="Z430" s="148" t="str">
        <f>IFERROR(IF(Datos[[#This Row],[CON ETIQUETA]]="No",VALORHOJA(Datos[[#This Row],[NP]],$B$44),VALORHOJA(Datos[[#This Row],[NP]],$D$44)),"")</f>
        <v/>
      </c>
      <c r="AA430" s="148" t="str">
        <f>IFERROR(IF(Datos[[#This Row],[Precio / Millar (Norwork)]]&lt;&gt;"",PRODUCT(Datos[[#This Row],[Precio / Millar (Norwork)]]/1000,Datos[[#This Row],[DEMANDA ANUAL]]),""),"")</f>
        <v/>
      </c>
      <c r="AB43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30" s="148" t="str">
        <f>IFERROR(IF(Datos[[#This Row],[Precio / Millar (Norwork)]]&lt;&gt;"",SUM(Datos[[#This Row],[Ingresos Totales (Norwork)]],-Datos[[#This Row],[Costos Totales (Norwork)]]),""),"")</f>
        <v/>
      </c>
      <c r="AD430" s="153" t="str">
        <f>IFERROR(Datos[[#This Row],[Beneficio (Norwork)]]/Datos[[#This Row],[Ingresos Totales (Norwork)]],"")</f>
        <v/>
      </c>
    </row>
    <row r="431" spans="2:30" x14ac:dyDescent="0.3">
      <c r="B431" s="145" t="s">
        <v>754</v>
      </c>
      <c r="C431" s="145" t="s">
        <v>1176</v>
      </c>
      <c r="D431" s="145"/>
      <c r="E431" s="145"/>
      <c r="G431" s="149">
        <v>30</v>
      </c>
      <c r="H431" s="144"/>
      <c r="W431" s="148" t="s">
        <v>298</v>
      </c>
      <c r="X431" s="148" t="str">
        <f>IFERROR(Datos[[#This Row],[ARIBA PRECIO POR MILLAR (Dólares)]]/1000*Datos[[#This Row],[DEMANDA ANUAL]],"")</f>
        <v/>
      </c>
      <c r="Y431" s="153" t="str">
        <f>IFERROR((Datos[[#This Row],[INGRESO PRECIO ARIBA]]-Datos[[#This Row],[Costos Totales (Norwork)]])/Datos[[#This Row],[INGRESO PRECIO ARIBA]],"")</f>
        <v/>
      </c>
      <c r="Z431" s="148" t="str">
        <f>IFERROR(IF(Datos[[#This Row],[CON ETIQUETA]]="No",VALORHOJA(Datos[[#This Row],[NP]],$B$44),VALORHOJA(Datos[[#This Row],[NP]],$D$44)),"")</f>
        <v/>
      </c>
      <c r="AA431" s="148" t="str">
        <f>IFERROR(IF(Datos[[#This Row],[Precio / Millar (Norwork)]]&lt;&gt;"",PRODUCT(Datos[[#This Row],[Precio / Millar (Norwork)]]/1000,Datos[[#This Row],[DEMANDA ANUAL]]),""),"")</f>
        <v/>
      </c>
      <c r="AB43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31" s="148" t="str">
        <f>IFERROR(IF(Datos[[#This Row],[Precio / Millar (Norwork)]]&lt;&gt;"",SUM(Datos[[#This Row],[Ingresos Totales (Norwork)]],-Datos[[#This Row],[Costos Totales (Norwork)]]),""),"")</f>
        <v/>
      </c>
      <c r="AD431" s="153" t="str">
        <f>IFERROR(Datos[[#This Row],[Beneficio (Norwork)]]/Datos[[#This Row],[Ingresos Totales (Norwork)]],"")</f>
        <v/>
      </c>
    </row>
    <row r="432" spans="2:30" x14ac:dyDescent="0.3">
      <c r="B432" s="145" t="s">
        <v>676</v>
      </c>
      <c r="C432" s="145" t="s">
        <v>1099</v>
      </c>
      <c r="D432" s="145"/>
      <c r="E432" s="145"/>
      <c r="G432" s="149">
        <v>29</v>
      </c>
      <c r="H432" s="144"/>
      <c r="W432" s="148" t="s">
        <v>298</v>
      </c>
      <c r="X432" s="148" t="str">
        <f>IFERROR(Datos[[#This Row],[ARIBA PRECIO POR MILLAR (Dólares)]]/1000*Datos[[#This Row],[DEMANDA ANUAL]],"")</f>
        <v/>
      </c>
      <c r="Y432" s="153" t="str">
        <f>IFERROR((Datos[[#This Row],[INGRESO PRECIO ARIBA]]-Datos[[#This Row],[Costos Totales (Norwork)]])/Datos[[#This Row],[INGRESO PRECIO ARIBA]],"")</f>
        <v/>
      </c>
      <c r="Z432" s="148" t="str">
        <f>IFERROR(IF(Datos[[#This Row],[CON ETIQUETA]]="No",VALORHOJA(Datos[[#This Row],[NP]],$B$44),VALORHOJA(Datos[[#This Row],[NP]],$D$44)),"")</f>
        <v/>
      </c>
      <c r="AA432" s="148" t="str">
        <f>IFERROR(IF(Datos[[#This Row],[Precio / Millar (Norwork)]]&lt;&gt;"",PRODUCT(Datos[[#This Row],[Precio / Millar (Norwork)]]/1000,Datos[[#This Row],[DEMANDA ANUAL]]),""),"")</f>
        <v/>
      </c>
      <c r="AB43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32" s="148" t="str">
        <f>IFERROR(IF(Datos[[#This Row],[Precio / Millar (Norwork)]]&lt;&gt;"",SUM(Datos[[#This Row],[Ingresos Totales (Norwork)]],-Datos[[#This Row],[Costos Totales (Norwork)]]),""),"")</f>
        <v/>
      </c>
      <c r="AD432" s="153" t="str">
        <f>IFERROR(Datos[[#This Row],[Beneficio (Norwork)]]/Datos[[#This Row],[Ingresos Totales (Norwork)]],"")</f>
        <v/>
      </c>
    </row>
    <row r="433" spans="2:30" x14ac:dyDescent="0.3">
      <c r="B433" s="145" t="s">
        <v>741</v>
      </c>
      <c r="C433" s="145" t="s">
        <v>1163</v>
      </c>
      <c r="D433" s="145"/>
      <c r="E433" s="145"/>
      <c r="G433" s="149">
        <v>28</v>
      </c>
      <c r="H433" s="144"/>
      <c r="W433" s="148" t="s">
        <v>298</v>
      </c>
      <c r="X433" s="148" t="str">
        <f>IFERROR(Datos[[#This Row],[ARIBA PRECIO POR MILLAR (Dólares)]]/1000*Datos[[#This Row],[DEMANDA ANUAL]],"")</f>
        <v/>
      </c>
      <c r="Y433" s="153" t="str">
        <f>IFERROR((Datos[[#This Row],[INGRESO PRECIO ARIBA]]-Datos[[#This Row],[Costos Totales (Norwork)]])/Datos[[#This Row],[INGRESO PRECIO ARIBA]],"")</f>
        <v/>
      </c>
      <c r="Z433" s="148" t="str">
        <f>IFERROR(IF(Datos[[#This Row],[CON ETIQUETA]]="No",VALORHOJA(Datos[[#This Row],[NP]],$B$44),VALORHOJA(Datos[[#This Row],[NP]],$D$44)),"")</f>
        <v/>
      </c>
      <c r="AA433" s="148" t="str">
        <f>IFERROR(IF(Datos[[#This Row],[Precio / Millar (Norwork)]]&lt;&gt;"",PRODUCT(Datos[[#This Row],[Precio / Millar (Norwork)]]/1000,Datos[[#This Row],[DEMANDA ANUAL]]),""),"")</f>
        <v/>
      </c>
      <c r="AB43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33" s="148" t="str">
        <f>IFERROR(IF(Datos[[#This Row],[Precio / Millar (Norwork)]]&lt;&gt;"",SUM(Datos[[#This Row],[Ingresos Totales (Norwork)]],-Datos[[#This Row],[Costos Totales (Norwork)]]),""),"")</f>
        <v/>
      </c>
      <c r="AD433" s="153" t="str">
        <f>IFERROR(Datos[[#This Row],[Beneficio (Norwork)]]/Datos[[#This Row],[Ingresos Totales (Norwork)]],"")</f>
        <v/>
      </c>
    </row>
    <row r="434" spans="2:30" x14ac:dyDescent="0.3">
      <c r="B434" s="145" t="s">
        <v>743</v>
      </c>
      <c r="C434" s="145" t="s">
        <v>1165</v>
      </c>
      <c r="D434" s="145"/>
      <c r="E434" s="145"/>
      <c r="G434" s="149">
        <v>28</v>
      </c>
      <c r="H434" s="144"/>
      <c r="W434" s="148" t="s">
        <v>298</v>
      </c>
      <c r="X434" s="148" t="str">
        <f>IFERROR(Datos[[#This Row],[ARIBA PRECIO POR MILLAR (Dólares)]]/1000*Datos[[#This Row],[DEMANDA ANUAL]],"")</f>
        <v/>
      </c>
      <c r="Y434" s="153" t="str">
        <f>IFERROR((Datos[[#This Row],[INGRESO PRECIO ARIBA]]-Datos[[#This Row],[Costos Totales (Norwork)]])/Datos[[#This Row],[INGRESO PRECIO ARIBA]],"")</f>
        <v/>
      </c>
      <c r="Z434" s="148" t="str">
        <f>IFERROR(IF(Datos[[#This Row],[CON ETIQUETA]]="No",VALORHOJA(Datos[[#This Row],[NP]],$B$44),VALORHOJA(Datos[[#This Row],[NP]],$D$44)),"")</f>
        <v/>
      </c>
      <c r="AA434" s="148" t="str">
        <f>IFERROR(IF(Datos[[#This Row],[Precio / Millar (Norwork)]]&lt;&gt;"",PRODUCT(Datos[[#This Row],[Precio / Millar (Norwork)]]/1000,Datos[[#This Row],[DEMANDA ANUAL]]),""),"")</f>
        <v/>
      </c>
      <c r="AB43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34" s="148" t="str">
        <f>IFERROR(IF(Datos[[#This Row],[Precio / Millar (Norwork)]]&lt;&gt;"",SUM(Datos[[#This Row],[Ingresos Totales (Norwork)]],-Datos[[#This Row],[Costos Totales (Norwork)]]),""),"")</f>
        <v/>
      </c>
      <c r="AD434" s="153" t="str">
        <f>IFERROR(Datos[[#This Row],[Beneficio (Norwork)]]/Datos[[#This Row],[Ingresos Totales (Norwork)]],"")</f>
        <v/>
      </c>
    </row>
    <row r="435" spans="2:30" x14ac:dyDescent="0.3">
      <c r="B435" s="145" t="s">
        <v>756</v>
      </c>
      <c r="C435" s="145" t="s">
        <v>1178</v>
      </c>
      <c r="D435" s="145"/>
      <c r="E435" s="145"/>
      <c r="G435" s="149">
        <v>27</v>
      </c>
      <c r="H435" s="144"/>
      <c r="W435" s="148" t="s">
        <v>298</v>
      </c>
      <c r="X435" s="148" t="str">
        <f>IFERROR(Datos[[#This Row],[ARIBA PRECIO POR MILLAR (Dólares)]]/1000*Datos[[#This Row],[DEMANDA ANUAL]],"")</f>
        <v/>
      </c>
      <c r="Y435" s="153" t="str">
        <f>IFERROR((Datos[[#This Row],[INGRESO PRECIO ARIBA]]-Datos[[#This Row],[Costos Totales (Norwork)]])/Datos[[#This Row],[INGRESO PRECIO ARIBA]],"")</f>
        <v/>
      </c>
      <c r="Z435" s="148" t="str">
        <f>IFERROR(IF(Datos[[#This Row],[CON ETIQUETA]]="No",VALORHOJA(Datos[[#This Row],[NP]],$B$44),VALORHOJA(Datos[[#This Row],[NP]],$D$44)),"")</f>
        <v/>
      </c>
      <c r="AA435" s="148" t="str">
        <f>IFERROR(IF(Datos[[#This Row],[Precio / Millar (Norwork)]]&lt;&gt;"",PRODUCT(Datos[[#This Row],[Precio / Millar (Norwork)]]/1000,Datos[[#This Row],[DEMANDA ANUAL]]),""),"")</f>
        <v/>
      </c>
      <c r="AB43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35" s="148" t="str">
        <f>IFERROR(IF(Datos[[#This Row],[Precio / Millar (Norwork)]]&lt;&gt;"",SUM(Datos[[#This Row],[Ingresos Totales (Norwork)]],-Datos[[#This Row],[Costos Totales (Norwork)]]),""),"")</f>
        <v/>
      </c>
      <c r="AD435" s="153" t="str">
        <f>IFERROR(Datos[[#This Row],[Beneficio (Norwork)]]/Datos[[#This Row],[Ingresos Totales (Norwork)]],"")</f>
        <v/>
      </c>
    </row>
    <row r="436" spans="2:30" x14ac:dyDescent="0.3">
      <c r="B436" s="145" t="s">
        <v>679</v>
      </c>
      <c r="C436" s="145" t="s">
        <v>1102</v>
      </c>
      <c r="D436" s="145"/>
      <c r="E436" s="145"/>
      <c r="G436" s="149">
        <v>20</v>
      </c>
      <c r="H436" s="144"/>
      <c r="W436" s="148" t="s">
        <v>298</v>
      </c>
      <c r="X436" s="148" t="str">
        <f>IFERROR(Datos[[#This Row],[ARIBA PRECIO POR MILLAR (Dólares)]]/1000*Datos[[#This Row],[DEMANDA ANUAL]],"")</f>
        <v/>
      </c>
      <c r="Y436" s="153" t="str">
        <f>IFERROR((Datos[[#This Row],[INGRESO PRECIO ARIBA]]-Datos[[#This Row],[Costos Totales (Norwork)]])/Datos[[#This Row],[INGRESO PRECIO ARIBA]],"")</f>
        <v/>
      </c>
      <c r="Z436" s="148" t="str">
        <f>IFERROR(IF(Datos[[#This Row],[CON ETIQUETA]]="No",VALORHOJA(Datos[[#This Row],[NP]],$B$44),VALORHOJA(Datos[[#This Row],[NP]],$D$44)),"")</f>
        <v/>
      </c>
      <c r="AA436" s="148" t="str">
        <f>IFERROR(IF(Datos[[#This Row],[Precio / Millar (Norwork)]]&lt;&gt;"",PRODUCT(Datos[[#This Row],[Precio / Millar (Norwork)]]/1000,Datos[[#This Row],[DEMANDA ANUAL]]),""),"")</f>
        <v/>
      </c>
      <c r="AB43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36" s="148" t="str">
        <f>IFERROR(IF(Datos[[#This Row],[Precio / Millar (Norwork)]]&lt;&gt;"",SUM(Datos[[#This Row],[Ingresos Totales (Norwork)]],-Datos[[#This Row],[Costos Totales (Norwork)]]),""),"")</f>
        <v/>
      </c>
      <c r="AD436" s="153" t="str">
        <f>IFERROR(Datos[[#This Row],[Beneficio (Norwork)]]/Datos[[#This Row],[Ingresos Totales (Norwork)]],"")</f>
        <v/>
      </c>
    </row>
    <row r="437" spans="2:30" x14ac:dyDescent="0.3">
      <c r="B437" s="145" t="s">
        <v>690</v>
      </c>
      <c r="C437" s="145" t="s">
        <v>1112</v>
      </c>
      <c r="D437" s="145"/>
      <c r="E437" s="145"/>
      <c r="G437" s="149">
        <v>20</v>
      </c>
      <c r="H437" s="144"/>
      <c r="W437" s="148" t="s">
        <v>298</v>
      </c>
      <c r="X437" s="148" t="str">
        <f>IFERROR(Datos[[#This Row],[ARIBA PRECIO POR MILLAR (Dólares)]]/1000*Datos[[#This Row],[DEMANDA ANUAL]],"")</f>
        <v/>
      </c>
      <c r="Y437" s="153" t="str">
        <f>IFERROR((Datos[[#This Row],[INGRESO PRECIO ARIBA]]-Datos[[#This Row],[Costos Totales (Norwork)]])/Datos[[#This Row],[INGRESO PRECIO ARIBA]],"")</f>
        <v/>
      </c>
      <c r="Z437" s="148" t="str">
        <f>IFERROR(IF(Datos[[#This Row],[CON ETIQUETA]]="No",VALORHOJA(Datos[[#This Row],[NP]],$B$44),VALORHOJA(Datos[[#This Row],[NP]],$D$44)),"")</f>
        <v/>
      </c>
      <c r="AA437" s="148" t="str">
        <f>IFERROR(IF(Datos[[#This Row],[Precio / Millar (Norwork)]]&lt;&gt;"",PRODUCT(Datos[[#This Row],[Precio / Millar (Norwork)]]/1000,Datos[[#This Row],[DEMANDA ANUAL]]),""),"")</f>
        <v/>
      </c>
      <c r="AB43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37" s="148" t="str">
        <f>IFERROR(IF(Datos[[#This Row],[Precio / Millar (Norwork)]]&lt;&gt;"",SUM(Datos[[#This Row],[Ingresos Totales (Norwork)]],-Datos[[#This Row],[Costos Totales (Norwork)]]),""),"")</f>
        <v/>
      </c>
      <c r="AD437" s="153" t="str">
        <f>IFERROR(Datos[[#This Row],[Beneficio (Norwork)]]/Datos[[#This Row],[Ingresos Totales (Norwork)]],"")</f>
        <v/>
      </c>
    </row>
    <row r="438" spans="2:30" x14ac:dyDescent="0.3">
      <c r="B438" s="145" t="s">
        <v>713</v>
      </c>
      <c r="C438" s="145" t="s">
        <v>1135</v>
      </c>
      <c r="D438" s="145"/>
      <c r="E438" s="145"/>
      <c r="G438" s="149">
        <v>20</v>
      </c>
      <c r="H438" s="144"/>
      <c r="W438" s="148" t="s">
        <v>298</v>
      </c>
      <c r="X438" s="148" t="str">
        <f>IFERROR(Datos[[#This Row],[ARIBA PRECIO POR MILLAR (Dólares)]]/1000*Datos[[#This Row],[DEMANDA ANUAL]],"")</f>
        <v/>
      </c>
      <c r="Y438" s="153" t="str">
        <f>IFERROR((Datos[[#This Row],[INGRESO PRECIO ARIBA]]-Datos[[#This Row],[Costos Totales (Norwork)]])/Datos[[#This Row],[INGRESO PRECIO ARIBA]],"")</f>
        <v/>
      </c>
      <c r="Z438" s="148" t="str">
        <f>IFERROR(IF(Datos[[#This Row],[CON ETIQUETA]]="No",VALORHOJA(Datos[[#This Row],[NP]],$B$44),VALORHOJA(Datos[[#This Row],[NP]],$D$44)),"")</f>
        <v/>
      </c>
      <c r="AA438" s="148" t="str">
        <f>IFERROR(IF(Datos[[#This Row],[Precio / Millar (Norwork)]]&lt;&gt;"",PRODUCT(Datos[[#This Row],[Precio / Millar (Norwork)]]/1000,Datos[[#This Row],[DEMANDA ANUAL]]),""),"")</f>
        <v/>
      </c>
      <c r="AB43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38" s="148" t="str">
        <f>IFERROR(IF(Datos[[#This Row],[Precio / Millar (Norwork)]]&lt;&gt;"",SUM(Datos[[#This Row],[Ingresos Totales (Norwork)]],-Datos[[#This Row],[Costos Totales (Norwork)]]),""),"")</f>
        <v/>
      </c>
      <c r="AD438" s="153" t="str">
        <f>IFERROR(Datos[[#This Row],[Beneficio (Norwork)]]/Datos[[#This Row],[Ingresos Totales (Norwork)]],"")</f>
        <v/>
      </c>
    </row>
    <row r="439" spans="2:30" x14ac:dyDescent="0.3">
      <c r="B439" s="145" t="s">
        <v>748</v>
      </c>
      <c r="C439" s="145" t="s">
        <v>1170</v>
      </c>
      <c r="D439" s="145"/>
      <c r="E439" s="145"/>
      <c r="G439" s="149">
        <v>20</v>
      </c>
      <c r="H439" s="144"/>
      <c r="W439" s="148" t="s">
        <v>298</v>
      </c>
      <c r="X439" s="148" t="str">
        <f>IFERROR(Datos[[#This Row],[ARIBA PRECIO POR MILLAR (Dólares)]]/1000*Datos[[#This Row],[DEMANDA ANUAL]],"")</f>
        <v/>
      </c>
      <c r="Y439" s="153" t="str">
        <f>IFERROR((Datos[[#This Row],[INGRESO PRECIO ARIBA]]-Datos[[#This Row],[Costos Totales (Norwork)]])/Datos[[#This Row],[INGRESO PRECIO ARIBA]],"")</f>
        <v/>
      </c>
      <c r="Z439" s="148" t="str">
        <f>IFERROR(IF(Datos[[#This Row],[CON ETIQUETA]]="No",VALORHOJA(Datos[[#This Row],[NP]],$B$44),VALORHOJA(Datos[[#This Row],[NP]],$D$44)),"")</f>
        <v/>
      </c>
      <c r="AA439" s="148" t="str">
        <f>IFERROR(IF(Datos[[#This Row],[Precio / Millar (Norwork)]]&lt;&gt;"",PRODUCT(Datos[[#This Row],[Precio / Millar (Norwork)]]/1000,Datos[[#This Row],[DEMANDA ANUAL]]),""),"")</f>
        <v/>
      </c>
      <c r="AB43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39" s="148" t="str">
        <f>IFERROR(IF(Datos[[#This Row],[Precio / Millar (Norwork)]]&lt;&gt;"",SUM(Datos[[#This Row],[Ingresos Totales (Norwork)]],-Datos[[#This Row],[Costos Totales (Norwork)]]),""),"")</f>
        <v/>
      </c>
      <c r="AD439" s="153" t="str">
        <f>IFERROR(Datos[[#This Row],[Beneficio (Norwork)]]/Datos[[#This Row],[Ingresos Totales (Norwork)]],"")</f>
        <v/>
      </c>
    </row>
    <row r="440" spans="2:30" x14ac:dyDescent="0.3">
      <c r="B440" s="145" t="s">
        <v>760</v>
      </c>
      <c r="C440" s="145" t="s">
        <v>1181</v>
      </c>
      <c r="D440" s="145"/>
      <c r="E440" s="145"/>
      <c r="G440" s="149">
        <v>20</v>
      </c>
      <c r="H440" s="144"/>
      <c r="W440" s="148" t="s">
        <v>298</v>
      </c>
      <c r="X440" s="148" t="str">
        <f>IFERROR(Datos[[#This Row],[ARIBA PRECIO POR MILLAR (Dólares)]]/1000*Datos[[#This Row],[DEMANDA ANUAL]],"")</f>
        <v/>
      </c>
      <c r="Y440" s="153" t="str">
        <f>IFERROR((Datos[[#This Row],[INGRESO PRECIO ARIBA]]-Datos[[#This Row],[Costos Totales (Norwork)]])/Datos[[#This Row],[INGRESO PRECIO ARIBA]],"")</f>
        <v/>
      </c>
      <c r="Z440" s="148" t="str">
        <f>IFERROR(IF(Datos[[#This Row],[CON ETIQUETA]]="No",VALORHOJA(Datos[[#This Row],[NP]],$B$44),VALORHOJA(Datos[[#This Row],[NP]],$D$44)),"")</f>
        <v/>
      </c>
      <c r="AA440" s="148" t="str">
        <f>IFERROR(IF(Datos[[#This Row],[Precio / Millar (Norwork)]]&lt;&gt;"",PRODUCT(Datos[[#This Row],[Precio / Millar (Norwork)]]/1000,Datos[[#This Row],[DEMANDA ANUAL]]),""),"")</f>
        <v/>
      </c>
      <c r="AB44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40" s="148" t="str">
        <f>IFERROR(IF(Datos[[#This Row],[Precio / Millar (Norwork)]]&lt;&gt;"",SUM(Datos[[#This Row],[Ingresos Totales (Norwork)]],-Datos[[#This Row],[Costos Totales (Norwork)]]),""),"")</f>
        <v/>
      </c>
      <c r="AD440" s="153" t="str">
        <f>IFERROR(Datos[[#This Row],[Beneficio (Norwork)]]/Datos[[#This Row],[Ingresos Totales (Norwork)]],"")</f>
        <v/>
      </c>
    </row>
    <row r="441" spans="2:30" x14ac:dyDescent="0.3">
      <c r="B441" s="145" t="s">
        <v>758</v>
      </c>
      <c r="C441" s="145" t="s">
        <v>1179</v>
      </c>
      <c r="D441" s="145"/>
      <c r="E441" s="145"/>
      <c r="G441" s="149">
        <v>18</v>
      </c>
      <c r="H441" s="144"/>
      <c r="W441" s="148" t="s">
        <v>298</v>
      </c>
      <c r="X441" s="148" t="str">
        <f>IFERROR(Datos[[#This Row],[ARIBA PRECIO POR MILLAR (Dólares)]]/1000*Datos[[#This Row],[DEMANDA ANUAL]],"")</f>
        <v/>
      </c>
      <c r="Y441" s="153" t="str">
        <f>IFERROR((Datos[[#This Row],[INGRESO PRECIO ARIBA]]-Datos[[#This Row],[Costos Totales (Norwork)]])/Datos[[#This Row],[INGRESO PRECIO ARIBA]],"")</f>
        <v/>
      </c>
      <c r="Z441" s="148" t="str">
        <f>IFERROR(IF(Datos[[#This Row],[CON ETIQUETA]]="No",VALORHOJA(Datos[[#This Row],[NP]],$B$44),VALORHOJA(Datos[[#This Row],[NP]],$D$44)),"")</f>
        <v/>
      </c>
      <c r="AA441" s="148" t="str">
        <f>IFERROR(IF(Datos[[#This Row],[Precio / Millar (Norwork)]]&lt;&gt;"",PRODUCT(Datos[[#This Row],[Precio / Millar (Norwork)]]/1000,Datos[[#This Row],[DEMANDA ANUAL]]),""),"")</f>
        <v/>
      </c>
      <c r="AB44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41" s="148" t="str">
        <f>IFERROR(IF(Datos[[#This Row],[Precio / Millar (Norwork)]]&lt;&gt;"",SUM(Datos[[#This Row],[Ingresos Totales (Norwork)]],-Datos[[#This Row],[Costos Totales (Norwork)]]),""),"")</f>
        <v/>
      </c>
      <c r="AD441" s="153" t="str">
        <f>IFERROR(Datos[[#This Row],[Beneficio (Norwork)]]/Datos[[#This Row],[Ingresos Totales (Norwork)]],"")</f>
        <v/>
      </c>
    </row>
    <row r="442" spans="2:30" x14ac:dyDescent="0.3">
      <c r="B442" s="145" t="s">
        <v>759</v>
      </c>
      <c r="C442" s="145" t="s">
        <v>1180</v>
      </c>
      <c r="D442" s="145"/>
      <c r="E442" s="145"/>
      <c r="G442" s="149">
        <v>18</v>
      </c>
      <c r="H442" s="144"/>
      <c r="W442" s="148" t="s">
        <v>298</v>
      </c>
      <c r="X442" s="148" t="str">
        <f>IFERROR(Datos[[#This Row],[ARIBA PRECIO POR MILLAR (Dólares)]]/1000*Datos[[#This Row],[DEMANDA ANUAL]],"")</f>
        <v/>
      </c>
      <c r="Y442" s="153" t="str">
        <f>IFERROR((Datos[[#This Row],[INGRESO PRECIO ARIBA]]-Datos[[#This Row],[Costos Totales (Norwork)]])/Datos[[#This Row],[INGRESO PRECIO ARIBA]],"")</f>
        <v/>
      </c>
      <c r="Z442" s="148" t="str">
        <f>IFERROR(IF(Datos[[#This Row],[CON ETIQUETA]]="No",VALORHOJA(Datos[[#This Row],[NP]],$B$44),VALORHOJA(Datos[[#This Row],[NP]],$D$44)),"")</f>
        <v/>
      </c>
      <c r="AA442" s="148" t="str">
        <f>IFERROR(IF(Datos[[#This Row],[Precio / Millar (Norwork)]]&lt;&gt;"",PRODUCT(Datos[[#This Row],[Precio / Millar (Norwork)]]/1000,Datos[[#This Row],[DEMANDA ANUAL]]),""),"")</f>
        <v/>
      </c>
      <c r="AB44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42" s="148" t="str">
        <f>IFERROR(IF(Datos[[#This Row],[Precio / Millar (Norwork)]]&lt;&gt;"",SUM(Datos[[#This Row],[Ingresos Totales (Norwork)]],-Datos[[#This Row],[Costos Totales (Norwork)]]),""),"")</f>
        <v/>
      </c>
      <c r="AD442" s="153" t="str">
        <f>IFERROR(Datos[[#This Row],[Beneficio (Norwork)]]/Datos[[#This Row],[Ingresos Totales (Norwork)]],"")</f>
        <v/>
      </c>
    </row>
    <row r="443" spans="2:30" x14ac:dyDescent="0.3">
      <c r="B443" s="145" t="s">
        <v>755</v>
      </c>
      <c r="C443" s="145" t="s">
        <v>1177</v>
      </c>
      <c r="D443" s="145"/>
      <c r="E443" s="145"/>
      <c r="G443" s="149">
        <v>16</v>
      </c>
      <c r="H443" s="144"/>
      <c r="W443" s="148" t="s">
        <v>298</v>
      </c>
      <c r="X443" s="148" t="str">
        <f>IFERROR(Datos[[#This Row],[ARIBA PRECIO POR MILLAR (Dólares)]]/1000*Datos[[#This Row],[DEMANDA ANUAL]],"")</f>
        <v/>
      </c>
      <c r="Y443" s="153" t="str">
        <f>IFERROR((Datos[[#This Row],[INGRESO PRECIO ARIBA]]-Datos[[#This Row],[Costos Totales (Norwork)]])/Datos[[#This Row],[INGRESO PRECIO ARIBA]],"")</f>
        <v/>
      </c>
      <c r="Z443" s="148" t="str">
        <f>IFERROR(IF(Datos[[#This Row],[CON ETIQUETA]]="No",VALORHOJA(Datos[[#This Row],[NP]],$B$44),VALORHOJA(Datos[[#This Row],[NP]],$D$44)),"")</f>
        <v/>
      </c>
      <c r="AA443" s="148" t="str">
        <f>IFERROR(IF(Datos[[#This Row],[Precio / Millar (Norwork)]]&lt;&gt;"",PRODUCT(Datos[[#This Row],[Precio / Millar (Norwork)]]/1000,Datos[[#This Row],[DEMANDA ANUAL]]),""),"")</f>
        <v/>
      </c>
      <c r="AB44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43" s="148" t="str">
        <f>IFERROR(IF(Datos[[#This Row],[Precio / Millar (Norwork)]]&lt;&gt;"",SUM(Datos[[#This Row],[Ingresos Totales (Norwork)]],-Datos[[#This Row],[Costos Totales (Norwork)]]),""),"")</f>
        <v/>
      </c>
      <c r="AD443" s="153" t="str">
        <f>IFERROR(Datos[[#This Row],[Beneficio (Norwork)]]/Datos[[#This Row],[Ingresos Totales (Norwork)]],"")</f>
        <v/>
      </c>
    </row>
    <row r="444" spans="2:30" x14ac:dyDescent="0.3">
      <c r="B444" s="145" t="s">
        <v>767</v>
      </c>
      <c r="C444" s="145" t="s">
        <v>1188</v>
      </c>
      <c r="D444" s="145"/>
      <c r="E444" s="145"/>
      <c r="G444" s="149">
        <v>16</v>
      </c>
      <c r="H444" s="144"/>
      <c r="W444" s="148" t="s">
        <v>298</v>
      </c>
      <c r="X444" s="148" t="str">
        <f>IFERROR(Datos[[#This Row],[ARIBA PRECIO POR MILLAR (Dólares)]]/1000*Datos[[#This Row],[DEMANDA ANUAL]],"")</f>
        <v/>
      </c>
      <c r="Y444" s="153" t="str">
        <f>IFERROR((Datos[[#This Row],[INGRESO PRECIO ARIBA]]-Datos[[#This Row],[Costos Totales (Norwork)]])/Datos[[#This Row],[INGRESO PRECIO ARIBA]],"")</f>
        <v/>
      </c>
      <c r="Z444" s="148" t="str">
        <f>IFERROR(IF(Datos[[#This Row],[CON ETIQUETA]]="No",VALORHOJA(Datos[[#This Row],[NP]],$B$44),VALORHOJA(Datos[[#This Row],[NP]],$D$44)),"")</f>
        <v/>
      </c>
      <c r="AA444" s="148" t="str">
        <f>IFERROR(IF(Datos[[#This Row],[Precio / Millar (Norwork)]]&lt;&gt;"",PRODUCT(Datos[[#This Row],[Precio / Millar (Norwork)]]/1000,Datos[[#This Row],[DEMANDA ANUAL]]),""),"")</f>
        <v/>
      </c>
      <c r="AB44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44" s="148" t="str">
        <f>IFERROR(IF(Datos[[#This Row],[Precio / Millar (Norwork)]]&lt;&gt;"",SUM(Datos[[#This Row],[Ingresos Totales (Norwork)]],-Datos[[#This Row],[Costos Totales (Norwork)]]),""),"")</f>
        <v/>
      </c>
      <c r="AD444" s="153" t="str">
        <f>IFERROR(Datos[[#This Row],[Beneficio (Norwork)]]/Datos[[#This Row],[Ingresos Totales (Norwork)]],"")</f>
        <v/>
      </c>
    </row>
    <row r="445" spans="2:30" x14ac:dyDescent="0.3">
      <c r="B445" s="145" t="s">
        <v>764</v>
      </c>
      <c r="C445" s="145" t="s">
        <v>1185</v>
      </c>
      <c r="D445" s="145"/>
      <c r="E445" s="145"/>
      <c r="G445" s="149">
        <v>13</v>
      </c>
      <c r="H445" s="144"/>
      <c r="W445" s="148" t="s">
        <v>298</v>
      </c>
      <c r="X445" s="148" t="str">
        <f>IFERROR(Datos[[#This Row],[ARIBA PRECIO POR MILLAR (Dólares)]]/1000*Datos[[#This Row],[DEMANDA ANUAL]],"")</f>
        <v/>
      </c>
      <c r="Y445" s="153" t="str">
        <f>IFERROR((Datos[[#This Row],[INGRESO PRECIO ARIBA]]-Datos[[#This Row],[Costos Totales (Norwork)]])/Datos[[#This Row],[INGRESO PRECIO ARIBA]],"")</f>
        <v/>
      </c>
      <c r="Z445" s="148" t="str">
        <f>IFERROR(IF(Datos[[#This Row],[CON ETIQUETA]]="No",VALORHOJA(Datos[[#This Row],[NP]],$B$44),VALORHOJA(Datos[[#This Row],[NP]],$D$44)),"")</f>
        <v/>
      </c>
      <c r="AA445" s="148" t="str">
        <f>IFERROR(IF(Datos[[#This Row],[Precio / Millar (Norwork)]]&lt;&gt;"",PRODUCT(Datos[[#This Row],[Precio / Millar (Norwork)]]/1000,Datos[[#This Row],[DEMANDA ANUAL]]),""),"")</f>
        <v/>
      </c>
      <c r="AB44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45" s="148" t="str">
        <f>IFERROR(IF(Datos[[#This Row],[Precio / Millar (Norwork)]]&lt;&gt;"",SUM(Datos[[#This Row],[Ingresos Totales (Norwork)]],-Datos[[#This Row],[Costos Totales (Norwork)]]),""),"")</f>
        <v/>
      </c>
      <c r="AD445" s="153" t="str">
        <f>IFERROR(Datos[[#This Row],[Beneficio (Norwork)]]/Datos[[#This Row],[Ingresos Totales (Norwork)]],"")</f>
        <v/>
      </c>
    </row>
    <row r="446" spans="2:30" x14ac:dyDescent="0.3">
      <c r="B446" s="145" t="s">
        <v>715</v>
      </c>
      <c r="C446" s="145" t="s">
        <v>1137</v>
      </c>
      <c r="D446" s="145"/>
      <c r="E446" s="145"/>
      <c r="G446" s="149">
        <v>10</v>
      </c>
      <c r="H446" s="144"/>
      <c r="W446" s="148" t="s">
        <v>298</v>
      </c>
      <c r="X446" s="148" t="str">
        <f>IFERROR(Datos[[#This Row],[ARIBA PRECIO POR MILLAR (Dólares)]]/1000*Datos[[#This Row],[DEMANDA ANUAL]],"")</f>
        <v/>
      </c>
      <c r="Y446" s="153" t="str">
        <f>IFERROR((Datos[[#This Row],[INGRESO PRECIO ARIBA]]-Datos[[#This Row],[Costos Totales (Norwork)]])/Datos[[#This Row],[INGRESO PRECIO ARIBA]],"")</f>
        <v/>
      </c>
      <c r="Z446" s="148" t="str">
        <f>IFERROR(IF(Datos[[#This Row],[CON ETIQUETA]]="No",VALORHOJA(Datos[[#This Row],[NP]],$B$44),VALORHOJA(Datos[[#This Row],[NP]],$D$44)),"")</f>
        <v/>
      </c>
      <c r="AA446" s="148" t="str">
        <f>IFERROR(IF(Datos[[#This Row],[Precio / Millar (Norwork)]]&lt;&gt;"",PRODUCT(Datos[[#This Row],[Precio / Millar (Norwork)]]/1000,Datos[[#This Row],[DEMANDA ANUAL]]),""),"")</f>
        <v/>
      </c>
      <c r="AB44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46" s="148" t="str">
        <f>IFERROR(IF(Datos[[#This Row],[Precio / Millar (Norwork)]]&lt;&gt;"",SUM(Datos[[#This Row],[Ingresos Totales (Norwork)]],-Datos[[#This Row],[Costos Totales (Norwork)]]),""),"")</f>
        <v/>
      </c>
      <c r="AD446" s="153" t="str">
        <f>IFERROR(Datos[[#This Row],[Beneficio (Norwork)]]/Datos[[#This Row],[Ingresos Totales (Norwork)]],"")</f>
        <v/>
      </c>
    </row>
    <row r="447" spans="2:30" x14ac:dyDescent="0.3">
      <c r="B447" s="145" t="s">
        <v>731</v>
      </c>
      <c r="C447" s="145" t="s">
        <v>1153</v>
      </c>
      <c r="D447" s="145"/>
      <c r="E447" s="145"/>
      <c r="G447" s="149">
        <v>10</v>
      </c>
      <c r="H447" s="144"/>
      <c r="W447" s="148" t="s">
        <v>298</v>
      </c>
      <c r="X447" s="148" t="str">
        <f>IFERROR(Datos[[#This Row],[ARIBA PRECIO POR MILLAR (Dólares)]]/1000*Datos[[#This Row],[DEMANDA ANUAL]],"")</f>
        <v/>
      </c>
      <c r="Y447" s="153" t="str">
        <f>IFERROR((Datos[[#This Row],[INGRESO PRECIO ARIBA]]-Datos[[#This Row],[Costos Totales (Norwork)]])/Datos[[#This Row],[INGRESO PRECIO ARIBA]],"")</f>
        <v/>
      </c>
      <c r="Z447" s="148" t="str">
        <f>IFERROR(IF(Datos[[#This Row],[CON ETIQUETA]]="No",VALORHOJA(Datos[[#This Row],[NP]],$B$44),VALORHOJA(Datos[[#This Row],[NP]],$D$44)),"")</f>
        <v/>
      </c>
      <c r="AA447" s="148" t="str">
        <f>IFERROR(IF(Datos[[#This Row],[Precio / Millar (Norwork)]]&lt;&gt;"",PRODUCT(Datos[[#This Row],[Precio / Millar (Norwork)]]/1000,Datos[[#This Row],[DEMANDA ANUAL]]),""),"")</f>
        <v/>
      </c>
      <c r="AB44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47" s="148" t="str">
        <f>IFERROR(IF(Datos[[#This Row],[Precio / Millar (Norwork)]]&lt;&gt;"",SUM(Datos[[#This Row],[Ingresos Totales (Norwork)]],-Datos[[#This Row],[Costos Totales (Norwork)]]),""),"")</f>
        <v/>
      </c>
      <c r="AD447" s="153" t="str">
        <f>IFERROR(Datos[[#This Row],[Beneficio (Norwork)]]/Datos[[#This Row],[Ingresos Totales (Norwork)]],"")</f>
        <v/>
      </c>
    </row>
    <row r="448" spans="2:30" x14ac:dyDescent="0.3">
      <c r="B448" s="145" t="s">
        <v>775</v>
      </c>
      <c r="C448" s="145" t="s">
        <v>1196</v>
      </c>
      <c r="D448" s="145"/>
      <c r="E448" s="145"/>
      <c r="G448" s="149">
        <v>10</v>
      </c>
      <c r="H448" s="144"/>
      <c r="W448" s="148" t="s">
        <v>298</v>
      </c>
      <c r="X448" s="148" t="str">
        <f>IFERROR(Datos[[#This Row],[ARIBA PRECIO POR MILLAR (Dólares)]]/1000*Datos[[#This Row],[DEMANDA ANUAL]],"")</f>
        <v/>
      </c>
      <c r="Y448" s="153" t="str">
        <f>IFERROR((Datos[[#This Row],[INGRESO PRECIO ARIBA]]-Datos[[#This Row],[Costos Totales (Norwork)]])/Datos[[#This Row],[INGRESO PRECIO ARIBA]],"")</f>
        <v/>
      </c>
      <c r="Z448" s="148" t="str">
        <f>IFERROR(IF(Datos[[#This Row],[CON ETIQUETA]]="No",VALORHOJA(Datos[[#This Row],[NP]],$B$44),VALORHOJA(Datos[[#This Row],[NP]],$D$44)),"")</f>
        <v/>
      </c>
      <c r="AA448" s="148" t="str">
        <f>IFERROR(IF(Datos[[#This Row],[Precio / Millar (Norwork)]]&lt;&gt;"",PRODUCT(Datos[[#This Row],[Precio / Millar (Norwork)]]/1000,Datos[[#This Row],[DEMANDA ANUAL]]),""),"")</f>
        <v/>
      </c>
      <c r="AB44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48" s="148" t="str">
        <f>IFERROR(IF(Datos[[#This Row],[Precio / Millar (Norwork)]]&lt;&gt;"",SUM(Datos[[#This Row],[Ingresos Totales (Norwork)]],-Datos[[#This Row],[Costos Totales (Norwork)]]),""),"")</f>
        <v/>
      </c>
      <c r="AD448" s="153" t="str">
        <f>IFERROR(Datos[[#This Row],[Beneficio (Norwork)]]/Datos[[#This Row],[Ingresos Totales (Norwork)]],"")</f>
        <v/>
      </c>
    </row>
    <row r="449" spans="2:30" x14ac:dyDescent="0.3">
      <c r="B449" s="145" t="s">
        <v>765</v>
      </c>
      <c r="C449" s="145" t="s">
        <v>1186</v>
      </c>
      <c r="D449" s="145"/>
      <c r="E449" s="145"/>
      <c r="G449" s="149">
        <v>9</v>
      </c>
      <c r="H449" s="144"/>
      <c r="W449" s="148" t="s">
        <v>298</v>
      </c>
      <c r="X449" s="148" t="str">
        <f>IFERROR(Datos[[#This Row],[ARIBA PRECIO POR MILLAR (Dólares)]]/1000*Datos[[#This Row],[DEMANDA ANUAL]],"")</f>
        <v/>
      </c>
      <c r="Y449" s="153" t="str">
        <f>IFERROR((Datos[[#This Row],[INGRESO PRECIO ARIBA]]-Datos[[#This Row],[Costos Totales (Norwork)]])/Datos[[#This Row],[INGRESO PRECIO ARIBA]],"")</f>
        <v/>
      </c>
      <c r="Z449" s="148" t="str">
        <f>IFERROR(IF(Datos[[#This Row],[CON ETIQUETA]]="No",VALORHOJA(Datos[[#This Row],[NP]],$B$44),VALORHOJA(Datos[[#This Row],[NP]],$D$44)),"")</f>
        <v/>
      </c>
      <c r="AA449" s="148" t="str">
        <f>IFERROR(IF(Datos[[#This Row],[Precio / Millar (Norwork)]]&lt;&gt;"",PRODUCT(Datos[[#This Row],[Precio / Millar (Norwork)]]/1000,Datos[[#This Row],[DEMANDA ANUAL]]),""),"")</f>
        <v/>
      </c>
      <c r="AB44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49" s="148" t="str">
        <f>IFERROR(IF(Datos[[#This Row],[Precio / Millar (Norwork)]]&lt;&gt;"",SUM(Datos[[#This Row],[Ingresos Totales (Norwork)]],-Datos[[#This Row],[Costos Totales (Norwork)]]),""),"")</f>
        <v/>
      </c>
      <c r="AD449" s="153" t="str">
        <f>IFERROR(Datos[[#This Row],[Beneficio (Norwork)]]/Datos[[#This Row],[Ingresos Totales (Norwork)]],"")</f>
        <v/>
      </c>
    </row>
    <row r="450" spans="2:30" x14ac:dyDescent="0.3">
      <c r="B450" s="145" t="s">
        <v>766</v>
      </c>
      <c r="C450" s="145" t="s">
        <v>1187</v>
      </c>
      <c r="D450" s="145"/>
      <c r="E450" s="145"/>
      <c r="G450" s="149">
        <v>9</v>
      </c>
      <c r="H450" s="144"/>
      <c r="W450" s="148" t="s">
        <v>298</v>
      </c>
      <c r="X450" s="148" t="str">
        <f>IFERROR(Datos[[#This Row],[ARIBA PRECIO POR MILLAR (Dólares)]]/1000*Datos[[#This Row],[DEMANDA ANUAL]],"")</f>
        <v/>
      </c>
      <c r="Y450" s="153" t="str">
        <f>IFERROR((Datos[[#This Row],[INGRESO PRECIO ARIBA]]-Datos[[#This Row],[Costos Totales (Norwork)]])/Datos[[#This Row],[INGRESO PRECIO ARIBA]],"")</f>
        <v/>
      </c>
      <c r="Z450" s="148" t="str">
        <f>IFERROR(IF(Datos[[#This Row],[CON ETIQUETA]]="No",VALORHOJA(Datos[[#This Row],[NP]],$B$44),VALORHOJA(Datos[[#This Row],[NP]],$D$44)),"")</f>
        <v/>
      </c>
      <c r="AA450" s="148" t="str">
        <f>IFERROR(IF(Datos[[#This Row],[Precio / Millar (Norwork)]]&lt;&gt;"",PRODUCT(Datos[[#This Row],[Precio / Millar (Norwork)]]/1000,Datos[[#This Row],[DEMANDA ANUAL]]),""),"")</f>
        <v/>
      </c>
      <c r="AB45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50" s="148" t="str">
        <f>IFERROR(IF(Datos[[#This Row],[Precio / Millar (Norwork)]]&lt;&gt;"",SUM(Datos[[#This Row],[Ingresos Totales (Norwork)]],-Datos[[#This Row],[Costos Totales (Norwork)]]),""),"")</f>
        <v/>
      </c>
      <c r="AD450" s="153" t="str">
        <f>IFERROR(Datos[[#This Row],[Beneficio (Norwork)]]/Datos[[#This Row],[Ingresos Totales (Norwork)]],"")</f>
        <v/>
      </c>
    </row>
    <row r="451" spans="2:30" x14ac:dyDescent="0.3">
      <c r="B451" s="145" t="s">
        <v>703</v>
      </c>
      <c r="C451" s="145" t="s">
        <v>1125</v>
      </c>
      <c r="D451" s="145"/>
      <c r="E451" s="145"/>
      <c r="G451" s="149">
        <v>8</v>
      </c>
      <c r="H451" s="144"/>
      <c r="W451" s="148" t="s">
        <v>298</v>
      </c>
      <c r="X451" s="148" t="str">
        <f>IFERROR(Datos[[#This Row],[ARIBA PRECIO POR MILLAR (Dólares)]]/1000*Datos[[#This Row],[DEMANDA ANUAL]],"")</f>
        <v/>
      </c>
      <c r="Y451" s="153" t="str">
        <f>IFERROR((Datos[[#This Row],[INGRESO PRECIO ARIBA]]-Datos[[#This Row],[Costos Totales (Norwork)]])/Datos[[#This Row],[INGRESO PRECIO ARIBA]],"")</f>
        <v/>
      </c>
      <c r="Z451" s="148" t="str">
        <f>IFERROR(IF(Datos[[#This Row],[CON ETIQUETA]]="No",VALORHOJA(Datos[[#This Row],[NP]],$B$44),VALORHOJA(Datos[[#This Row],[NP]],$D$44)),"")</f>
        <v/>
      </c>
      <c r="AA451" s="148" t="str">
        <f>IFERROR(IF(Datos[[#This Row],[Precio / Millar (Norwork)]]&lt;&gt;"",PRODUCT(Datos[[#This Row],[Precio / Millar (Norwork)]]/1000,Datos[[#This Row],[DEMANDA ANUAL]]),""),"")</f>
        <v/>
      </c>
      <c r="AB45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51" s="148" t="str">
        <f>IFERROR(IF(Datos[[#This Row],[Precio / Millar (Norwork)]]&lt;&gt;"",SUM(Datos[[#This Row],[Ingresos Totales (Norwork)]],-Datos[[#This Row],[Costos Totales (Norwork)]]),""),"")</f>
        <v/>
      </c>
      <c r="AD451" s="153" t="str">
        <f>IFERROR(Datos[[#This Row],[Beneficio (Norwork)]]/Datos[[#This Row],[Ingresos Totales (Norwork)]],"")</f>
        <v/>
      </c>
    </row>
    <row r="452" spans="2:30" x14ac:dyDescent="0.3">
      <c r="B452" s="145" t="s">
        <v>770</v>
      </c>
      <c r="C452" s="145" t="s">
        <v>1191</v>
      </c>
      <c r="D452" s="145"/>
      <c r="E452" s="145"/>
      <c r="G452" s="149">
        <v>8</v>
      </c>
      <c r="H452" s="144"/>
      <c r="W452" s="148" t="s">
        <v>298</v>
      </c>
      <c r="X452" s="148" t="str">
        <f>IFERROR(Datos[[#This Row],[ARIBA PRECIO POR MILLAR (Dólares)]]/1000*Datos[[#This Row],[DEMANDA ANUAL]],"")</f>
        <v/>
      </c>
      <c r="Y452" s="153" t="str">
        <f>IFERROR((Datos[[#This Row],[INGRESO PRECIO ARIBA]]-Datos[[#This Row],[Costos Totales (Norwork)]])/Datos[[#This Row],[INGRESO PRECIO ARIBA]],"")</f>
        <v/>
      </c>
      <c r="Z452" s="148" t="str">
        <f>IFERROR(IF(Datos[[#This Row],[CON ETIQUETA]]="No",VALORHOJA(Datos[[#This Row],[NP]],$B$44),VALORHOJA(Datos[[#This Row],[NP]],$D$44)),"")</f>
        <v/>
      </c>
      <c r="AA452" s="148" t="str">
        <f>IFERROR(IF(Datos[[#This Row],[Precio / Millar (Norwork)]]&lt;&gt;"",PRODUCT(Datos[[#This Row],[Precio / Millar (Norwork)]]/1000,Datos[[#This Row],[DEMANDA ANUAL]]),""),"")</f>
        <v/>
      </c>
      <c r="AB45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52" s="148" t="str">
        <f>IFERROR(IF(Datos[[#This Row],[Precio / Millar (Norwork)]]&lt;&gt;"",SUM(Datos[[#This Row],[Ingresos Totales (Norwork)]],-Datos[[#This Row],[Costos Totales (Norwork)]]),""),"")</f>
        <v/>
      </c>
      <c r="AD452" s="153" t="str">
        <f>IFERROR(Datos[[#This Row],[Beneficio (Norwork)]]/Datos[[#This Row],[Ingresos Totales (Norwork)]],"")</f>
        <v/>
      </c>
    </row>
    <row r="453" spans="2:30" x14ac:dyDescent="0.3">
      <c r="B453" s="145" t="s">
        <v>763</v>
      </c>
      <c r="C453" s="145" t="s">
        <v>1184</v>
      </c>
      <c r="D453" s="145"/>
      <c r="E453" s="145"/>
      <c r="G453" s="149">
        <v>7</v>
      </c>
      <c r="H453" s="144"/>
      <c r="W453" s="148" t="s">
        <v>298</v>
      </c>
      <c r="X453" s="148" t="str">
        <f>IFERROR(Datos[[#This Row],[ARIBA PRECIO POR MILLAR (Dólares)]]/1000*Datos[[#This Row],[DEMANDA ANUAL]],"")</f>
        <v/>
      </c>
      <c r="Y453" s="153" t="str">
        <f>IFERROR((Datos[[#This Row],[INGRESO PRECIO ARIBA]]-Datos[[#This Row],[Costos Totales (Norwork)]])/Datos[[#This Row],[INGRESO PRECIO ARIBA]],"")</f>
        <v/>
      </c>
      <c r="Z453" s="148" t="str">
        <f>IFERROR(IF(Datos[[#This Row],[CON ETIQUETA]]="No",VALORHOJA(Datos[[#This Row],[NP]],$B$44),VALORHOJA(Datos[[#This Row],[NP]],$D$44)),"")</f>
        <v/>
      </c>
      <c r="AA453" s="148" t="str">
        <f>IFERROR(IF(Datos[[#This Row],[Precio / Millar (Norwork)]]&lt;&gt;"",PRODUCT(Datos[[#This Row],[Precio / Millar (Norwork)]]/1000,Datos[[#This Row],[DEMANDA ANUAL]]),""),"")</f>
        <v/>
      </c>
      <c r="AB45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53" s="148" t="str">
        <f>IFERROR(IF(Datos[[#This Row],[Precio / Millar (Norwork)]]&lt;&gt;"",SUM(Datos[[#This Row],[Ingresos Totales (Norwork)]],-Datos[[#This Row],[Costos Totales (Norwork)]]),""),"")</f>
        <v/>
      </c>
      <c r="AD453" s="153" t="str">
        <f>IFERROR(Datos[[#This Row],[Beneficio (Norwork)]]/Datos[[#This Row],[Ingresos Totales (Norwork)]],"")</f>
        <v/>
      </c>
    </row>
    <row r="454" spans="2:30" x14ac:dyDescent="0.3">
      <c r="B454" s="145" t="s">
        <v>771</v>
      </c>
      <c r="C454" s="145" t="s">
        <v>1192</v>
      </c>
      <c r="D454" s="145"/>
      <c r="E454" s="145"/>
      <c r="G454" s="149">
        <v>7</v>
      </c>
      <c r="H454" s="144"/>
      <c r="W454" s="148" t="s">
        <v>298</v>
      </c>
      <c r="X454" s="148" t="str">
        <f>IFERROR(Datos[[#This Row],[ARIBA PRECIO POR MILLAR (Dólares)]]/1000*Datos[[#This Row],[DEMANDA ANUAL]],"")</f>
        <v/>
      </c>
      <c r="Y454" s="153" t="str">
        <f>IFERROR((Datos[[#This Row],[INGRESO PRECIO ARIBA]]-Datos[[#This Row],[Costos Totales (Norwork)]])/Datos[[#This Row],[INGRESO PRECIO ARIBA]],"")</f>
        <v/>
      </c>
      <c r="Z454" s="148" t="str">
        <f>IFERROR(IF(Datos[[#This Row],[CON ETIQUETA]]="No",VALORHOJA(Datos[[#This Row],[NP]],$B$44),VALORHOJA(Datos[[#This Row],[NP]],$D$44)),"")</f>
        <v/>
      </c>
      <c r="AA454" s="148" t="str">
        <f>IFERROR(IF(Datos[[#This Row],[Precio / Millar (Norwork)]]&lt;&gt;"",PRODUCT(Datos[[#This Row],[Precio / Millar (Norwork)]]/1000,Datos[[#This Row],[DEMANDA ANUAL]]),""),"")</f>
        <v/>
      </c>
      <c r="AB45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54" s="148" t="str">
        <f>IFERROR(IF(Datos[[#This Row],[Precio / Millar (Norwork)]]&lt;&gt;"",SUM(Datos[[#This Row],[Ingresos Totales (Norwork)]],-Datos[[#This Row],[Costos Totales (Norwork)]]),""),"")</f>
        <v/>
      </c>
      <c r="AD454" s="153" t="str">
        <f>IFERROR(Datos[[#This Row],[Beneficio (Norwork)]]/Datos[[#This Row],[Ingresos Totales (Norwork)]],"")</f>
        <v/>
      </c>
    </row>
    <row r="455" spans="2:30" x14ac:dyDescent="0.3">
      <c r="B455" s="145" t="s">
        <v>677</v>
      </c>
      <c r="C455" s="145" t="s">
        <v>1100</v>
      </c>
      <c r="D455" s="145"/>
      <c r="E455" s="145"/>
      <c r="G455" s="149">
        <v>6</v>
      </c>
      <c r="H455" s="144"/>
      <c r="W455" s="148" t="s">
        <v>298</v>
      </c>
      <c r="X455" s="148" t="str">
        <f>IFERROR(Datos[[#This Row],[ARIBA PRECIO POR MILLAR (Dólares)]]/1000*Datos[[#This Row],[DEMANDA ANUAL]],"")</f>
        <v/>
      </c>
      <c r="Y455" s="153" t="str">
        <f>IFERROR((Datos[[#This Row],[INGRESO PRECIO ARIBA]]-Datos[[#This Row],[Costos Totales (Norwork)]])/Datos[[#This Row],[INGRESO PRECIO ARIBA]],"")</f>
        <v/>
      </c>
      <c r="Z455" s="148" t="str">
        <f>IFERROR(IF(Datos[[#This Row],[CON ETIQUETA]]="No",VALORHOJA(Datos[[#This Row],[NP]],$B$44),VALORHOJA(Datos[[#This Row],[NP]],$D$44)),"")</f>
        <v/>
      </c>
      <c r="AA455" s="148" t="str">
        <f>IFERROR(IF(Datos[[#This Row],[Precio / Millar (Norwork)]]&lt;&gt;"",PRODUCT(Datos[[#This Row],[Precio / Millar (Norwork)]]/1000,Datos[[#This Row],[DEMANDA ANUAL]]),""),"")</f>
        <v/>
      </c>
      <c r="AB45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55" s="148" t="str">
        <f>IFERROR(IF(Datos[[#This Row],[Precio / Millar (Norwork)]]&lt;&gt;"",SUM(Datos[[#This Row],[Ingresos Totales (Norwork)]],-Datos[[#This Row],[Costos Totales (Norwork)]]),""),"")</f>
        <v/>
      </c>
      <c r="AD455" s="153" t="str">
        <f>IFERROR(Datos[[#This Row],[Beneficio (Norwork)]]/Datos[[#This Row],[Ingresos Totales (Norwork)]],"")</f>
        <v/>
      </c>
    </row>
    <row r="456" spans="2:30" x14ac:dyDescent="0.3">
      <c r="B456" s="145" t="s">
        <v>772</v>
      </c>
      <c r="C456" s="145" t="s">
        <v>1193</v>
      </c>
      <c r="D456" s="145"/>
      <c r="E456" s="145"/>
      <c r="G456" s="149">
        <v>6</v>
      </c>
      <c r="H456" s="144"/>
      <c r="W456" s="148" t="s">
        <v>298</v>
      </c>
      <c r="X456" s="148" t="str">
        <f>IFERROR(Datos[[#This Row],[ARIBA PRECIO POR MILLAR (Dólares)]]/1000*Datos[[#This Row],[DEMANDA ANUAL]],"")</f>
        <v/>
      </c>
      <c r="Y456" s="153" t="str">
        <f>IFERROR((Datos[[#This Row],[INGRESO PRECIO ARIBA]]-Datos[[#This Row],[Costos Totales (Norwork)]])/Datos[[#This Row],[INGRESO PRECIO ARIBA]],"")</f>
        <v/>
      </c>
      <c r="Z456" s="148" t="str">
        <f>IFERROR(IF(Datos[[#This Row],[CON ETIQUETA]]="No",VALORHOJA(Datos[[#This Row],[NP]],$B$44),VALORHOJA(Datos[[#This Row],[NP]],$D$44)),"")</f>
        <v/>
      </c>
      <c r="AA456" s="148" t="str">
        <f>IFERROR(IF(Datos[[#This Row],[Precio / Millar (Norwork)]]&lt;&gt;"",PRODUCT(Datos[[#This Row],[Precio / Millar (Norwork)]]/1000,Datos[[#This Row],[DEMANDA ANUAL]]),""),"")</f>
        <v/>
      </c>
      <c r="AB45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56" s="148" t="str">
        <f>IFERROR(IF(Datos[[#This Row],[Precio / Millar (Norwork)]]&lt;&gt;"",SUM(Datos[[#This Row],[Ingresos Totales (Norwork)]],-Datos[[#This Row],[Costos Totales (Norwork)]]),""),"")</f>
        <v/>
      </c>
      <c r="AD456" s="153" t="str">
        <f>IFERROR(Datos[[#This Row],[Beneficio (Norwork)]]/Datos[[#This Row],[Ingresos Totales (Norwork)]],"")</f>
        <v/>
      </c>
    </row>
    <row r="457" spans="2:30" x14ac:dyDescent="0.3">
      <c r="B457" s="145" t="s">
        <v>774</v>
      </c>
      <c r="C457" s="145" t="s">
        <v>1195</v>
      </c>
      <c r="D457" s="145"/>
      <c r="E457" s="145"/>
      <c r="G457" s="149">
        <v>6</v>
      </c>
      <c r="H457" s="144"/>
      <c r="W457" s="148" t="s">
        <v>298</v>
      </c>
      <c r="X457" s="148" t="str">
        <f>IFERROR(Datos[[#This Row],[ARIBA PRECIO POR MILLAR (Dólares)]]/1000*Datos[[#This Row],[DEMANDA ANUAL]],"")</f>
        <v/>
      </c>
      <c r="Y457" s="153" t="str">
        <f>IFERROR((Datos[[#This Row],[INGRESO PRECIO ARIBA]]-Datos[[#This Row],[Costos Totales (Norwork)]])/Datos[[#This Row],[INGRESO PRECIO ARIBA]],"")</f>
        <v/>
      </c>
      <c r="Z457" s="148" t="str">
        <f>IFERROR(IF(Datos[[#This Row],[CON ETIQUETA]]="No",VALORHOJA(Datos[[#This Row],[NP]],$B$44),VALORHOJA(Datos[[#This Row],[NP]],$D$44)),"")</f>
        <v/>
      </c>
      <c r="AA457" s="148" t="str">
        <f>IFERROR(IF(Datos[[#This Row],[Precio / Millar (Norwork)]]&lt;&gt;"",PRODUCT(Datos[[#This Row],[Precio / Millar (Norwork)]]/1000,Datos[[#This Row],[DEMANDA ANUAL]]),""),"")</f>
        <v/>
      </c>
      <c r="AB45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57" s="148" t="str">
        <f>IFERROR(IF(Datos[[#This Row],[Precio / Millar (Norwork)]]&lt;&gt;"",SUM(Datos[[#This Row],[Ingresos Totales (Norwork)]],-Datos[[#This Row],[Costos Totales (Norwork)]]),""),"")</f>
        <v/>
      </c>
      <c r="AD457" s="153" t="str">
        <f>IFERROR(Datos[[#This Row],[Beneficio (Norwork)]]/Datos[[#This Row],[Ingresos Totales (Norwork)]],"")</f>
        <v/>
      </c>
    </row>
    <row r="458" spans="2:30" x14ac:dyDescent="0.3">
      <c r="B458" s="145" t="s">
        <v>613</v>
      </c>
      <c r="C458" s="145" t="s">
        <v>1037</v>
      </c>
      <c r="D458" s="145"/>
      <c r="E458" s="145"/>
      <c r="G458" s="149">
        <v>4</v>
      </c>
      <c r="H458" s="144"/>
      <c r="W458" s="148" t="s">
        <v>298</v>
      </c>
      <c r="X458" s="148" t="str">
        <f>IFERROR(Datos[[#This Row],[ARIBA PRECIO POR MILLAR (Dólares)]]/1000*Datos[[#This Row],[DEMANDA ANUAL]],"")</f>
        <v/>
      </c>
      <c r="Y458" s="153" t="str">
        <f>IFERROR((Datos[[#This Row],[INGRESO PRECIO ARIBA]]-Datos[[#This Row],[Costos Totales (Norwork)]])/Datos[[#This Row],[INGRESO PRECIO ARIBA]],"")</f>
        <v/>
      </c>
      <c r="Z458" s="148" t="str">
        <f>IFERROR(IF(Datos[[#This Row],[CON ETIQUETA]]="No",VALORHOJA(Datos[[#This Row],[NP]],$B$44),VALORHOJA(Datos[[#This Row],[NP]],$D$44)),"")</f>
        <v/>
      </c>
      <c r="AA458" s="148" t="str">
        <f>IFERROR(IF(Datos[[#This Row],[Precio / Millar (Norwork)]]&lt;&gt;"",PRODUCT(Datos[[#This Row],[Precio / Millar (Norwork)]]/1000,Datos[[#This Row],[DEMANDA ANUAL]]),""),"")</f>
        <v/>
      </c>
      <c r="AB45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58" s="148" t="str">
        <f>IFERROR(IF(Datos[[#This Row],[Precio / Millar (Norwork)]]&lt;&gt;"",SUM(Datos[[#This Row],[Ingresos Totales (Norwork)]],-Datos[[#This Row],[Costos Totales (Norwork)]]),""),"")</f>
        <v/>
      </c>
      <c r="AD458" s="153" t="str">
        <f>IFERROR(Datos[[#This Row],[Beneficio (Norwork)]]/Datos[[#This Row],[Ingresos Totales (Norwork)]],"")</f>
        <v/>
      </c>
    </row>
    <row r="459" spans="2:30" x14ac:dyDescent="0.3">
      <c r="B459" s="145" t="s">
        <v>635</v>
      </c>
      <c r="C459" s="145" t="s">
        <v>1058</v>
      </c>
      <c r="D459" s="145"/>
      <c r="E459" s="145"/>
      <c r="G459" s="149">
        <v>4</v>
      </c>
      <c r="H459" s="144"/>
      <c r="W459" s="148" t="s">
        <v>298</v>
      </c>
      <c r="X459" s="148" t="str">
        <f>IFERROR(Datos[[#This Row],[ARIBA PRECIO POR MILLAR (Dólares)]]/1000*Datos[[#This Row],[DEMANDA ANUAL]],"")</f>
        <v/>
      </c>
      <c r="Y459" s="153" t="str">
        <f>IFERROR((Datos[[#This Row],[INGRESO PRECIO ARIBA]]-Datos[[#This Row],[Costos Totales (Norwork)]])/Datos[[#This Row],[INGRESO PRECIO ARIBA]],"")</f>
        <v/>
      </c>
      <c r="Z459" s="148" t="str">
        <f>IFERROR(IF(Datos[[#This Row],[CON ETIQUETA]]="No",VALORHOJA(Datos[[#This Row],[NP]],$B$44),VALORHOJA(Datos[[#This Row],[NP]],$D$44)),"")</f>
        <v/>
      </c>
      <c r="AA459" s="148" t="str">
        <f>IFERROR(IF(Datos[[#This Row],[Precio / Millar (Norwork)]]&lt;&gt;"",PRODUCT(Datos[[#This Row],[Precio / Millar (Norwork)]]/1000,Datos[[#This Row],[DEMANDA ANUAL]]),""),"")</f>
        <v/>
      </c>
      <c r="AB45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59" s="148" t="str">
        <f>IFERROR(IF(Datos[[#This Row],[Precio / Millar (Norwork)]]&lt;&gt;"",SUM(Datos[[#This Row],[Ingresos Totales (Norwork)]],-Datos[[#This Row],[Costos Totales (Norwork)]]),""),"")</f>
        <v/>
      </c>
      <c r="AD459" s="153" t="str">
        <f>IFERROR(Datos[[#This Row],[Beneficio (Norwork)]]/Datos[[#This Row],[Ingresos Totales (Norwork)]],"")</f>
        <v/>
      </c>
    </row>
    <row r="460" spans="2:30" x14ac:dyDescent="0.3">
      <c r="B460" s="145" t="s">
        <v>761</v>
      </c>
      <c r="C460" s="145" t="s">
        <v>1182</v>
      </c>
      <c r="D460" s="145"/>
      <c r="E460" s="145"/>
      <c r="G460" s="149">
        <v>4</v>
      </c>
      <c r="H460" s="144"/>
      <c r="W460" s="148" t="s">
        <v>298</v>
      </c>
      <c r="X460" s="148" t="str">
        <f>IFERROR(Datos[[#This Row],[ARIBA PRECIO POR MILLAR (Dólares)]]/1000*Datos[[#This Row],[DEMANDA ANUAL]],"")</f>
        <v/>
      </c>
      <c r="Y460" s="153" t="str">
        <f>IFERROR((Datos[[#This Row],[INGRESO PRECIO ARIBA]]-Datos[[#This Row],[Costos Totales (Norwork)]])/Datos[[#This Row],[INGRESO PRECIO ARIBA]],"")</f>
        <v/>
      </c>
      <c r="Z460" s="148" t="str">
        <f>IFERROR(IF(Datos[[#This Row],[CON ETIQUETA]]="No",VALORHOJA(Datos[[#This Row],[NP]],$B$44),VALORHOJA(Datos[[#This Row],[NP]],$D$44)),"")</f>
        <v/>
      </c>
      <c r="AA460" s="148" t="str">
        <f>IFERROR(IF(Datos[[#This Row],[Precio / Millar (Norwork)]]&lt;&gt;"",PRODUCT(Datos[[#This Row],[Precio / Millar (Norwork)]]/1000,Datos[[#This Row],[DEMANDA ANUAL]]),""),"")</f>
        <v/>
      </c>
      <c r="AB46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60" s="148" t="str">
        <f>IFERROR(IF(Datos[[#This Row],[Precio / Millar (Norwork)]]&lt;&gt;"",SUM(Datos[[#This Row],[Ingresos Totales (Norwork)]],-Datos[[#This Row],[Costos Totales (Norwork)]]),""),"")</f>
        <v/>
      </c>
      <c r="AD460" s="153" t="str">
        <f>IFERROR(Datos[[#This Row],[Beneficio (Norwork)]]/Datos[[#This Row],[Ingresos Totales (Norwork)]],"")</f>
        <v/>
      </c>
    </row>
    <row r="461" spans="2:30" x14ac:dyDescent="0.3">
      <c r="B461" s="145" t="s">
        <v>762</v>
      </c>
      <c r="C461" s="145" t="s">
        <v>1183</v>
      </c>
      <c r="D461" s="145"/>
      <c r="E461" s="145"/>
      <c r="G461" s="149">
        <v>4</v>
      </c>
      <c r="H461" s="144"/>
      <c r="W461" s="148" t="s">
        <v>298</v>
      </c>
      <c r="X461" s="148" t="str">
        <f>IFERROR(Datos[[#This Row],[ARIBA PRECIO POR MILLAR (Dólares)]]/1000*Datos[[#This Row],[DEMANDA ANUAL]],"")</f>
        <v/>
      </c>
      <c r="Y461" s="153" t="str">
        <f>IFERROR((Datos[[#This Row],[INGRESO PRECIO ARIBA]]-Datos[[#This Row],[Costos Totales (Norwork)]])/Datos[[#This Row],[INGRESO PRECIO ARIBA]],"")</f>
        <v/>
      </c>
      <c r="Z461" s="148" t="str">
        <f>IFERROR(IF(Datos[[#This Row],[CON ETIQUETA]]="No",VALORHOJA(Datos[[#This Row],[NP]],$B$44),VALORHOJA(Datos[[#This Row],[NP]],$D$44)),"")</f>
        <v/>
      </c>
      <c r="AA461" s="148" t="str">
        <f>IFERROR(IF(Datos[[#This Row],[Precio / Millar (Norwork)]]&lt;&gt;"",PRODUCT(Datos[[#This Row],[Precio / Millar (Norwork)]]/1000,Datos[[#This Row],[DEMANDA ANUAL]]),""),"")</f>
        <v/>
      </c>
      <c r="AB461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61" s="148" t="str">
        <f>IFERROR(IF(Datos[[#This Row],[Precio / Millar (Norwork)]]&lt;&gt;"",SUM(Datos[[#This Row],[Ingresos Totales (Norwork)]],-Datos[[#This Row],[Costos Totales (Norwork)]]),""),"")</f>
        <v/>
      </c>
      <c r="AD461" s="153" t="str">
        <f>IFERROR(Datos[[#This Row],[Beneficio (Norwork)]]/Datos[[#This Row],[Ingresos Totales (Norwork)]],"")</f>
        <v/>
      </c>
    </row>
    <row r="462" spans="2:30" x14ac:dyDescent="0.3">
      <c r="B462" s="145" t="s">
        <v>768</v>
      </c>
      <c r="C462" s="145" t="s">
        <v>1189</v>
      </c>
      <c r="D462" s="145"/>
      <c r="E462" s="145"/>
      <c r="G462" s="149">
        <v>4</v>
      </c>
      <c r="H462" s="144"/>
      <c r="W462" s="148" t="s">
        <v>298</v>
      </c>
      <c r="X462" s="148" t="str">
        <f>IFERROR(Datos[[#This Row],[ARIBA PRECIO POR MILLAR (Dólares)]]/1000*Datos[[#This Row],[DEMANDA ANUAL]],"")</f>
        <v/>
      </c>
      <c r="Y462" s="153" t="str">
        <f>IFERROR((Datos[[#This Row],[INGRESO PRECIO ARIBA]]-Datos[[#This Row],[Costos Totales (Norwork)]])/Datos[[#This Row],[INGRESO PRECIO ARIBA]],"")</f>
        <v/>
      </c>
      <c r="Z462" s="148" t="str">
        <f>IFERROR(IF(Datos[[#This Row],[CON ETIQUETA]]="No",VALORHOJA(Datos[[#This Row],[NP]],$B$44),VALORHOJA(Datos[[#This Row],[NP]],$D$44)),"")</f>
        <v/>
      </c>
      <c r="AA462" s="148" t="str">
        <f>IFERROR(IF(Datos[[#This Row],[Precio / Millar (Norwork)]]&lt;&gt;"",PRODUCT(Datos[[#This Row],[Precio / Millar (Norwork)]]/1000,Datos[[#This Row],[DEMANDA ANUAL]]),""),"")</f>
        <v/>
      </c>
      <c r="AB462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62" s="148" t="str">
        <f>IFERROR(IF(Datos[[#This Row],[Precio / Millar (Norwork)]]&lt;&gt;"",SUM(Datos[[#This Row],[Ingresos Totales (Norwork)]],-Datos[[#This Row],[Costos Totales (Norwork)]]),""),"")</f>
        <v/>
      </c>
      <c r="AD462" s="153" t="str">
        <f>IFERROR(Datos[[#This Row],[Beneficio (Norwork)]]/Datos[[#This Row],[Ingresos Totales (Norwork)]],"")</f>
        <v/>
      </c>
    </row>
    <row r="463" spans="2:30" x14ac:dyDescent="0.3">
      <c r="B463" s="145" t="s">
        <v>773</v>
      </c>
      <c r="C463" s="145" t="s">
        <v>1194</v>
      </c>
      <c r="D463" s="145"/>
      <c r="E463" s="145"/>
      <c r="G463" s="149">
        <v>4</v>
      </c>
      <c r="H463" s="144"/>
      <c r="W463" s="148" t="s">
        <v>298</v>
      </c>
      <c r="X463" s="148" t="str">
        <f>IFERROR(Datos[[#This Row],[ARIBA PRECIO POR MILLAR (Dólares)]]/1000*Datos[[#This Row],[DEMANDA ANUAL]],"")</f>
        <v/>
      </c>
      <c r="Y463" s="153" t="str">
        <f>IFERROR((Datos[[#This Row],[INGRESO PRECIO ARIBA]]-Datos[[#This Row],[Costos Totales (Norwork)]])/Datos[[#This Row],[INGRESO PRECIO ARIBA]],"")</f>
        <v/>
      </c>
      <c r="Z463" s="148" t="str">
        <f>IFERROR(IF(Datos[[#This Row],[CON ETIQUETA]]="No",VALORHOJA(Datos[[#This Row],[NP]],$B$44),VALORHOJA(Datos[[#This Row],[NP]],$D$44)),"")</f>
        <v/>
      </c>
      <c r="AA463" s="148" t="str">
        <f>IFERROR(IF(Datos[[#This Row],[Precio / Millar (Norwork)]]&lt;&gt;"",PRODUCT(Datos[[#This Row],[Precio / Millar (Norwork)]]/1000,Datos[[#This Row],[DEMANDA ANUAL]]),""),"")</f>
        <v/>
      </c>
      <c r="AB463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63" s="148" t="str">
        <f>IFERROR(IF(Datos[[#This Row],[Precio / Millar (Norwork)]]&lt;&gt;"",SUM(Datos[[#This Row],[Ingresos Totales (Norwork)]],-Datos[[#This Row],[Costos Totales (Norwork)]]),""),"")</f>
        <v/>
      </c>
      <c r="AD463" s="153" t="str">
        <f>IFERROR(Datos[[#This Row],[Beneficio (Norwork)]]/Datos[[#This Row],[Ingresos Totales (Norwork)]],"")</f>
        <v/>
      </c>
    </row>
    <row r="464" spans="2:30" x14ac:dyDescent="0.3">
      <c r="B464" s="145" t="s">
        <v>781</v>
      </c>
      <c r="C464" s="145" t="s">
        <v>1201</v>
      </c>
      <c r="D464" s="145"/>
      <c r="E464" s="145"/>
      <c r="G464" s="149">
        <v>4</v>
      </c>
      <c r="H464" s="144"/>
      <c r="W464" s="148" t="s">
        <v>298</v>
      </c>
      <c r="X464" s="148" t="str">
        <f>IFERROR(Datos[[#This Row],[ARIBA PRECIO POR MILLAR (Dólares)]]/1000*Datos[[#This Row],[DEMANDA ANUAL]],"")</f>
        <v/>
      </c>
      <c r="Y464" s="153" t="str">
        <f>IFERROR((Datos[[#This Row],[INGRESO PRECIO ARIBA]]-Datos[[#This Row],[Costos Totales (Norwork)]])/Datos[[#This Row],[INGRESO PRECIO ARIBA]],"")</f>
        <v/>
      </c>
      <c r="Z464" s="148" t="str">
        <f>IFERROR(IF(Datos[[#This Row],[CON ETIQUETA]]="No",VALORHOJA(Datos[[#This Row],[NP]],$B$44),VALORHOJA(Datos[[#This Row],[NP]],$D$44)),"")</f>
        <v/>
      </c>
      <c r="AA464" s="148" t="str">
        <f>IFERROR(IF(Datos[[#This Row],[Precio / Millar (Norwork)]]&lt;&gt;"",PRODUCT(Datos[[#This Row],[Precio / Millar (Norwork)]]/1000,Datos[[#This Row],[DEMANDA ANUAL]]),""),"")</f>
        <v/>
      </c>
      <c r="AB464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64" s="148" t="str">
        <f>IFERROR(IF(Datos[[#This Row],[Precio / Millar (Norwork)]]&lt;&gt;"",SUM(Datos[[#This Row],[Ingresos Totales (Norwork)]],-Datos[[#This Row],[Costos Totales (Norwork)]]),""),"")</f>
        <v/>
      </c>
      <c r="AD464" s="153" t="str">
        <f>IFERROR(Datos[[#This Row],[Beneficio (Norwork)]]/Datos[[#This Row],[Ingresos Totales (Norwork)]],"")</f>
        <v/>
      </c>
    </row>
    <row r="465" spans="2:30" x14ac:dyDescent="0.3">
      <c r="B465" s="145" t="s">
        <v>776</v>
      </c>
      <c r="C465" s="145" t="s">
        <v>1197</v>
      </c>
      <c r="D465" s="145"/>
      <c r="E465" s="145"/>
      <c r="G465" s="149">
        <v>3</v>
      </c>
      <c r="H465" s="144"/>
      <c r="W465" s="148" t="s">
        <v>298</v>
      </c>
      <c r="X465" s="148" t="str">
        <f>IFERROR(Datos[[#This Row],[ARIBA PRECIO POR MILLAR (Dólares)]]/1000*Datos[[#This Row],[DEMANDA ANUAL]],"")</f>
        <v/>
      </c>
      <c r="Y465" s="153" t="str">
        <f>IFERROR((Datos[[#This Row],[INGRESO PRECIO ARIBA]]-Datos[[#This Row],[Costos Totales (Norwork)]])/Datos[[#This Row],[INGRESO PRECIO ARIBA]],"")</f>
        <v/>
      </c>
      <c r="Z465" s="148" t="str">
        <f>IFERROR(IF(Datos[[#This Row],[CON ETIQUETA]]="No",VALORHOJA(Datos[[#This Row],[NP]],$B$44),VALORHOJA(Datos[[#This Row],[NP]],$D$44)),"")</f>
        <v/>
      </c>
      <c r="AA465" s="148" t="str">
        <f>IFERROR(IF(Datos[[#This Row],[Precio / Millar (Norwork)]]&lt;&gt;"",PRODUCT(Datos[[#This Row],[Precio / Millar (Norwork)]]/1000,Datos[[#This Row],[DEMANDA ANUAL]]),""),"")</f>
        <v/>
      </c>
      <c r="AB465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65" s="148" t="str">
        <f>IFERROR(IF(Datos[[#This Row],[Precio / Millar (Norwork)]]&lt;&gt;"",SUM(Datos[[#This Row],[Ingresos Totales (Norwork)]],-Datos[[#This Row],[Costos Totales (Norwork)]]),""),"")</f>
        <v/>
      </c>
      <c r="AD465" s="153" t="str">
        <f>IFERROR(Datos[[#This Row],[Beneficio (Norwork)]]/Datos[[#This Row],[Ingresos Totales (Norwork)]],"")</f>
        <v/>
      </c>
    </row>
    <row r="466" spans="2:30" x14ac:dyDescent="0.3">
      <c r="B466" s="145" t="s">
        <v>779</v>
      </c>
      <c r="C466" s="145" t="s">
        <v>1200</v>
      </c>
      <c r="D466" s="145"/>
      <c r="E466" s="145"/>
      <c r="G466" s="149">
        <v>3</v>
      </c>
      <c r="H466" s="144"/>
      <c r="W466" s="148" t="s">
        <v>298</v>
      </c>
      <c r="X466" s="148" t="str">
        <f>IFERROR(Datos[[#This Row],[ARIBA PRECIO POR MILLAR (Dólares)]]/1000*Datos[[#This Row],[DEMANDA ANUAL]],"")</f>
        <v/>
      </c>
      <c r="Y466" s="153" t="str">
        <f>IFERROR((Datos[[#This Row],[INGRESO PRECIO ARIBA]]-Datos[[#This Row],[Costos Totales (Norwork)]])/Datos[[#This Row],[INGRESO PRECIO ARIBA]],"")</f>
        <v/>
      </c>
      <c r="Z466" s="148" t="str">
        <f>IFERROR(IF(Datos[[#This Row],[CON ETIQUETA]]="No",VALORHOJA(Datos[[#This Row],[NP]],$B$44),VALORHOJA(Datos[[#This Row],[NP]],$D$44)),"")</f>
        <v/>
      </c>
      <c r="AA466" s="148" t="str">
        <f>IFERROR(IF(Datos[[#This Row],[Precio / Millar (Norwork)]]&lt;&gt;"",PRODUCT(Datos[[#This Row],[Precio / Millar (Norwork)]]/1000,Datos[[#This Row],[DEMANDA ANUAL]]),""),"")</f>
        <v/>
      </c>
      <c r="AB466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66" s="148" t="str">
        <f>IFERROR(IF(Datos[[#This Row],[Precio / Millar (Norwork)]]&lt;&gt;"",SUM(Datos[[#This Row],[Ingresos Totales (Norwork)]],-Datos[[#This Row],[Costos Totales (Norwork)]]),""),"")</f>
        <v/>
      </c>
      <c r="AD466" s="153" t="str">
        <f>IFERROR(Datos[[#This Row],[Beneficio (Norwork)]]/Datos[[#This Row],[Ingresos Totales (Norwork)]],"")</f>
        <v/>
      </c>
    </row>
    <row r="467" spans="2:30" x14ac:dyDescent="0.3">
      <c r="B467" s="145" t="s">
        <v>752</v>
      </c>
      <c r="C467" s="145" t="s">
        <v>1174</v>
      </c>
      <c r="D467" s="145"/>
      <c r="E467" s="145"/>
      <c r="G467" s="149">
        <v>2</v>
      </c>
      <c r="H467" s="144"/>
      <c r="W467" s="148" t="s">
        <v>298</v>
      </c>
      <c r="X467" s="148" t="str">
        <f>IFERROR(Datos[[#This Row],[ARIBA PRECIO POR MILLAR (Dólares)]]/1000*Datos[[#This Row],[DEMANDA ANUAL]],"")</f>
        <v/>
      </c>
      <c r="Y467" s="153" t="str">
        <f>IFERROR((Datos[[#This Row],[INGRESO PRECIO ARIBA]]-Datos[[#This Row],[Costos Totales (Norwork)]])/Datos[[#This Row],[INGRESO PRECIO ARIBA]],"")</f>
        <v/>
      </c>
      <c r="Z467" s="148" t="str">
        <f>IFERROR(IF(Datos[[#This Row],[CON ETIQUETA]]="No",VALORHOJA(Datos[[#This Row],[NP]],$B$44),VALORHOJA(Datos[[#This Row],[NP]],$D$44)),"")</f>
        <v/>
      </c>
      <c r="AA467" s="148" t="str">
        <f>IFERROR(IF(Datos[[#This Row],[Precio / Millar (Norwork)]]&lt;&gt;"",PRODUCT(Datos[[#This Row],[Precio / Millar (Norwork)]]/1000,Datos[[#This Row],[DEMANDA ANUAL]]),""),"")</f>
        <v/>
      </c>
      <c r="AB467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67" s="148" t="str">
        <f>IFERROR(IF(Datos[[#This Row],[Precio / Millar (Norwork)]]&lt;&gt;"",SUM(Datos[[#This Row],[Ingresos Totales (Norwork)]],-Datos[[#This Row],[Costos Totales (Norwork)]]),""),"")</f>
        <v/>
      </c>
      <c r="AD467" s="153" t="str">
        <f>IFERROR(Datos[[#This Row],[Beneficio (Norwork)]]/Datos[[#This Row],[Ingresos Totales (Norwork)]],"")</f>
        <v/>
      </c>
    </row>
    <row r="468" spans="2:30" x14ac:dyDescent="0.3">
      <c r="B468" s="145" t="s">
        <v>769</v>
      </c>
      <c r="C468" s="145" t="s">
        <v>1190</v>
      </c>
      <c r="D468" s="145"/>
      <c r="E468" s="145"/>
      <c r="G468" s="149">
        <v>2</v>
      </c>
      <c r="H468" s="144"/>
      <c r="W468" s="148" t="s">
        <v>298</v>
      </c>
      <c r="X468" s="148" t="str">
        <f>IFERROR(Datos[[#This Row],[ARIBA PRECIO POR MILLAR (Dólares)]]/1000*Datos[[#This Row],[DEMANDA ANUAL]],"")</f>
        <v/>
      </c>
      <c r="Y468" s="153" t="str">
        <f>IFERROR((Datos[[#This Row],[INGRESO PRECIO ARIBA]]-Datos[[#This Row],[Costos Totales (Norwork)]])/Datos[[#This Row],[INGRESO PRECIO ARIBA]],"")</f>
        <v/>
      </c>
      <c r="Z468" s="148" t="str">
        <f>IFERROR(IF(Datos[[#This Row],[CON ETIQUETA]]="No",VALORHOJA(Datos[[#This Row],[NP]],$B$44),VALORHOJA(Datos[[#This Row],[NP]],$D$44)),"")</f>
        <v/>
      </c>
      <c r="AA468" s="148" t="str">
        <f>IFERROR(IF(Datos[[#This Row],[Precio / Millar (Norwork)]]&lt;&gt;"",PRODUCT(Datos[[#This Row],[Precio / Millar (Norwork)]]/1000,Datos[[#This Row],[DEMANDA ANUAL]]),""),"")</f>
        <v/>
      </c>
      <c r="AB468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68" s="148" t="str">
        <f>IFERROR(IF(Datos[[#This Row],[Precio / Millar (Norwork)]]&lt;&gt;"",SUM(Datos[[#This Row],[Ingresos Totales (Norwork)]],-Datos[[#This Row],[Costos Totales (Norwork)]]),""),"")</f>
        <v/>
      </c>
      <c r="AD468" s="153" t="str">
        <f>IFERROR(Datos[[#This Row],[Beneficio (Norwork)]]/Datos[[#This Row],[Ingresos Totales (Norwork)]],"")</f>
        <v/>
      </c>
    </row>
    <row r="469" spans="2:30" x14ac:dyDescent="0.3">
      <c r="B469" s="145" t="s">
        <v>777</v>
      </c>
      <c r="C469" s="145" t="s">
        <v>1198</v>
      </c>
      <c r="D469" s="145"/>
      <c r="E469" s="145"/>
      <c r="G469" s="149">
        <v>2</v>
      </c>
      <c r="H469" s="144"/>
      <c r="W469" s="148" t="s">
        <v>298</v>
      </c>
      <c r="X469" s="148" t="str">
        <f>IFERROR(Datos[[#This Row],[ARIBA PRECIO POR MILLAR (Dólares)]]/1000*Datos[[#This Row],[DEMANDA ANUAL]],"")</f>
        <v/>
      </c>
      <c r="Y469" s="153" t="str">
        <f>IFERROR((Datos[[#This Row],[INGRESO PRECIO ARIBA]]-Datos[[#This Row],[Costos Totales (Norwork)]])/Datos[[#This Row],[INGRESO PRECIO ARIBA]],"")</f>
        <v/>
      </c>
      <c r="Z469" s="148" t="str">
        <f>IFERROR(IF(Datos[[#This Row],[CON ETIQUETA]]="No",VALORHOJA(Datos[[#This Row],[NP]],$B$44),VALORHOJA(Datos[[#This Row],[NP]],$D$44)),"")</f>
        <v/>
      </c>
      <c r="AA469" s="148" t="str">
        <f>IFERROR(IF(Datos[[#This Row],[Precio / Millar (Norwork)]]&lt;&gt;"",PRODUCT(Datos[[#This Row],[Precio / Millar (Norwork)]]/1000,Datos[[#This Row],[DEMANDA ANUAL]]),""),"")</f>
        <v/>
      </c>
      <c r="AB469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69" s="148" t="str">
        <f>IFERROR(IF(Datos[[#This Row],[Precio / Millar (Norwork)]]&lt;&gt;"",SUM(Datos[[#This Row],[Ingresos Totales (Norwork)]],-Datos[[#This Row],[Costos Totales (Norwork)]]),""),"")</f>
        <v/>
      </c>
      <c r="AD469" s="153" t="str">
        <f>IFERROR(Datos[[#This Row],[Beneficio (Norwork)]]/Datos[[#This Row],[Ingresos Totales (Norwork)]],"")</f>
        <v/>
      </c>
    </row>
    <row r="470" spans="2:30" x14ac:dyDescent="0.3">
      <c r="B470" s="145" t="s">
        <v>778</v>
      </c>
      <c r="C470" s="145" t="s">
        <v>1199</v>
      </c>
      <c r="D470" s="145"/>
      <c r="E470" s="145"/>
      <c r="G470" s="149">
        <v>2</v>
      </c>
      <c r="H470" s="144"/>
      <c r="W470" s="148" t="s">
        <v>298</v>
      </c>
      <c r="X470" s="148" t="str">
        <f>IFERROR(Datos[[#This Row],[ARIBA PRECIO POR MILLAR (Dólares)]]/1000*Datos[[#This Row],[DEMANDA ANUAL]],"")</f>
        <v/>
      </c>
      <c r="Y470" s="153" t="str">
        <f>IFERROR((Datos[[#This Row],[INGRESO PRECIO ARIBA]]-Datos[[#This Row],[Costos Totales (Norwork)]])/Datos[[#This Row],[INGRESO PRECIO ARIBA]],"")</f>
        <v/>
      </c>
      <c r="Z470" s="148" t="str">
        <f>IFERROR(IF(Datos[[#This Row],[CON ETIQUETA]]="No",VALORHOJA(Datos[[#This Row],[NP]],$B$44),VALORHOJA(Datos[[#This Row],[NP]],$D$44)),"")</f>
        <v/>
      </c>
      <c r="AA470" s="148" t="str">
        <f>IFERROR(IF(Datos[[#This Row],[Precio / Millar (Norwork)]]&lt;&gt;"",PRODUCT(Datos[[#This Row],[Precio / Millar (Norwork)]]/1000,Datos[[#This Row],[DEMANDA ANUAL]]),""),"")</f>
        <v/>
      </c>
      <c r="AB470" s="155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C470" s="148" t="str">
        <f>IFERROR(IF(Datos[[#This Row],[Precio / Millar (Norwork)]]&lt;&gt;"",SUM(Datos[[#This Row],[Ingresos Totales (Norwork)]],-Datos[[#This Row],[Costos Totales (Norwork)]]),""),"")</f>
        <v/>
      </c>
      <c r="AD470" s="153" t="str">
        <f>IFERROR(Datos[[#This Row],[Beneficio (Norwork)]]/Datos[[#This Row],[Ingresos Totales (Norwork)]],"")</f>
        <v/>
      </c>
    </row>
  </sheetData>
  <conditionalFormatting sqref="B2:B470">
    <cfRule type="expression" dxfId="1609" priority="21">
      <formula>F2="Sí"</formula>
    </cfRule>
  </conditionalFormatting>
  <conditionalFormatting sqref="B42:B1048576 B1">
    <cfRule type="duplicateValues" dxfId="1608" priority="8"/>
  </conditionalFormatting>
  <conditionalFormatting sqref="AD3:AD470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:AA470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70">
    <cfRule type="expression" dxfId="1607" priority="132">
      <formula>$Z3&lt;=#REF!</formula>
    </cfRule>
    <cfRule type="expression" dxfId="1606" priority="133">
      <formula>$Z3&gt;#REF!</formula>
    </cfRule>
  </conditionalFormatting>
  <conditionalFormatting sqref="W3:X470">
    <cfRule type="expression" dxfId="1605" priority="2">
      <formula>$Z3&lt;=#REF!</formula>
    </cfRule>
    <cfRule type="expression" dxfId="1604" priority="3">
      <formula>$Z3&gt;#REF!</formula>
    </cfRule>
  </conditionalFormatting>
  <conditionalFormatting sqref="Y3:Y47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42" location="'114-5709-000'!A1" display="114-5709-000"/>
    <hyperlink ref="B3" location="'114-5711-010'!A1" display="114-5711-010"/>
    <hyperlink ref="B130" location="'002-2389-000'!A1" display="002-2389-000"/>
    <hyperlink ref="B4" location="'114A4714B'!A1" display="114A4714B"/>
    <hyperlink ref="B54" location="'01-39240-2'!A1" display="01-39240-2"/>
    <hyperlink ref="B75" location="'01-39240-1'!A1" display="01-39240-1"/>
    <hyperlink ref="B113" location="'01-39502'!A1" display="01-39502"/>
    <hyperlink ref="B10" location="'114A5043'!A1" display="114A5043"/>
    <hyperlink ref="B61" location="'01-39240-10'!A1" display="01-39240-10"/>
    <hyperlink ref="B84" location="'01-39240-9'!A1" display="01-39240-9"/>
    <hyperlink ref="B126" location="'01-39240-4'!A1" display="01-39240-4"/>
    <hyperlink ref="B13" location="'114A5044'!A1" display="114A5044"/>
    <hyperlink ref="B12" location="'01-38939'!A1" display="01-38939"/>
    <hyperlink ref="B22" location="'114A4109D'!A1" display="114A4109D"/>
    <hyperlink ref="B132" location="'01-39240-5'!A1" display="01-39240-5"/>
    <hyperlink ref="B82" location="'002-2372-000'!A1" display="002-2372-000"/>
    <hyperlink ref="B18" location="'114-5801-000'!A1" display="114-5801-000"/>
    <hyperlink ref="B40" location="'01-34213'!A1" display="01-34213"/>
    <hyperlink ref="B62" location="'01-39384B'!A1" display="01-39384B"/>
    <hyperlink ref="B63" location="'01-39413B'!A1" display="01-39413B"/>
    <hyperlink ref="B55" location="'01-39381B'!A1" display="01-39381B"/>
    <hyperlink ref="B14" location="'114-5463-000'!A1" display="114-5463-000"/>
    <hyperlink ref="B56" location="'01-39407B'!A1" display="01-39407B"/>
    <hyperlink ref="B76" location="'01-39380B'!A1" display="01-39380B"/>
    <hyperlink ref="B77" location="'01-39405B'!A1" display="01-39405B"/>
    <hyperlink ref="B85" location="'01-39382C'!A1" display="01-39382C"/>
    <hyperlink ref="B86" location="'01-39409C'!A1" display="01-39409C"/>
    <hyperlink ref="B93" location="'8114A2935E'!A1" display="8114A2935E"/>
    <hyperlink ref="B122" location="'01-39240-11'!A1" display="01-39240-11"/>
    <hyperlink ref="B261" location="'114A4962'!A1" display="114A4962"/>
    <hyperlink ref="B9" location="'114-5819-000'!A1" display="114-5819-000"/>
    <hyperlink ref="B5" location="'114-5461-000'!A1" display="114-5461-000"/>
    <hyperlink ref="B7" location="'114-5685-000'!A1" display="114-5685-000"/>
    <hyperlink ref="B11" location="'114-5433-000'!A1" display="114-5433-000"/>
    <hyperlink ref="B252" location="'114-5589-000'!A1" display="114-5589-000"/>
    <hyperlink ref="B59" location="'8114A3656D'!A1" display="8114A3656D"/>
    <hyperlink ref="B38" location="'002-2373-000'!A1" display="002-2373-000"/>
    <hyperlink ref="B120" location="'8114A3657E'!A1" display="8114A3657E"/>
    <hyperlink ref="B201" location="'114-5741-000'!A1" display="114-5741-000"/>
    <hyperlink ref="B74" location="'01-34005'!A1" display="01-34005"/>
    <hyperlink ref="B31" location="'01-34006'!A1" display="01-34006"/>
    <hyperlink ref="B32" location="'01-35670B'!A1" display="01-35670B"/>
    <hyperlink ref="B167" location="'01-39055'!A1" display="01-39055"/>
    <hyperlink ref="B41" location="'01-34219'!A1" display="01-34219"/>
    <hyperlink ref="B8" location="'114A4464'!A1" display="114A4464"/>
    <hyperlink ref="B28" location="'114-5692-000'!A1" display="114-5692-000"/>
    <hyperlink ref="B97" location="'114A2074I-1'!A1" display="114A2074I-1"/>
    <hyperlink ref="B15" location="'114A3935E'!A1" display="114A3935E"/>
    <hyperlink ref="B25" location="'114-5681-000'!A1" display="114-5681-000"/>
    <hyperlink ref="B26" location="'114-5566-000'!A1" display="114-5566-000"/>
    <hyperlink ref="B140" location="'002A2027'!A1" display="002A2027"/>
  </hyperlinks>
  <pageMargins left="0.7" right="0.7" top="0.75" bottom="0.75" header="0.3" footer="0.3"/>
  <pageSetup paperSize="171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7">
    <tabColor theme="4" tint="0.59999389629810485"/>
  </sheetPr>
  <dimension ref="A1:XEY65"/>
  <sheetViews>
    <sheetView workbookViewId="0">
      <selection activeCell="C13" sqref="C13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4.5546875" style="120" customWidth="1"/>
    <col min="4" max="4" width="14.77734375" style="120" customWidth="1"/>
    <col min="5" max="5" width="12.33203125" style="120" customWidth="1"/>
    <col min="6" max="6" width="70.109375" style="120" customWidth="1"/>
    <col min="7" max="7" width="18.44140625" style="18" bestFit="1" customWidth="1"/>
    <col min="8" max="8" width="27.21875" style="18" customWidth="1"/>
    <col min="9" max="9" width="13.77734375" style="18" customWidth="1"/>
    <col min="10" max="11" width="12.44140625" style="18" bestFit="1" customWidth="1"/>
    <col min="12" max="12" width="13.109375" style="18" customWidth="1"/>
    <col min="13" max="13" width="15.5546875" style="181" customWidth="1"/>
    <col min="14" max="14" width="14.5546875" style="181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82" t="s">
        <v>316</v>
      </c>
      <c r="C1" s="182"/>
      <c r="D1" s="182"/>
      <c r="E1" s="182"/>
      <c r="F1" s="182"/>
    </row>
    <row r="2" spans="1:19 16376:16379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9 16376:16379" x14ac:dyDescent="0.3">
      <c r="B3" s="182"/>
      <c r="C3" s="182"/>
      <c r="D3" s="182"/>
      <c r="E3" s="182"/>
      <c r="F3" s="182"/>
    </row>
    <row r="4" spans="1:19 16376:16379" s="22" customFormat="1" x14ac:dyDescent="0.3">
      <c r="A4" s="38" t="s">
        <v>0</v>
      </c>
      <c r="B4" s="162" t="s">
        <v>341</v>
      </c>
      <c r="C4" s="21" t="s">
        <v>192</v>
      </c>
      <c r="D4" s="21" t="s">
        <v>382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6272</v>
      </c>
      <c r="C5" s="40">
        <v>6272</v>
      </c>
      <c r="D5" s="40">
        <v>6272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6</v>
      </c>
      <c r="L6" s="129">
        <f>$B$7/$B$36</f>
        <v>7.0468536092671966E-2</v>
      </c>
      <c r="M6" s="120"/>
      <c r="N6" s="120"/>
      <c r="O6" s="120"/>
      <c r="P6" s="120"/>
      <c r="Q6" s="120"/>
      <c r="S6" s="27"/>
      <c r="XEV6" s="18">
        <v>80</v>
      </c>
      <c r="XEW6" s="18" t="s">
        <v>297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4000</v>
      </c>
      <c r="C7" s="24"/>
      <c r="D7" s="74">
        <f>SUM(Tabla6121732527277102112117132147192262[[#This Row],[MANUAL]:[ETIQUETAS]])</f>
        <v>4000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301</v>
      </c>
      <c r="L7" s="129">
        <f>$B$33/$B$36</f>
        <v>5.9898255678771167E-3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33907.86</v>
      </c>
      <c r="C8" s="24"/>
      <c r="D8" s="74">
        <f>SUM(Tabla6121732527277102112117132147192262[[#This Row],[MANUAL]:[ETIQUETAS]])</f>
        <v>33907.86</v>
      </c>
      <c r="E8" s="34"/>
      <c r="F8" s="39" t="s">
        <v>9</v>
      </c>
      <c r="H8" s="18" t="s">
        <v>124</v>
      </c>
      <c r="I8" s="18" t="s">
        <v>118</v>
      </c>
      <c r="K8" s="39" t="s">
        <v>53</v>
      </c>
      <c r="L8" s="129">
        <f>$B$28/$B$36</f>
        <v>9.9009900990099011E-3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12800</v>
      </c>
      <c r="C9" s="24"/>
      <c r="D9" s="74">
        <f>SUM(Tabla6121732527277102112117132147192262[[#This Row],[MANUAL]:[ETIQUETAS]])</f>
        <v>12800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14</v>
      </c>
      <c r="L9" s="129">
        <f>$B$10/$B$36</f>
        <v>1.6912448662241272E-2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>
        <f>ROUNDUP(B58/1000,0)*$I$33</f>
        <v>960</v>
      </c>
      <c r="C10" s="24"/>
      <c r="D10" s="74">
        <f>SUM(Tabla6121732527277102112117132147192262[[#This Row],[MANUAL]:[ETIQUETAS]])</f>
        <v>960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60</v>
      </c>
      <c r="L10" s="129">
        <f>$B$32/$B$36</f>
        <v>1.6516063146719991E-2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133</v>
      </c>
      <c r="K11" s="39" t="s">
        <v>62</v>
      </c>
      <c r="L11" s="129">
        <f>$B$34/$B$36</f>
        <v>3.0829984540543982E-2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1020</v>
      </c>
      <c r="K12" s="39" t="s">
        <v>11</v>
      </c>
      <c r="L12" s="129">
        <f>$B$9/$B$36</f>
        <v>0.22549931549655028</v>
      </c>
      <c r="M12" s="120"/>
      <c r="N12" s="120"/>
      <c r="O12" s="120"/>
      <c r="P12" s="120"/>
      <c r="XEV12" s="18">
        <v>150</v>
      </c>
    </row>
    <row r="13" spans="1:19 16376:16379" ht="75.599999999999994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42" t="s">
        <v>113</v>
      </c>
      <c r="L13" s="129">
        <f>$B$15/$B$36</f>
        <v>2.6523522335568529E-2</v>
      </c>
      <c r="M13" s="120"/>
      <c r="N13" s="120"/>
      <c r="O13" s="120"/>
      <c r="P13" s="120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80</v>
      </c>
      <c r="K14" s="39" t="s">
        <v>8</v>
      </c>
      <c r="L14" s="129">
        <f>$B$8/$B$36</f>
        <v>0.59735931405881704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1505.5526228436418</v>
      </c>
      <c r="C15" s="24"/>
      <c r="D15" s="74">
        <f>SUM(Tabla6121732527277102112117132147192262[[#This Row],[MANUAL]:[ETIQUETAS]])</f>
        <v>1505.5526228436418</v>
      </c>
      <c r="E15" s="34">
        <v>90</v>
      </c>
      <c r="F15" s="43" t="s">
        <v>28</v>
      </c>
      <c r="G15" s="120"/>
      <c r="H15" s="18" t="s">
        <v>138</v>
      </c>
      <c r="I15" s="36">
        <f>'Acomodo Familia A10'!M10*2</f>
        <v>16</v>
      </c>
      <c r="J15" s="20"/>
      <c r="K15" s="22" t="s">
        <v>38</v>
      </c>
      <c r="L15" s="128">
        <f>SUBTOTAL(109,Tabla1341530507075100110115130145190260[Contribución])</f>
        <v>1</v>
      </c>
      <c r="M15" s="28"/>
      <c r="N15" s="28"/>
      <c r="O15" s="28"/>
      <c r="P15" s="28"/>
      <c r="XEV15" s="18" t="s">
        <v>298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16</v>
      </c>
      <c r="K16" s="181"/>
      <c r="L16" s="181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5</v>
      </c>
      <c r="K17" s="181"/>
      <c r="L17" s="181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10</v>
      </c>
      <c r="K18" s="181"/>
      <c r="L18" s="181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81"/>
      <c r="L19" s="181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81"/>
      <c r="L20" s="181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303</v>
      </c>
      <c r="I21" s="59">
        <f>Compaginado!F18</f>
        <v>0.24004346665236637</v>
      </c>
      <c r="K21" s="181"/>
      <c r="L21" s="181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300</v>
      </c>
      <c r="K22" s="181"/>
      <c r="L22" s="181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11000</v>
      </c>
      <c r="K23" s="181"/>
      <c r="L23" s="181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81"/>
      <c r="L24" s="181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81"/>
      <c r="L25" s="181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>
        <f>SUM(B6:B27,B29:B35)*$I$27</f>
        <v>562.00912622843646</v>
      </c>
      <c r="C28" s="24"/>
      <c r="D28" s="74">
        <f>SUM(Tabla6121732527277102112117132147192262[[#This Row],[MANUAL]:[ETIQUETAS]])</f>
        <v>562.00912622843646</v>
      </c>
      <c r="E28" s="44" t="s">
        <v>54</v>
      </c>
      <c r="F28" s="39" t="s">
        <v>55</v>
      </c>
      <c r="H28" s="64" t="s">
        <v>173</v>
      </c>
      <c r="I28" s="64">
        <v>35</v>
      </c>
      <c r="K28" s="181"/>
      <c r="L28" s="181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81"/>
      <c r="L29" s="181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81"/>
      <c r="L30" s="181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301</v>
      </c>
      <c r="I31" s="18">
        <v>170</v>
      </c>
      <c r="M31" s="18"/>
      <c r="N31" s="18"/>
    </row>
    <row r="32" spans="1:20" x14ac:dyDescent="0.25">
      <c r="A32" s="39" t="s">
        <v>60</v>
      </c>
      <c r="B32" s="24">
        <f>ROUNDUP(B34/$I$28,0)/$I$29*$I$30</f>
        <v>937.5</v>
      </c>
      <c r="C32" s="24"/>
      <c r="D32" s="74">
        <f>SUM(Tabla6121732527277102112117132147192262[[#This Row],[MANUAL]:[ETIQUETAS]])</f>
        <v>937.5</v>
      </c>
      <c r="E32" s="39">
        <v>100</v>
      </c>
      <c r="F32" s="39" t="s">
        <v>61</v>
      </c>
      <c r="H32" s="18" t="s">
        <v>302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301</v>
      </c>
      <c r="B33" s="24">
        <f>ROUNDUP(B34/$I$28/$I$32,0)*$I$31</f>
        <v>340</v>
      </c>
      <c r="C33" s="24"/>
      <c r="D33" s="74">
        <f>SUM(Tabla6121732527277102112117132147192262[[#This Row],[MANUAL]:[ETIQUETAS]])</f>
        <v>340</v>
      </c>
      <c r="E33" s="39"/>
      <c r="F33" s="39"/>
      <c r="H33" s="120" t="s">
        <v>304</v>
      </c>
      <c r="I33" s="120">
        <v>30</v>
      </c>
      <c r="K33" s="181"/>
      <c r="L33" s="181"/>
      <c r="M33" s="28"/>
      <c r="N33" s="28"/>
      <c r="O33" s="28"/>
      <c r="P33" s="28"/>
    </row>
    <row r="34" spans="1:16" x14ac:dyDescent="0.25">
      <c r="A34" s="39" t="s">
        <v>62</v>
      </c>
      <c r="B34" s="24">
        <f>ROUNDUP(B5/'Embalaje Familia A10'!$M$8,0)*$I$28</f>
        <v>1750</v>
      </c>
      <c r="C34" s="24"/>
      <c r="D34" s="74">
        <f>SUM(Tabla6121732527277102112117132147192262[[#This Row],[MANUAL]:[ETIQUETAS]])</f>
        <v>1750</v>
      </c>
      <c r="E34" s="39">
        <v>30</v>
      </c>
      <c r="F34" s="39" t="s">
        <v>63</v>
      </c>
      <c r="K34" s="181"/>
      <c r="L34" s="181"/>
      <c r="M34" s="28"/>
      <c r="N34" s="28"/>
      <c r="O34" s="28"/>
      <c r="P34" s="28"/>
    </row>
    <row r="35" spans="1:16" ht="14.4" thickBot="1" x14ac:dyDescent="0.3">
      <c r="A35" s="39" t="s">
        <v>176</v>
      </c>
      <c r="B35" s="163"/>
      <c r="C35" s="24">
        <f>Tabla6121732527277102112117132147192262[[#This Row],[Parametro]]*C5</f>
        <v>14137.96608</v>
      </c>
      <c r="D35" s="74">
        <f>SUM(Tabla6121732527277102112117132147192262[[#This Row],[MANUAL]:[ETIQUETAS]])</f>
        <v>14137.96608</v>
      </c>
      <c r="E35" s="39">
        <v>2.25414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56762.921749072077</v>
      </c>
      <c r="C36" s="81">
        <f>SUM(C7:C35)</f>
        <v>14137.96608</v>
      </c>
      <c r="D36" s="136">
        <f>SUM(Tabla6121732527277102112117132147192262[[#This Row],[MANUAL]:[ETIQUETAS]])</f>
        <v>70900.887829072075</v>
      </c>
      <c r="E36" s="39"/>
      <c r="F36" s="39"/>
      <c r="K36" s="181"/>
      <c r="L36" s="181"/>
      <c r="M36" s="28"/>
      <c r="N36" s="28"/>
      <c r="O36" s="28"/>
      <c r="P36" s="28"/>
    </row>
    <row r="37" spans="1:16" ht="14.4" thickTop="1" x14ac:dyDescent="0.25">
      <c r="A37" s="75" t="s">
        <v>65</v>
      </c>
      <c r="B37" s="76">
        <v>0.5</v>
      </c>
      <c r="C37" s="76">
        <v>0.5</v>
      </c>
      <c r="D37" s="76">
        <v>0.5</v>
      </c>
      <c r="E37" s="39"/>
      <c r="F37" s="39"/>
      <c r="K37" s="181"/>
      <c r="L37" s="181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81"/>
      <c r="L38" s="181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85144.382623608108</v>
      </c>
      <c r="C39" s="24">
        <f t="shared" ref="C39:D39" si="0">C36*(1+C37)</f>
        <v>21206.949120000001</v>
      </c>
      <c r="D39" s="24">
        <f t="shared" si="0"/>
        <v>106351.33174360811</v>
      </c>
      <c r="E39" s="39"/>
      <c r="F39" s="39"/>
      <c r="H39" s="165"/>
      <c r="K39" s="181"/>
      <c r="L39" s="181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94604.869581786785</v>
      </c>
      <c r="C40" s="81">
        <f t="shared" ref="C40:D40" si="1">C39/0.9</f>
        <v>23563.2768</v>
      </c>
      <c r="D40" s="81">
        <f t="shared" si="1"/>
        <v>118168.14638178679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15.083684563422638</v>
      </c>
      <c r="C41" s="24">
        <f t="shared" ref="C41:D41" si="2">+C40/C5</f>
        <v>3.7568999999999999</v>
      </c>
      <c r="D41" s="24">
        <f t="shared" si="2"/>
        <v>18.840584563422638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0.84313496721199765</v>
      </c>
      <c r="C43" s="32">
        <f t="shared" ref="C43:D43" si="3">+C41/C42</f>
        <v>0.21</v>
      </c>
      <c r="D43" s="32">
        <f t="shared" si="3"/>
        <v>1.0531349672119976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843.1349672119976</v>
      </c>
      <c r="C44" s="83">
        <f t="shared" ref="C44:D44" si="4">+C43*1000</f>
        <v>210</v>
      </c>
      <c r="D44" s="83">
        <f t="shared" si="4"/>
        <v>1053.1349672119977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>
        <f>SUM(Tabla6121732527277102112117132147192262[[#This Row],[MANUAL]:[ETIQUETAS]])</f>
        <v>0</v>
      </c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5">+B44-B45</f>
        <v>843.1349672119976</v>
      </c>
      <c r="C46" s="33"/>
      <c r="D46" s="74">
        <f>SUM(Tabla6121732527277102112117132147192262[[#This Row],[MANUAL]:[ETIQUETAS]])</f>
        <v>843.1349672119976</v>
      </c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94604.869581786785</v>
      </c>
      <c r="C47" s="48"/>
      <c r="D47" s="74">
        <f>SUM(Tabla6121732527277102112117132147192262[[#This Row],[MANUAL]:[ETIQUETAS]])</f>
        <v>94604.869581786785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56762.921749072077</v>
      </c>
      <c r="C48" s="48"/>
      <c r="D48" s="74">
        <f>SUM(Tabla6121732527277102112117132147192262[[#This Row],[MANUAL]:[ETIQUETAS]])</f>
        <v>56762.921749072077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37841.947832714708</v>
      </c>
      <c r="C49" s="49"/>
      <c r="D49" s="74">
        <f>SUM(Tabla6121732527277102112117132147192262[[#This Row],[MANUAL]:[ETIQUETAS]])</f>
        <v>37841.947832714708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6">+B49/B47</f>
        <v>0.39999999999999991</v>
      </c>
      <c r="C50" s="50"/>
      <c r="D50" s="50">
        <f t="shared" si="6"/>
        <v>0.39999999999999991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7">B48/B47</f>
        <v>0.60000000000000009</v>
      </c>
      <c r="C51" s="50"/>
      <c r="D51" s="50">
        <f t="shared" si="7"/>
        <v>0.60000000000000009</v>
      </c>
      <c r="E51" s="39"/>
      <c r="F51" s="44"/>
      <c r="G51" s="50"/>
      <c r="H51" s="44"/>
      <c r="I51" s="120"/>
      <c r="J51" s="52"/>
      <c r="O51" s="181"/>
      <c r="P51" s="181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81"/>
      <c r="L52" s="181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20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20" x14ac:dyDescent="0.25">
      <c r="A56" s="70" t="s">
        <v>82</v>
      </c>
      <c r="B56" s="53">
        <f>ROUNDUP(B5*$I$17,0)</f>
        <v>31360</v>
      </c>
      <c r="C56" s="54"/>
      <c r="D56" s="55"/>
      <c r="E56" s="18"/>
      <c r="F56" s="18"/>
      <c r="K56" s="28"/>
      <c r="L56" s="28"/>
      <c r="M56" s="28"/>
      <c r="N56" s="28"/>
    </row>
    <row r="57" spans="1:20" ht="14.4" customHeight="1" x14ac:dyDescent="0.25">
      <c r="A57" s="70" t="s">
        <v>83</v>
      </c>
      <c r="B57" s="53">
        <f>ROUNDUP(B5/$I$23,0)*$I$22</f>
        <v>300</v>
      </c>
      <c r="C57" s="39"/>
      <c r="D57" s="55"/>
      <c r="E57" s="18"/>
      <c r="F57" s="18"/>
      <c r="K57" s="28"/>
      <c r="L57" s="28"/>
      <c r="M57" s="28"/>
      <c r="N57" s="28"/>
    </row>
    <row r="58" spans="1:20" x14ac:dyDescent="0.25">
      <c r="A58" s="70" t="s">
        <v>84</v>
      </c>
      <c r="B58" s="53">
        <f>SUM(B56:B57)</f>
        <v>31660</v>
      </c>
      <c r="C58" s="39"/>
      <c r="D58" s="56"/>
      <c r="E58" s="18"/>
      <c r="F58" s="18"/>
      <c r="K58" s="28"/>
      <c r="L58" s="28"/>
      <c r="M58" s="28"/>
      <c r="N58" s="28"/>
    </row>
    <row r="59" spans="1:20" x14ac:dyDescent="0.3">
      <c r="A59" s="70" t="s">
        <v>85</v>
      </c>
      <c r="B59" s="34">
        <f>+B55*B58</f>
        <v>33907.86</v>
      </c>
      <c r="C59" s="39"/>
      <c r="D59" s="39"/>
      <c r="E59" s="39"/>
      <c r="F59" s="18"/>
      <c r="K59" s="181"/>
      <c r="L59" s="181"/>
      <c r="M59" s="18"/>
      <c r="N59" s="18"/>
    </row>
    <row r="60" spans="1:20" x14ac:dyDescent="0.3">
      <c r="A60" s="70" t="s">
        <v>154</v>
      </c>
      <c r="B60" s="54">
        <f>B57/B56</f>
        <v>9.5663265306122451E-3</v>
      </c>
      <c r="C60" s="39"/>
      <c r="D60" s="39"/>
      <c r="E60" s="53"/>
      <c r="F60" s="39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9460.486958178677</v>
      </c>
      <c r="C62" s="35">
        <f t="shared" ref="C62:D62" si="8">C40-C39</f>
        <v>2356.3276799999985</v>
      </c>
      <c r="D62" s="35">
        <f t="shared" si="8"/>
        <v>11816.814638178679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66223.408707250754</v>
      </c>
      <c r="C63" s="35">
        <f t="shared" ref="C63:D63" si="9">C36+C62</f>
        <v>16494.29376</v>
      </c>
      <c r="D63" s="35">
        <f t="shared" si="9"/>
        <v>82717.702467250754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94604.869581786785</v>
      </c>
      <c r="C64" s="35">
        <f t="shared" ref="C64:D64" si="10">C40</f>
        <v>23563.2768</v>
      </c>
      <c r="D64" s="35">
        <f t="shared" si="10"/>
        <v>118168.14638178679</v>
      </c>
      <c r="E64" s="18"/>
      <c r="F64" s="18"/>
      <c r="K64" s="181"/>
      <c r="L64" s="181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71">
        <f t="shared" ref="C65:D65" si="11">(C64-C63)/C64</f>
        <v>0.3</v>
      </c>
      <c r="D65" s="71">
        <f t="shared" si="11"/>
        <v>0.3</v>
      </c>
      <c r="F65" s="18"/>
    </row>
  </sheetData>
  <mergeCells count="1">
    <mergeCell ref="B1:F3"/>
  </mergeCells>
  <dataValidations count="4">
    <dataValidation type="list" allowBlank="1" showInputMessage="1" showErrorMessage="1" sqref="I10">
      <formula1>$XEV$5:$XEV$15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8">
      <formula1>$XEX$5:$XEX$10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6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81" customWidth="1"/>
    <col min="14" max="14" width="14.5546875" style="181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308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384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91316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7.6317599890025475E-3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6.4869959906521651E-3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51523.667999999998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1.4023358979792181E-2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2.5936059337625845E-2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4.8413977430234914E-2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0.18697811973056241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0.2091084035318064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0.49152033491131364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21919.809200827487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SUBTOTAL(109,Tabla134153050708085210245[Contribución])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81"/>
      <c r="J16" s="181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81"/>
      <c r="J17" s="181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81"/>
      <c r="J18" s="181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81"/>
      <c r="J19" s="181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81"/>
      <c r="J20" s="181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81"/>
      <c r="J21" s="181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81"/>
      <c r="J22" s="181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81"/>
      <c r="J23" s="181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81"/>
      <c r="J24" s="181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81"/>
      <c r="J25" s="181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1037.8722720082749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81"/>
      <c r="J28" s="181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81"/>
      <c r="J29" s="181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81"/>
      <c r="J30" s="181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2718.75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680</v>
      </c>
      <c r="C33" s="39"/>
      <c r="D33" s="39"/>
      <c r="E33" s="18"/>
      <c r="F33" s="120" t="s">
        <v>304</v>
      </c>
      <c r="G33" s="120">
        <v>30</v>
      </c>
      <c r="I33" s="181"/>
      <c r="J33" s="181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5075</v>
      </c>
      <c r="C34" s="39">
        <v>30</v>
      </c>
      <c r="D34" s="39" t="s">
        <v>63</v>
      </c>
      <c r="E34" s="18"/>
      <c r="F34" s="18"/>
      <c r="I34" s="181"/>
      <c r="J34" s="181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104825.09947283576</v>
      </c>
      <c r="C36" s="39"/>
      <c r="D36" s="39"/>
      <c r="E36" s="18"/>
      <c r="F36" s="18"/>
      <c r="I36" s="181"/>
      <c r="J36" s="181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81"/>
      <c r="J37" s="181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81"/>
      <c r="J38" s="181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157237.64920925364</v>
      </c>
      <c r="C39" s="39"/>
      <c r="D39" s="39"/>
      <c r="E39" s="18"/>
      <c r="F39" s="18"/>
      <c r="I39" s="181"/>
      <c r="J39" s="181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174708.49912139293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1.913229873421886</v>
      </c>
      <c r="C41" s="39"/>
      <c r="D41" s="39"/>
      <c r="E41" s="18"/>
      <c r="F41" s="18">
        <v>100</v>
      </c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>
        <v>11</v>
      </c>
      <c r="G42" s="18">
        <f>(F42/F43)^F41</f>
        <v>13780.612339822364</v>
      </c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0.10694409577539887</v>
      </c>
      <c r="C43" s="45"/>
      <c r="D43" s="39"/>
      <c r="E43" s="18"/>
      <c r="F43" s="18">
        <v>10</v>
      </c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106.94409577539888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106.94409577539888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174708.49912139293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104825.09947283576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69883.39964855717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81"/>
      <c r="L50" s="181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81"/>
      <c r="L51" s="181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81"/>
      <c r="L52" s="181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45658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2450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48108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51523.667999999998</v>
      </c>
      <c r="C59" s="39"/>
      <c r="D59" s="39"/>
      <c r="E59" s="39"/>
      <c r="F59" s="18"/>
      <c r="K59" s="181"/>
      <c r="L59" s="181"/>
      <c r="M59" s="18"/>
      <c r="N59" s="18"/>
    </row>
    <row r="60" spans="1:18" x14ac:dyDescent="0.3">
      <c r="A60" s="70" t="s">
        <v>154</v>
      </c>
      <c r="B60" s="54">
        <f>B57/B56</f>
        <v>5.3659818651714923E-2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17470.849912139296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122295.94938497506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174708.49912139293</v>
      </c>
      <c r="C64" s="18"/>
      <c r="D64" s="18"/>
      <c r="E64" s="18"/>
      <c r="F64" s="18"/>
      <c r="K64" s="181"/>
      <c r="L64" s="181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5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81" customWidth="1"/>
    <col min="14" max="14" width="14.5546875" style="181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308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381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93802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7.4509025309968894E-3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6.3332671513473557E-3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52854.920999999995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20000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1.3970442245619167E-2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1500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2.5845318154395461E-2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4.8244593888204859E-2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0.18627256327492223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0.20971084183732833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0.49227108081817572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22516.55725892527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SUBTOTAL(109,Tabla134153050708085210[Contribución])</f>
        <v>0.99999999999999989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81"/>
      <c r="J16" s="181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81"/>
      <c r="J17" s="181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81"/>
      <c r="J18" s="181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81"/>
      <c r="J19" s="181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81"/>
      <c r="J20" s="181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81"/>
      <c r="J21" s="181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81"/>
      <c r="J22" s="181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81"/>
      <c r="J23" s="181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81"/>
      <c r="J24" s="181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81"/>
      <c r="J25" s="181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1063.0647825892527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81"/>
      <c r="J28" s="181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81"/>
      <c r="J29" s="181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81"/>
      <c r="J30" s="181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2775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680</v>
      </c>
      <c r="C33" s="39"/>
      <c r="D33" s="39"/>
      <c r="E33" s="18"/>
      <c r="F33" s="120" t="s">
        <v>304</v>
      </c>
      <c r="G33" s="120">
        <v>30</v>
      </c>
      <c r="I33" s="181"/>
      <c r="J33" s="181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5180</v>
      </c>
      <c r="C34" s="39">
        <v>30</v>
      </c>
      <c r="D34" s="39" t="s">
        <v>63</v>
      </c>
      <c r="E34" s="18"/>
      <c r="F34" s="18"/>
      <c r="I34" s="181"/>
      <c r="J34" s="181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107369.54304151452</v>
      </c>
      <c r="C36" s="39"/>
      <c r="D36" s="39"/>
      <c r="E36" s="18"/>
      <c r="F36" s="18"/>
      <c r="I36" s="181"/>
      <c r="J36" s="181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81"/>
      <c r="J37" s="181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81"/>
      <c r="J38" s="181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161054.31456227179</v>
      </c>
      <c r="C39" s="39"/>
      <c r="D39" s="39"/>
      <c r="E39" s="18"/>
      <c r="F39" s="18"/>
      <c r="I39" s="181"/>
      <c r="J39" s="181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178949.23840252421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1.9077337199902369</v>
      </c>
      <c r="C41" s="39"/>
      <c r="D41" s="39"/>
      <c r="E41" s="18"/>
      <c r="F41" s="18">
        <v>100</v>
      </c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>
        <v>11</v>
      </c>
      <c r="G42" s="18">
        <f>(F42/F43)^F41</f>
        <v>13780.612339822364</v>
      </c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0.10663687646675443</v>
      </c>
      <c r="C43" s="45"/>
      <c r="D43" s="39"/>
      <c r="E43" s="18"/>
      <c r="F43" s="18">
        <v>10</v>
      </c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106.63687646675443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106.63687646675443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178949.23840252421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107369.54304151452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71579.695361009683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81"/>
      <c r="L50" s="181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81"/>
      <c r="L51" s="181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81"/>
      <c r="L52" s="181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46901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2450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49351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52854.920999999995</v>
      </c>
      <c r="C59" s="39"/>
      <c r="D59" s="39"/>
      <c r="E59" s="39"/>
      <c r="F59" s="18"/>
      <c r="K59" s="181"/>
      <c r="L59" s="181"/>
      <c r="M59" s="18"/>
      <c r="N59" s="18"/>
    </row>
    <row r="60" spans="1:18" x14ac:dyDescent="0.3">
      <c r="A60" s="70" t="s">
        <v>154</v>
      </c>
      <c r="B60" s="54">
        <f>B57/B56</f>
        <v>5.2237692160081874E-2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17894.923840252421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125264.46688176694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178949.23840252421</v>
      </c>
      <c r="C64" s="18"/>
      <c r="D64" s="18"/>
      <c r="E64" s="18"/>
      <c r="F64" s="18"/>
      <c r="K64" s="181"/>
      <c r="L64" s="181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4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81" customWidth="1"/>
    <col min="14" max="14" width="14.5546875" style="181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307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383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184306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6.4542314033069681E-3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2.7430483464054617E-3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52347.267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1.1859650203576554E-2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1.1042786541595516E-2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2.0613201544311632E-2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0.15812866938102071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0.35693070429490514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0.4223267181858682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44241.451164831036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SUBTOTAL(109,Tabla13415305045205[Contribución])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81"/>
      <c r="J16" s="181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81"/>
      <c r="J17" s="181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81"/>
      <c r="J18" s="181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81"/>
      <c r="J19" s="181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81"/>
      <c r="J20" s="181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81"/>
      <c r="J21" s="181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81"/>
      <c r="J22" s="181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81"/>
      <c r="J23" s="181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81"/>
      <c r="J24" s="181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81"/>
      <c r="J25" s="181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1227.2246816483103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81"/>
      <c r="J28" s="181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81"/>
      <c r="J29" s="181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81"/>
      <c r="J30" s="181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1368.75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340</v>
      </c>
      <c r="C33" s="39"/>
      <c r="D33" s="39"/>
      <c r="E33" s="18"/>
      <c r="F33" s="120" t="s">
        <v>304</v>
      </c>
      <c r="G33" s="120">
        <v>30</v>
      </c>
      <c r="I33" s="181"/>
      <c r="J33" s="181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2555</v>
      </c>
      <c r="C34" s="39">
        <v>30</v>
      </c>
      <c r="D34" s="39" t="s">
        <v>63</v>
      </c>
      <c r="E34" s="18"/>
      <c r="F34" s="18"/>
      <c r="I34" s="181"/>
      <c r="J34" s="181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123949.69284647933</v>
      </c>
      <c r="C36" s="39"/>
      <c r="D36" s="39"/>
      <c r="E36" s="18"/>
      <c r="F36" s="18"/>
      <c r="I36" s="181"/>
      <c r="J36" s="181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81"/>
      <c r="J37" s="181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81"/>
      <c r="J38" s="181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185924.53926971898</v>
      </c>
      <c r="C39" s="39"/>
      <c r="D39" s="39"/>
      <c r="E39" s="18"/>
      <c r="F39" s="18"/>
      <c r="I39" s="181"/>
      <c r="J39" s="181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206582.82141079888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1.1208686717241918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6.2653363427847497E-2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62.653363427847495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62.653363427847495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206582.8214107989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123949.69284647933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82633.128564319573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81"/>
      <c r="L50" s="181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81"/>
      <c r="L51" s="181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81"/>
      <c r="L52" s="181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46077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48877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52347.267</v>
      </c>
      <c r="C59" s="39"/>
      <c r="D59" s="39"/>
      <c r="E59" s="39"/>
      <c r="F59" s="18"/>
      <c r="K59" s="181"/>
      <c r="L59" s="181"/>
      <c r="M59" s="18"/>
      <c r="N59" s="18"/>
    </row>
    <row r="60" spans="1:18" x14ac:dyDescent="0.3">
      <c r="A60" s="70" t="s">
        <v>154</v>
      </c>
      <c r="B60" s="54">
        <f>B57/B56</f>
        <v>6.0767845128806126E-2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20658.282141079893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144607.97498755922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206582.82141079888</v>
      </c>
      <c r="C64" s="18"/>
      <c r="D64" s="18"/>
      <c r="E64" s="18"/>
      <c r="F64" s="18"/>
      <c r="K64" s="181"/>
      <c r="L64" s="181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3">
    <tabColor theme="4" tint="-0.499984740745262"/>
  </sheetPr>
  <dimension ref="A1:XEW65"/>
  <sheetViews>
    <sheetView workbookViewId="0">
      <selection activeCell="D44" sqref="D44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81" customWidth="1"/>
    <col min="14" max="14" width="14.5546875" style="181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1208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380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70105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7.7718975811844728E-3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4.9545847080051013E-3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56526.308999999994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21200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1.5446646442604139E-2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1590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1.5118769513397922E-2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2.8221703091676115E-2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0.20595528590138854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0.16348426742475131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0.54914585523798254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16828.247229664143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SUBTOTAL(109,Tabla13415305060195[Contribución])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81"/>
      <c r="J16" s="181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81"/>
      <c r="J17" s="181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81"/>
      <c r="J18" s="181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81"/>
      <c r="J19" s="181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81"/>
      <c r="J20" s="181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81"/>
      <c r="J21" s="181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81"/>
      <c r="J22" s="181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81"/>
      <c r="J23" s="181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81"/>
      <c r="J24" s="181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81"/>
      <c r="J25" s="181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1019.1580622966413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81"/>
      <c r="J28" s="181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81"/>
      <c r="J29" s="181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81"/>
      <c r="J30" s="181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1556.2500000000002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510</v>
      </c>
      <c r="C33" s="39"/>
      <c r="D33" s="39"/>
      <c r="E33" s="18"/>
      <c r="F33" s="120" t="s">
        <v>304</v>
      </c>
      <c r="G33" s="120">
        <v>30</v>
      </c>
      <c r="I33" s="181"/>
      <c r="J33" s="181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2905</v>
      </c>
      <c r="C34" s="39">
        <v>30</v>
      </c>
      <c r="D34" s="39" t="s">
        <v>63</v>
      </c>
      <c r="E34" s="18"/>
      <c r="F34" s="18"/>
      <c r="I34" s="181"/>
      <c r="J34" s="181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102934.96429196077</v>
      </c>
      <c r="C36" s="39"/>
      <c r="D36" s="39"/>
      <c r="E36" s="18"/>
      <c r="F36" s="18"/>
      <c r="I36" s="181"/>
      <c r="J36" s="181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81"/>
      <c r="J37" s="181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81"/>
      <c r="J38" s="181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154402.44643794117</v>
      </c>
      <c r="C39" s="39"/>
      <c r="D39" s="39"/>
      <c r="E39" s="18"/>
      <c r="F39" s="18"/>
      <c r="I39" s="181"/>
      <c r="J39" s="181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171558.27381993463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2.4471617405311266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0.13678936503807304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136.78936503807304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136.78936503807304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171558.27381993463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102934.96429196077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68623.309527973863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81"/>
      <c r="L50" s="181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81"/>
      <c r="L51" s="181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81"/>
      <c r="L52" s="181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52579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52779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56526.308999999994</v>
      </c>
      <c r="C59" s="39"/>
      <c r="D59" s="39"/>
      <c r="E59" s="39"/>
      <c r="F59" s="18"/>
      <c r="K59" s="181"/>
      <c r="L59" s="181"/>
      <c r="M59" s="18"/>
      <c r="N59" s="18"/>
    </row>
    <row r="60" spans="1:18" x14ac:dyDescent="0.3">
      <c r="A60" s="70" t="s">
        <v>154</v>
      </c>
      <c r="B60" s="54">
        <f>B57/B56</f>
        <v>3.8037999961961998E-3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17155.827381993469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120090.79167395424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171558.27381993463</v>
      </c>
      <c r="C64" s="18"/>
      <c r="D64" s="18"/>
      <c r="E64" s="18"/>
      <c r="F64" s="18"/>
      <c r="K64" s="181"/>
      <c r="L64" s="181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6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9" customWidth="1"/>
    <col min="14" max="14" width="14.5546875" style="179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348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212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646440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3.5233247569604045E-3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2.9948260434163438E-3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43646.462999999996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5.417111813826622E-3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1230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1.0569974270881214E-2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1.9730618638978265E-2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7.2228157517688296E-2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0.68340916730716861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0.19222582955207035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B5*G21</f>
        <v>155173.69858275572</v>
      </c>
      <c r="C15" s="34">
        <v>90</v>
      </c>
      <c r="D15" s="43" t="s">
        <v>28</v>
      </c>
      <c r="F15" s="18" t="s">
        <v>138</v>
      </c>
      <c r="G15" s="36">
        <f>'Acomodo Familia E2'!M7*2</f>
        <v>32</v>
      </c>
      <c r="H15" s="20"/>
      <c r="I15" s="22" t="s">
        <v>38</v>
      </c>
      <c r="J15" s="128">
        <f>SUBTOTAL(109,Tabla1341530507075100110115130145150155160225170[Contribución])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79"/>
      <c r="J16" s="179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6.25E-2</v>
      </c>
      <c r="I17" s="179"/>
      <c r="J17" s="179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9"/>
      <c r="J18" s="179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9"/>
      <c r="J19" s="179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9"/>
      <c r="J20" s="179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79"/>
      <c r="J21" s="179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9"/>
      <c r="J22" s="179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933000</v>
      </c>
      <c r="I23" s="179"/>
      <c r="J23" s="179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9"/>
      <c r="J24" s="179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9"/>
      <c r="J25" s="179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2248.101615827557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9"/>
      <c r="J28" s="179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9"/>
      <c r="J29" s="179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9"/>
      <c r="J30" s="179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2400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680</v>
      </c>
      <c r="C33" s="39"/>
      <c r="D33" s="39"/>
      <c r="E33" s="18"/>
      <c r="F33" s="120" t="s">
        <v>304</v>
      </c>
      <c r="G33" s="120">
        <v>30</v>
      </c>
      <c r="I33" s="179"/>
      <c r="J33" s="179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E2'!$M$8,0)*$G$28</f>
        <v>4480</v>
      </c>
      <c r="C34" s="39">
        <v>30</v>
      </c>
      <c r="D34" s="39" t="s">
        <v>63</v>
      </c>
      <c r="E34" s="18"/>
      <c r="F34" s="18"/>
      <c r="I34" s="179"/>
      <c r="J34" s="179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227058.26319858327</v>
      </c>
      <c r="C36" s="39"/>
      <c r="D36" s="39"/>
      <c r="E36" s="18"/>
      <c r="F36" s="18"/>
      <c r="I36" s="179"/>
      <c r="J36" s="179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9"/>
      <c r="J37" s="179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9"/>
      <c r="J38" s="179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340587.39479787491</v>
      </c>
      <c r="C39" s="39"/>
      <c r="D39" s="39"/>
      <c r="E39" s="18"/>
      <c r="F39" s="18"/>
      <c r="I39" s="179"/>
      <c r="J39" s="179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378430.43866430543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0.58540690344704138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3.2722577051259999E-2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32.722577051259996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32.722577051259996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378430.43866430543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227058.26319858327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151372.17546572216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9"/>
      <c r="L50" s="179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9"/>
      <c r="L51" s="179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9"/>
      <c r="L52" s="179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40403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40753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43646.462999999996</v>
      </c>
      <c r="C59" s="39"/>
      <c r="D59" s="39"/>
      <c r="E59" s="39"/>
      <c r="F59" s="18"/>
      <c r="K59" s="179"/>
      <c r="L59" s="179"/>
      <c r="M59" s="18"/>
      <c r="N59" s="18"/>
    </row>
    <row r="60" spans="1:18" x14ac:dyDescent="0.3">
      <c r="A60" s="70" t="s">
        <v>154</v>
      </c>
      <c r="B60" s="54">
        <f>B57/B56</f>
        <v>8.6627230651189265E-3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37843.043866430526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264901.3070650138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378430.43866430543</v>
      </c>
      <c r="C64" s="18"/>
      <c r="D64" s="18"/>
      <c r="E64" s="18"/>
      <c r="F64" s="18"/>
      <c r="K64" s="179"/>
      <c r="L64" s="179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6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215.89999999999998</v>
      </c>
      <c r="E2" s="1" t="s">
        <v>89</v>
      </c>
      <c r="F2" s="2">
        <f>8.5*25.4</f>
        <v>215.89999999999998</v>
      </c>
      <c r="G2" s="1" t="s">
        <v>89</v>
      </c>
      <c r="H2" s="1" t="s">
        <v>90</v>
      </c>
    </row>
    <row r="3" spans="4:24" x14ac:dyDescent="0.25">
      <c r="D3" s="2">
        <f>F3</f>
        <v>139.69999999999999</v>
      </c>
      <c r="E3" s="1" t="s">
        <v>89</v>
      </c>
      <c r="F3" s="2">
        <v>139.69999999999999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4.0296433534043539</v>
      </c>
      <c r="K6" s="123" t="s">
        <v>95</v>
      </c>
      <c r="L6" s="124">
        <f>L5/$D$3</f>
        <v>4.08017179670723</v>
      </c>
      <c r="M6" s="124">
        <f>J6*L6</f>
        <v>16.441637161349188</v>
      </c>
      <c r="N6" s="90" t="s">
        <v>96</v>
      </c>
      <c r="O6" s="90"/>
      <c r="P6" s="90"/>
      <c r="R6" s="2">
        <f>R5/$D$2</f>
        <v>2.0148216767021769</v>
      </c>
      <c r="S6" s="3" t="s">
        <v>95</v>
      </c>
      <c r="T6" s="2">
        <f>T5/$D$3</f>
        <v>4.08017179670723</v>
      </c>
      <c r="U6" s="2">
        <f>R6*T6</f>
        <v>8.2208185806745941</v>
      </c>
      <c r="V6" s="1" t="s">
        <v>96</v>
      </c>
    </row>
    <row r="7" spans="4:24" x14ac:dyDescent="0.25">
      <c r="I7" s="185"/>
      <c r="J7" s="124">
        <f>ROUNDDOWN(J6,0)</f>
        <v>4</v>
      </c>
      <c r="K7" s="123" t="s">
        <v>95</v>
      </c>
      <c r="L7" s="124">
        <f>ROUNDDOWN(L6,0)</f>
        <v>4</v>
      </c>
      <c r="M7" s="124">
        <f>J7*L7</f>
        <v>16</v>
      </c>
      <c r="N7" s="90" t="s">
        <v>97</v>
      </c>
      <c r="O7" s="125">
        <f>M7/M6</f>
        <v>0.9731391006251261</v>
      </c>
      <c r="P7" s="90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0.9731391006251261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6.2276306370794563</v>
      </c>
      <c r="K9" s="123" t="s">
        <v>95</v>
      </c>
      <c r="L9" s="124">
        <f>L5/$D$2</f>
        <v>2.6401111625752667</v>
      </c>
      <c r="M9" s="124">
        <f>J9*L9</f>
        <v>16.441637161349192</v>
      </c>
      <c r="N9" s="90" t="s">
        <v>96</v>
      </c>
      <c r="O9" s="90"/>
      <c r="P9" s="90"/>
      <c r="R9" s="2">
        <f>R5/$D$3</f>
        <v>3.1138153185397281</v>
      </c>
      <c r="S9" s="3" t="s">
        <v>95</v>
      </c>
      <c r="T9" s="2">
        <f>T5/$D$2</f>
        <v>2.6401111625752667</v>
      </c>
      <c r="U9" s="2">
        <f>R9*T9</f>
        <v>8.2208185806745959</v>
      </c>
      <c r="V9" s="1" t="s">
        <v>96</v>
      </c>
    </row>
    <row r="10" spans="4:24" x14ac:dyDescent="0.25">
      <c r="I10" s="185"/>
      <c r="J10" s="124">
        <f>ROUNDDOWN(J9,0)</f>
        <v>6</v>
      </c>
      <c r="K10" s="123" t="s">
        <v>95</v>
      </c>
      <c r="L10" s="124">
        <f>ROUNDDOWN(L9,0)</f>
        <v>2</v>
      </c>
      <c r="M10" s="124">
        <f>J10*L10</f>
        <v>12</v>
      </c>
      <c r="N10" s="90" t="s">
        <v>97</v>
      </c>
      <c r="O10" s="125">
        <f>M10/M9</f>
        <v>0.72985432546884443</v>
      </c>
      <c r="P10" s="90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0.72985432546884443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863.59999999999991</v>
      </c>
      <c r="K12" s="90"/>
      <c r="L12" s="90">
        <f>L7*D3</f>
        <v>558.79999999999995</v>
      </c>
      <c r="M12" s="90"/>
      <c r="N12" s="90"/>
      <c r="O12" s="91">
        <f>J5*L5</f>
        <v>495900</v>
      </c>
      <c r="P12" s="90" t="s">
        <v>99</v>
      </c>
      <c r="R12" s="6">
        <f>$D$3*1</f>
        <v>139.69999999999999</v>
      </c>
      <c r="T12" s="6">
        <f>$D$2*1</f>
        <v>215.89999999999998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-9707.9999999999091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6.4000000000000909</v>
      </c>
      <c r="K14" s="90"/>
      <c r="L14" s="126">
        <f>L5-L12</f>
        <v>11.200000000000045</v>
      </c>
      <c r="M14" s="90"/>
      <c r="N14" s="90"/>
      <c r="O14" s="127">
        <f>O13/O12</f>
        <v>-1.9576527525710645E-2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1.0195765275257107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-3.5999999999999091</v>
      </c>
      <c r="K16" s="90"/>
      <c r="L16" s="90">
        <f>L14-L15</f>
        <v>-8.7999999999999545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279.39999999999998</v>
      </c>
      <c r="T17" s="6">
        <f>$D$2*2</f>
        <v>431.79999999999995</v>
      </c>
    </row>
    <row r="18" spans="9:20" x14ac:dyDescent="0.25">
      <c r="R18" s="6">
        <f>$D$3*3</f>
        <v>419.09999999999997</v>
      </c>
      <c r="T18" s="6">
        <f>$D$2*3</f>
        <v>647.69999999999993</v>
      </c>
    </row>
    <row r="19" spans="9:20" x14ac:dyDescent="0.25">
      <c r="R19" s="6">
        <f>$D$3*4</f>
        <v>558.79999999999995</v>
      </c>
      <c r="T19" s="6">
        <f>$D$2*4</f>
        <v>863.59999999999991</v>
      </c>
    </row>
    <row r="20" spans="9:20" x14ac:dyDescent="0.25">
      <c r="R20" s="6">
        <f>R5-R19</f>
        <v>-123.79999999999995</v>
      </c>
      <c r="T20" s="6">
        <f>T5-T19</f>
        <v>-293.59999999999991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4.1685965724872629</v>
      </c>
      <c r="K36" s="3" t="s">
        <v>95</v>
      </c>
      <c r="L36" s="2">
        <f>L35/$D$3</f>
        <v>4.3664996420901936</v>
      </c>
      <c r="M36" s="2">
        <f>J36*L36</f>
        <v>18.202175441784043</v>
      </c>
      <c r="N36" s="1" t="s">
        <v>96</v>
      </c>
      <c r="R36" s="2">
        <f>R35/$D$2</f>
        <v>2.0842982862436314</v>
      </c>
      <c r="S36" s="3" t="s">
        <v>95</v>
      </c>
      <c r="T36" s="2">
        <f>T35/$D$3</f>
        <v>4.3664996420901936</v>
      </c>
      <c r="U36" s="2">
        <f>R36*T36</f>
        <v>9.1010877208920213</v>
      </c>
      <c r="V36" s="1" t="s">
        <v>96</v>
      </c>
    </row>
    <row r="37" spans="9:24" x14ac:dyDescent="0.25">
      <c r="I37" s="186"/>
      <c r="J37" s="2">
        <f>ROUNDDOWN(J36,0)</f>
        <v>4</v>
      </c>
      <c r="K37" s="3" t="s">
        <v>95</v>
      </c>
      <c r="L37" s="2">
        <f>ROUNDDOWN(L36,0)</f>
        <v>4</v>
      </c>
      <c r="M37" s="2">
        <f>J37*L37</f>
        <v>16</v>
      </c>
      <c r="N37" s="1" t="s">
        <v>97</v>
      </c>
      <c r="O37" s="5">
        <f>M37/M36</f>
        <v>0.87901581056466283</v>
      </c>
      <c r="P37" s="1" t="s">
        <v>98</v>
      </c>
      <c r="R37" s="2">
        <f>ROUNDDOWN(R36,0)</f>
        <v>2</v>
      </c>
      <c r="S37" s="3" t="s">
        <v>95</v>
      </c>
      <c r="T37" s="2">
        <f>ROUNDDOWN(T36,0)</f>
        <v>4</v>
      </c>
      <c r="U37" s="2">
        <f>R37*T37</f>
        <v>8</v>
      </c>
      <c r="V37" s="1" t="s">
        <v>97</v>
      </c>
      <c r="W37" s="5">
        <f>U37/U36</f>
        <v>0.87901581056466283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6.442376521116679</v>
      </c>
      <c r="K39" s="3" t="s">
        <v>95</v>
      </c>
      <c r="L39" s="2">
        <f>L35/$D$2</f>
        <v>2.8253821213524781</v>
      </c>
      <c r="M39" s="2">
        <f>J39*L39</f>
        <v>18.202175441784039</v>
      </c>
      <c r="N39" s="1" t="s">
        <v>96</v>
      </c>
      <c r="R39" s="2">
        <f>R35/$D$3</f>
        <v>3.2211882605583395</v>
      </c>
      <c r="S39" s="3" t="s">
        <v>95</v>
      </c>
      <c r="T39" s="2">
        <f>T35/$D$2</f>
        <v>2.8253821213524781</v>
      </c>
      <c r="U39" s="2">
        <f>R39*T39</f>
        <v>9.1010877208920196</v>
      </c>
      <c r="V39" s="1" t="s">
        <v>96</v>
      </c>
    </row>
    <row r="40" spans="9:24" x14ac:dyDescent="0.25">
      <c r="I40" s="186"/>
      <c r="J40" s="2">
        <f>ROUNDDOWN(J39,0)</f>
        <v>6</v>
      </c>
      <c r="K40" s="3" t="s">
        <v>95</v>
      </c>
      <c r="L40" s="2">
        <f>ROUNDDOWN(L39,0)</f>
        <v>2</v>
      </c>
      <c r="M40" s="2">
        <f>J40*L40</f>
        <v>12</v>
      </c>
      <c r="N40" s="1" t="s">
        <v>97</v>
      </c>
      <c r="O40" s="5">
        <f>M40/M39</f>
        <v>0.65926185792349723</v>
      </c>
      <c r="P40" s="1" t="s">
        <v>98</v>
      </c>
      <c r="R40" s="2">
        <f>ROUNDDOWN(R39,0)</f>
        <v>3</v>
      </c>
      <c r="S40" s="3" t="s">
        <v>95</v>
      </c>
      <c r="T40" s="2">
        <f>ROUNDDOWN(T39,0)</f>
        <v>2</v>
      </c>
      <c r="U40" s="2">
        <f>R40*T40</f>
        <v>6</v>
      </c>
      <c r="V40" s="1" t="s">
        <v>97</v>
      </c>
      <c r="W40" s="5">
        <f>U40/U39</f>
        <v>0.65926185792349723</v>
      </c>
      <c r="X40" s="1" t="s">
        <v>98</v>
      </c>
    </row>
    <row r="42" spans="9:24" x14ac:dyDescent="0.25">
      <c r="J42" s="6">
        <f>$D$2*1</f>
        <v>215.89999999999998</v>
      </c>
      <c r="L42" s="6">
        <f>$D$3*1</f>
        <v>139.69999999999999</v>
      </c>
      <c r="O42" s="7"/>
      <c r="R42" s="6">
        <f>$D$3*1</f>
        <v>139.69999999999999</v>
      </c>
      <c r="T42" s="6">
        <f>$D$2*1</f>
        <v>215.89999999999998</v>
      </c>
    </row>
    <row r="43" spans="9:24" x14ac:dyDescent="0.25">
      <c r="J43" s="6">
        <f>$D$2*2</f>
        <v>431.79999999999995</v>
      </c>
      <c r="L43" s="6">
        <f>$D$3*2</f>
        <v>279.39999999999998</v>
      </c>
      <c r="O43" s="7"/>
      <c r="R43" s="6"/>
      <c r="T43" s="6">
        <f>$D$2*2</f>
        <v>431.79999999999995</v>
      </c>
    </row>
    <row r="44" spans="9:24" x14ac:dyDescent="0.25">
      <c r="J44" s="6">
        <f>$D$2*3</f>
        <v>647.69999999999993</v>
      </c>
      <c r="L44" s="6">
        <f>$D$3*3</f>
        <v>419.09999999999997</v>
      </c>
      <c r="O44" s="8"/>
    </row>
    <row r="45" spans="9:24" x14ac:dyDescent="0.25">
      <c r="J45" s="6">
        <f>$D$2*4</f>
        <v>863.59999999999991</v>
      </c>
      <c r="L45" s="6">
        <f>$D$3*4</f>
        <v>558.79999999999995</v>
      </c>
      <c r="O45" s="8"/>
      <c r="R45" s="6">
        <f>R35-R42</f>
        <v>310.3</v>
      </c>
      <c r="T45" s="6">
        <f>T35-T43</f>
        <v>178.20000000000005</v>
      </c>
    </row>
    <row r="46" spans="9:24" x14ac:dyDescent="0.25">
      <c r="J46" s="6">
        <f>$D$2*5</f>
        <v>1079.5</v>
      </c>
      <c r="L46" s="6">
        <f>$D$3*5</f>
        <v>698.5</v>
      </c>
    </row>
    <row r="47" spans="9:24" x14ac:dyDescent="0.25">
      <c r="J47" s="6"/>
      <c r="L47" s="6">
        <f>$D$3*6</f>
        <v>838.19999999999993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-179.5</v>
      </c>
      <c r="L50" s="6">
        <f>L35-L47</f>
        <v>-228.19999999999993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-189.5</v>
      </c>
      <c r="L52" s="6">
        <f>L50-L51</f>
        <v>-253.19999999999993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4.4001852709587777</v>
      </c>
      <c r="K59" s="3" t="s">
        <v>95</v>
      </c>
      <c r="L59" s="2">
        <f>L58/$D$3</f>
        <v>5.0107372942018618</v>
      </c>
      <c r="M59" s="2">
        <f>J59*L59</f>
        <v>22.048172438590871</v>
      </c>
      <c r="N59" s="1" t="s">
        <v>96</v>
      </c>
      <c r="R59" s="2">
        <f>R58/$D$2</f>
        <v>2.2000926354793888</v>
      </c>
      <c r="S59" s="3" t="s">
        <v>95</v>
      </c>
      <c r="T59" s="2">
        <f>T58/$D$3</f>
        <v>5.0107372942018618</v>
      </c>
      <c r="U59" s="2">
        <f>R59*T59</f>
        <v>11.024086219295436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4</v>
      </c>
      <c r="K60" s="3" t="s">
        <v>95</v>
      </c>
      <c r="L60" s="2">
        <f>ROUNDDOWN(L59,0)</f>
        <v>5</v>
      </c>
      <c r="M60" s="2">
        <f>J60*L60</f>
        <v>20</v>
      </c>
      <c r="N60" s="1" t="s">
        <v>97</v>
      </c>
      <c r="O60" s="9">
        <f>M60/M59</f>
        <v>0.90710466165413517</v>
      </c>
      <c r="P60" s="1" t="s">
        <v>98</v>
      </c>
      <c r="R60" s="2">
        <f>ROUNDDOWN(R59,0)</f>
        <v>2</v>
      </c>
      <c r="S60" s="3" t="s">
        <v>95</v>
      </c>
      <c r="T60" s="2">
        <f>ROUNDDOWN(T59,0)</f>
        <v>5</v>
      </c>
      <c r="U60" s="2">
        <f>R60*T60</f>
        <v>10</v>
      </c>
      <c r="V60" s="1" t="s">
        <v>97</v>
      </c>
      <c r="W60" s="9">
        <f>U60/U59</f>
        <v>0.90710466165413517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6.8002863278453836</v>
      </c>
      <c r="K62" s="3" t="s">
        <v>95</v>
      </c>
      <c r="L62" s="2">
        <f>L58/$D$2</f>
        <v>3.2422417786012048</v>
      </c>
      <c r="M62" s="2">
        <f>J62*L62</f>
        <v>22.048172438590871</v>
      </c>
      <c r="N62" s="1" t="s">
        <v>96</v>
      </c>
      <c r="R62" s="2">
        <f>R58/$D$3</f>
        <v>3.4001431639226918</v>
      </c>
      <c r="S62" s="3" t="s">
        <v>95</v>
      </c>
      <c r="T62" s="2">
        <f>T58/$D$2</f>
        <v>3.2422417786012048</v>
      </c>
      <c r="U62" s="2">
        <f>R62*T62</f>
        <v>11.024086219295436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6</v>
      </c>
      <c r="K63" s="3" t="s">
        <v>95</v>
      </c>
      <c r="L63" s="2">
        <f>ROUNDDOWN(L62,0)</f>
        <v>3</v>
      </c>
      <c r="M63" s="2">
        <f>J63*L63</f>
        <v>18</v>
      </c>
      <c r="N63" s="1" t="s">
        <v>97</v>
      </c>
      <c r="O63" s="9">
        <f>M63/M62</f>
        <v>0.81639419548872161</v>
      </c>
      <c r="P63" s="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0.81639419548872161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603224.6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0.90710466165413528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863.59999999999991</v>
      </c>
      <c r="L68" s="6">
        <f>D3*L60</f>
        <v>698.5</v>
      </c>
      <c r="O68" s="62">
        <f>100%-O67</f>
        <v>9.289533834586472E-2</v>
      </c>
      <c r="P68" s="1" t="s">
        <v>98</v>
      </c>
      <c r="R68" s="6">
        <f>$D$3*1</f>
        <v>139.69999999999999</v>
      </c>
      <c r="T68" s="6">
        <f>$D$2*1</f>
        <v>215.89999999999998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279.39999999999998</v>
      </c>
      <c r="T69" s="6">
        <f>$D$2*2</f>
        <v>431.79999999999995</v>
      </c>
      <c r="W69" s="7">
        <f>(R78*T58)+(T78*R58)</f>
        <v>-355462.5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419.09999999999997</v>
      </c>
      <c r="T70" s="1">
        <f>$D$2*3</f>
        <v>647.69999999999993</v>
      </c>
      <c r="W70" s="62">
        <f>W69/W68</f>
        <v>-1.0690601503759398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558.79999999999995</v>
      </c>
      <c r="T71" s="1">
        <f>$D$2*4</f>
        <v>863.59999999999991</v>
      </c>
      <c r="W71" s="62">
        <f>100%-W70</f>
        <v>2.0690601503759396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698.5</v>
      </c>
      <c r="T72" s="1">
        <f>$D$2*5</f>
        <v>1079.5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-223.5</v>
      </c>
      <c r="T76" s="6">
        <f>T58-T72</f>
        <v>-379.5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-243.5</v>
      </c>
      <c r="T78" s="6">
        <f>T76-T77</f>
        <v>-389.5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4.3538675312644743</v>
      </c>
      <c r="K88" s="3" t="s">
        <v>95</v>
      </c>
      <c r="L88" s="2">
        <f>L87/$D$3</f>
        <v>4.5812455261274163</v>
      </c>
      <c r="M88" s="2">
        <f>J88*L88</f>
        <v>19.946136148956793</v>
      </c>
      <c r="N88" s="1" t="s">
        <v>96</v>
      </c>
      <c r="R88" s="2">
        <f>R87/$D$2</f>
        <v>2.1769337656322372</v>
      </c>
      <c r="S88" s="3" t="s">
        <v>95</v>
      </c>
      <c r="T88" s="2">
        <f>T87/$D$3</f>
        <v>4.5812455261274163</v>
      </c>
      <c r="U88" s="2">
        <f>R88*T88</f>
        <v>9.9730680744783964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0.80216037234042536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0.80216037234042536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6.7287043664996427</v>
      </c>
      <c r="K91" s="3" t="s">
        <v>95</v>
      </c>
      <c r="L91" s="2">
        <f>L87/$D$2</f>
        <v>2.9643353404353872</v>
      </c>
      <c r="M91" s="2">
        <f>J91*L91</f>
        <v>19.946136148956793</v>
      </c>
      <c r="N91" s="1" t="s">
        <v>96</v>
      </c>
      <c r="R91" s="2">
        <f>R87/$D$3</f>
        <v>3.3643521832498213</v>
      </c>
      <c r="S91" s="3" t="s">
        <v>95</v>
      </c>
      <c r="T91" s="2">
        <f>T87/$D$2</f>
        <v>2.9643353404353872</v>
      </c>
      <c r="U91" s="2">
        <f>R91*T91</f>
        <v>9.9730680744783964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0.60162027925531902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0.60162027925531902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139.69999999999999</v>
      </c>
      <c r="L97" s="6">
        <f>$D$2*1</f>
        <v>215.89999999999998</v>
      </c>
      <c r="O97" s="7">
        <f>J87*L87</f>
        <v>601600</v>
      </c>
      <c r="P97" s="1" t="s">
        <v>99</v>
      </c>
      <c r="R97" s="6">
        <f>$D$3*1</f>
        <v>139.69999999999999</v>
      </c>
      <c r="T97" s="6">
        <f>$D$2*1</f>
        <v>215.89999999999998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279.39999999999998</v>
      </c>
      <c r="L98" s="6">
        <f>$D$2*2</f>
        <v>431.79999999999995</v>
      </c>
      <c r="O98" s="7">
        <f>(J107*L87)+(L107*J87)</f>
        <v>33784.000000000116</v>
      </c>
      <c r="P98" s="1" t="s">
        <v>100</v>
      </c>
      <c r="R98" s="6">
        <f>$D$3*2</f>
        <v>279.39999999999998</v>
      </c>
      <c r="T98" s="6">
        <f>$D$2*2</f>
        <v>431.79999999999995</v>
      </c>
      <c r="W98" s="7">
        <f>(R107*T87)+(T107*R87)</f>
        <v>-370305</v>
      </c>
      <c r="X98" s="1" t="s">
        <v>100</v>
      </c>
      <c r="Z98" s="6"/>
      <c r="AB98" s="6"/>
    </row>
    <row r="99" spans="9:28" x14ac:dyDescent="0.25">
      <c r="J99" s="6">
        <f>$D$3*3</f>
        <v>419.09999999999997</v>
      </c>
      <c r="L99" s="6">
        <f>$D$2*3</f>
        <v>647.69999999999993</v>
      </c>
      <c r="O99" s="62">
        <f>O98/O97</f>
        <v>5.6156914893617217E-2</v>
      </c>
      <c r="P99" s="1" t="s">
        <v>101</v>
      </c>
      <c r="R99" s="6">
        <f>$D$3*3</f>
        <v>419.09999999999997</v>
      </c>
      <c r="T99" s="6">
        <f>$D$2*3</f>
        <v>647.69999999999993</v>
      </c>
      <c r="W99" s="62">
        <f>W98/W97</f>
        <v>-1.2310671542553191</v>
      </c>
      <c r="X99" s="1" t="s">
        <v>101</v>
      </c>
      <c r="Z99" s="6"/>
      <c r="AB99" s="6"/>
    </row>
    <row r="100" spans="9:28" x14ac:dyDescent="0.25">
      <c r="J100" s="6">
        <f>$D$3*4</f>
        <v>558.79999999999995</v>
      </c>
      <c r="L100" s="6">
        <f>$D$2*4</f>
        <v>863.59999999999991</v>
      </c>
      <c r="O100" s="62">
        <f>100%-O99</f>
        <v>0.94384308510638282</v>
      </c>
      <c r="P100" s="1" t="s">
        <v>98</v>
      </c>
      <c r="R100" s="6">
        <f>$D$3*4</f>
        <v>558.79999999999995</v>
      </c>
      <c r="T100" s="6">
        <f>$D$2*4</f>
        <v>863.59999999999991</v>
      </c>
      <c r="W100" s="62">
        <f>100%-W99</f>
        <v>2.2310671542553191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698.5</v>
      </c>
      <c r="T101" s="6">
        <f>$D$2*5</f>
        <v>1079.5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381.20000000000005</v>
      </c>
      <c r="L105" s="6">
        <f>L87-L100</f>
        <v>-223.59999999999991</v>
      </c>
      <c r="Q105" s="1" t="s">
        <v>102</v>
      </c>
      <c r="R105" s="1">
        <f>R87-R101</f>
        <v>-228.5</v>
      </c>
      <c r="T105" s="1">
        <f>T87-T101</f>
        <v>-439.5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381.20000000000005</v>
      </c>
      <c r="L107" s="1">
        <f>L105-L106</f>
        <v>-223.59999999999991</v>
      </c>
      <c r="Q107" s="1" t="s">
        <v>104</v>
      </c>
      <c r="R107" s="1">
        <f>R105-R106</f>
        <v>-248.5</v>
      </c>
      <c r="T107" s="1">
        <f>T105-T106</f>
        <v>-449.5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79"/>
    <col min="13" max="13" width="23.88671875" style="179" bestFit="1" customWidth="1"/>
    <col min="14" max="16384" width="11.5546875" style="179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79" t="s">
        <v>106</v>
      </c>
      <c r="D3" s="179" t="s">
        <v>107</v>
      </c>
      <c r="E3" s="179" t="s">
        <v>108</v>
      </c>
      <c r="G3" s="13">
        <f>B3</f>
        <v>279.39999999999998</v>
      </c>
      <c r="H3" s="179" t="s">
        <v>106</v>
      </c>
      <c r="I3" s="179" t="s">
        <v>107</v>
      </c>
      <c r="J3" s="179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79" t="s">
        <v>106</v>
      </c>
      <c r="D5" s="179" t="s">
        <v>107</v>
      </c>
      <c r="E5" s="179" t="s">
        <v>108</v>
      </c>
      <c r="G5" s="13">
        <f>B5</f>
        <v>215.89999999999998</v>
      </c>
      <c r="H5" s="179" t="s">
        <v>106</v>
      </c>
      <c r="I5" s="179" t="s">
        <v>107</v>
      </c>
      <c r="J5" s="179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ROUNDDOWN(E4*10/('114A4464'!G14/2),0)</f>
        <v>2540</v>
      </c>
      <c r="F8" s="16">
        <f>PRODUCT(C8:E8)</f>
        <v>5080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79">
        <f>PRODUCT(H8:J8)</f>
        <v>0</v>
      </c>
      <c r="M8" s="17">
        <f>F8</f>
        <v>5080</v>
      </c>
    </row>
    <row r="9" spans="2:13" x14ac:dyDescent="0.3">
      <c r="F9" s="179" t="s">
        <v>109</v>
      </c>
      <c r="K9" s="179" t="s">
        <v>109</v>
      </c>
      <c r="M9" s="179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/>
  </sheetViews>
  <sheetFormatPr baseColWidth="10" defaultRowHeight="14.4" x14ac:dyDescent="0.3"/>
  <sheetData>
    <row r="1" spans="1:1" x14ac:dyDescent="0.3">
      <c r="A1">
        <v>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318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236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1052718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3.7318669564202615E-3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4.7581303694358337E-3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142057.44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53200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1.8612686445146055E-2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3990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1.8192851412548776E-2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3.3959989303424379E-2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0.24816915260194738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0.66267433281206733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A1'!M10*2</f>
        <v>16</v>
      </c>
      <c r="H15" s="20"/>
      <c r="I15" s="22" t="s">
        <v>38</v>
      </c>
      <c r="J15" s="128">
        <f>SUBTOTAL(109,Tabla1341530507075100110115130145150155160[Contribución])</f>
        <v>0.99999999999999989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430000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2122.4744000000001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3900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1020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A1'!$M$8,0)*$G$28</f>
        <v>7280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214369.91440000001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321554.87160000001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357283.19066666666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0.33939116711851292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1.89709987209901E-2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18.970998720990099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18.970998720990099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357283.19066666666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214369.91440000001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142913.27626666665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131590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1050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132640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142057.44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7.9793297363021515E-3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35728.319066666649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250098.23346666666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357283.19066666666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5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5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6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ROUNDDOWN(E4*10/('114A4714B'!G14/2),0)</f>
        <v>2540</v>
      </c>
      <c r="F8" s="16">
        <f>PRODUCT(C8:E8)</f>
        <v>5080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5080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319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243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42504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39" t="s">
        <v>6</v>
      </c>
      <c r="J6" s="129">
        <f>$B$7/$B$36</f>
        <v>7.2815858048169438E-2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39" t="s">
        <v>301</v>
      </c>
      <c r="J7" s="129">
        <f>$B$33/$B$36</f>
        <v>3.8683424588090015E-3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11524.800000000001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17600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7.5091353612174736E-3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330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3.8398987642589352E-3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7.167811026616679E-3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f>1*1000</f>
        <v>1000</v>
      </c>
      <c r="I12" s="39" t="s">
        <v>11</v>
      </c>
      <c r="J12" s="129">
        <f>$B$9/$B$36</f>
        <v>0.40048721926493192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>
        <f>B5*$G$21</f>
        <v>10202.80750659218</v>
      </c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0.26224631276048227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A2'!M10*2</f>
        <v>16</v>
      </c>
      <c r="H15" s="20"/>
      <c r="I15" s="22" t="s">
        <v>38</v>
      </c>
      <c r="J15" s="128">
        <f>SUBTOTAL(109,Tabla1341530507075100110115130145150155160165[Contribución])</f>
        <v>0.7678355677834956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200000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435.11357506592185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168.75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170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A2'!$M$8,0)*$G$28</f>
        <v>315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43946.471081658106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5.0786344009976458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267134.53091941518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B39*1.1</f>
        <v>293847.98401135672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6.9134195372519462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0.36386418617115507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363.86418617115504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363.86418617115504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293847.98401135672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43946.471081658106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249901.51292969863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0.85044487805654079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0.14955512194345921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1050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1.05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10626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10976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11524.800000000001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3.2938076416337288E-2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B39*10%</f>
        <v>26713.453091941519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70659.924173599633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293847.98401135672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0.75953578714744985</v>
      </c>
      <c r="C65" s="18"/>
      <c r="D65" s="18"/>
      <c r="F65" s="18"/>
    </row>
  </sheetData>
  <mergeCells count="1">
    <mergeCell ref="B1:F3"/>
  </mergeCells>
  <dataValidations disablePrompts="1"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5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5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6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ROUNDDOWN(E4*10/('114A4714B'!G14/2),0)</f>
        <v>2540</v>
      </c>
      <c r="F8" s="16">
        <f>PRODUCT(C8:E8)</f>
        <v>5080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5080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5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5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6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7" t="s">
        <v>92</v>
      </c>
      <c r="K57" s="187"/>
      <c r="L57" s="187"/>
      <c r="M57" s="187"/>
      <c r="N57" s="187"/>
      <c r="O57" s="187"/>
      <c r="P57" s="187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8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8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8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8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8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8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ROUNDDOWN(E4*10/('114A5044'!G14/2),0)</f>
        <v>1270</v>
      </c>
      <c r="F8" s="16">
        <f>PRODUCT(C8:E8)</f>
        <v>2540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2540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307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230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410761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2.9992950911250549E-3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3.1867510343203706E-3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110410.461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41600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1.1697250855387713E-2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3120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1.1387948549115443E-2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2.1257503958348824E-2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0.15596334473850285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0.36966497356649686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0.41394194210769286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98600.494405592661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SUBTOTAL(109,Tabla134153050[Contribución])</f>
        <v>0.99999999999999989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224000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2640.8845540559269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3037.5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850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5670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266729.33995964861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400094.00993947289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444548.89993274765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1.0822568353196813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6.0495071845706051E-2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60.49507184570605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60.49507184570605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444548.89993274759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266729.33995964861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177819.55997309898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0.39999999999999986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102691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400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103091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110410.461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3.8951806876941506E-3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44454.889993274759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311184.22995292337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444548.89993274765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307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281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250430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4.7582583389618131E-3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3.0333896910881559E-3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70908.767999999996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9.9009900990099028E-3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1.1955124076641555E-2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2010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1.1040646302122332E-2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2.0609206430628354E-2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0.15940165435522075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0.35754793490444148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0.42175279580188568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60114.085353752111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SUBTOTAL(109,Tabla13415305045[Contribución])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1664.6410335375213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1856.25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510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3465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168128.74438728963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252193.11658093444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280214.57397881604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1.1189337298998365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6.2545205695910364E-2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62.545205695910361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62.545205695910361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280214.57397881604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168128.74438728963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112085.82959152642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62608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3600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66208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70908.767999999996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5.7500638895987735E-2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28021.457397881604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196150.20178517123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280214.57397881604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308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238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280277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2.5867752761399008E-3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6.5962769541567465E-3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151213.41899999999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9.9009900990099028E-3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56800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1.377457834544497E-2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4260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2.6858002671796312E-2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5.0134938320686447E-2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0.18366104460593294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0.21754347661460349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0.48894391711222934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67278.662702925285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112000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3062.0333170292529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8306.25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2040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15505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309265.36501995451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463898.04752993176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515442.27503325749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1.8390459261133003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0.10279742460107882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102.79742460107883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102.79742460107883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515442.27503325749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309265.36501995451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206176.91001330299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140139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1050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141189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151213.41899999999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7.4925609573352168E-3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51544.227503325732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360809.59252328024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515442.27503325749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308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220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385077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3.766748560156566E-3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6.403472552266162E-3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207708.66899999999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77600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1.3701547887569509E-2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5820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2.6838083491115532E-2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5.0097755850082332E-2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0.18268730516759346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0.21761264021233981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0.48899145617986672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92435.218008093289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SUBTOTAL(109,Tabla13415305070230[Contribución])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112000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4205.638870080933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11400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2720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21280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424769.52587817423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637154.28881726135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707949.20979695709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1.8384614240709185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0.10276475260318158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102.76475260318158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102.76475260318158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707949.20979695709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424769.52587817423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283179.68391878286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192539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1400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193939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207708.66899999999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7.2712541355257898E-3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70794.920979695744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495564.44685786997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707949.20979695709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308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251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119600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5.8660628588353093E-3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6.2326917875125155E-3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67419.45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25200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1.3858573503998418E-2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1890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2.5984825319997028E-2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4.8505007263994461E-2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0.18478098005331223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0.21051245460321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0.49435841451013018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28709.198611623018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SUBTOTAL(109,Tabla134153050708085[Contribución])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1350.2739861162302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3543.7499999999995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850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6615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136377.67259773923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204566.50889660884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227296.12099623203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1.90046923909893</v>
      </c>
      <c r="C41" s="39"/>
      <c r="D41" s="39"/>
      <c r="E41" s="18"/>
      <c r="F41" s="18">
        <v>100</v>
      </c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>
        <v>11</v>
      </c>
      <c r="G42" s="18">
        <f>(F42/F43)^F41</f>
        <v>13780.612339822364</v>
      </c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0.10623081269418277</v>
      </c>
      <c r="C43" s="45"/>
      <c r="D43" s="39"/>
      <c r="E43" s="18"/>
      <c r="F43" s="18">
        <v>10</v>
      </c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106.23081269418277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106.23081269418277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227296.12099623203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136377.67259773923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90918.448398492794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0.39999999999999991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59800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3150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62950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67419.45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5.2675585284280936E-2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22729.612099623191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159107.28469736243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227296.12099623203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308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262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138116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5.1017799990636173E-3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6.5047694988061115E-3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77174.118000000002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29200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1.3966122747436652E-2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2190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2.6066907182715669E-2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4.8658226741069247E-2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0.18621496996582201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0.21142951919385722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0.49215671457221938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33153.843440158234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SUBTOTAL(109,Tabla1341530507075[Contribución])</f>
        <v>0.99999999999999978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1552.5546144015825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4087.5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1020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7630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156808.01605455985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235212.02408183977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261346.69342426641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1.8922260521899448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0.1057700420452736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105.7700420452736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105.7700420452736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261346.69342426641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156808.01605455985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104538.67736970657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69058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3000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72058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77174.118000000002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4.3441744620463955E-2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26134.669342426641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182942.68539698649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261346.69342426641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59999389629810485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5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5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6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7" t="s">
        <v>92</v>
      </c>
      <c r="K57" s="187"/>
      <c r="L57" s="187"/>
      <c r="M57" s="187"/>
      <c r="N57" s="187"/>
      <c r="O57" s="187"/>
      <c r="P57" s="187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8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8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8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8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8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8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59999389629810485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ROUNDDOWN(E4*10/8,0)</f>
        <v>317</v>
      </c>
      <c r="F8" s="16">
        <f>PRODUCT(C8:E8)</f>
        <v>634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634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2">
    <tabColor theme="4" tint="0.59999389629810485"/>
  </sheetPr>
  <dimension ref="A1:XEW65"/>
  <sheetViews>
    <sheetView workbookViewId="0">
      <selection activeCell="B18" sqref="B18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81" customWidth="1"/>
    <col min="14" max="14" width="14.5546875" style="181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1217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379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10701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4.8970914307215938E-2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5600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4.4598511244071659E-3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70518.923999999999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26400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1.7314716130051349E-2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1980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1.7216337061130602E-2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3.2137162514110459E-2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0.23086288173401798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2.2462828415579335E-2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98</v>
      </c>
      <c r="I14" s="39" t="s">
        <v>8</v>
      </c>
      <c r="J14" s="129">
        <f>$B$8/$B$36</f>
        <v>0.61667431861447741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2568.7051366469723</v>
      </c>
      <c r="C15" s="34">
        <v>90</v>
      </c>
      <c r="D15" s="43" t="s">
        <v>28</v>
      </c>
      <c r="F15" s="18" t="s">
        <v>138</v>
      </c>
      <c r="G15" s="36">
        <f>'Acomodo Familia A5'!M10*2</f>
        <v>16</v>
      </c>
      <c r="H15" s="20"/>
      <c r="I15" s="22" t="s">
        <v>38</v>
      </c>
      <c r="J15" s="128">
        <f>SUBTOTAL(109,Tabla1341530507075175[Contribución])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81"/>
      <c r="J16" s="181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6.125</v>
      </c>
      <c r="I17" s="181"/>
      <c r="J17" s="181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14</v>
      </c>
      <c r="I18" s="181"/>
      <c r="J18" s="181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81"/>
      <c r="J19" s="181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81"/>
      <c r="J20" s="181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81"/>
      <c r="J21" s="181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300</v>
      </c>
      <c r="I22" s="181"/>
      <c r="J22" s="181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81"/>
      <c r="J23" s="181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81"/>
      <c r="J24" s="181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81"/>
      <c r="J25" s="181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1132.2137913664696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81"/>
      <c r="J28" s="181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81"/>
      <c r="J29" s="181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81"/>
      <c r="J30" s="181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1968.75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510</v>
      </c>
      <c r="C33" s="39"/>
      <c r="D33" s="39"/>
      <c r="E33" s="18"/>
      <c r="F33" s="120" t="s">
        <v>304</v>
      </c>
      <c r="G33" s="120">
        <v>30</v>
      </c>
      <c r="I33" s="181"/>
      <c r="J33" s="181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A5'!$M$8,0)*$G$28</f>
        <v>3675</v>
      </c>
      <c r="C34" s="39">
        <v>30</v>
      </c>
      <c r="D34" s="39" t="s">
        <v>63</v>
      </c>
      <c r="E34" s="18"/>
      <c r="F34" s="18"/>
      <c r="I34" s="181"/>
      <c r="J34" s="181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114353.59292801343</v>
      </c>
      <c r="C36" s="39"/>
      <c r="D36" s="39"/>
      <c r="E36" s="18"/>
      <c r="F36" s="18"/>
      <c r="I36" s="181"/>
      <c r="J36" s="181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81"/>
      <c r="J37" s="181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81"/>
      <c r="J38" s="181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171530.38939202015</v>
      </c>
      <c r="C39" s="39"/>
      <c r="D39" s="39"/>
      <c r="E39" s="18"/>
      <c r="F39" s="18"/>
      <c r="I39" s="181"/>
      <c r="J39" s="181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190589.32154668905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17.810421600475568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0.99555179432507368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995.55179432507373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995.55179432507373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190589.32154668905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114353.59292801343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76235.728618675625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81"/>
      <c r="L50" s="181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81"/>
      <c r="L51" s="181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81"/>
      <c r="L52" s="181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65544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65844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70518.923999999999</v>
      </c>
      <c r="C59" s="39"/>
      <c r="D59" s="39"/>
      <c r="E59" s="39"/>
      <c r="F59" s="18"/>
      <c r="K59" s="181"/>
      <c r="L59" s="181"/>
      <c r="M59" s="18"/>
      <c r="N59" s="18"/>
    </row>
    <row r="60" spans="1:18" x14ac:dyDescent="0.3">
      <c r="A60" s="70" t="s">
        <v>154</v>
      </c>
      <c r="B60" s="54">
        <f>B57/B56</f>
        <v>4.5770779934090075E-3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19058.932154668903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133412.52508268232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190589.32154668905</v>
      </c>
      <c r="C64" s="18"/>
      <c r="D64" s="18"/>
      <c r="E64" s="18"/>
      <c r="F64" s="18"/>
      <c r="K64" s="181"/>
      <c r="L64" s="181"/>
      <c r="M64" s="18"/>
      <c r="N64" s="18"/>
    </row>
    <row r="65" spans="1:6" x14ac:dyDescent="0.3">
      <c r="A65" s="35" t="s">
        <v>75</v>
      </c>
      <c r="B65" s="71">
        <f>(B64-B63)/B64</f>
        <v>0.3000000000000001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4" tint="-0.249977111117893"/>
  </sheetPr>
  <dimension ref="B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2:24" x14ac:dyDescent="0.25">
      <c r="B1" s="1" t="s">
        <v>320</v>
      </c>
      <c r="D1" s="183" t="s">
        <v>87</v>
      </c>
      <c r="E1" s="183"/>
      <c r="F1" s="183" t="s">
        <v>88</v>
      </c>
      <c r="G1" s="183"/>
    </row>
    <row r="2" spans="2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2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2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2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2:24" x14ac:dyDescent="0.25">
      <c r="I6" s="185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2:24" x14ac:dyDescent="0.25">
      <c r="I7" s="185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2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2:24" x14ac:dyDescent="0.25">
      <c r="I9" s="185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2:24" x14ac:dyDescent="0.25">
      <c r="I10" s="185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2:24" x14ac:dyDescent="0.25">
      <c r="I11" s="90"/>
      <c r="J11" s="126"/>
      <c r="K11" s="90"/>
      <c r="L11" s="126"/>
      <c r="M11" s="90"/>
      <c r="N11" s="90"/>
      <c r="O11" s="91"/>
      <c r="P11" s="90"/>
    </row>
    <row r="12" spans="2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2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2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2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2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6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4" tint="-0.249977111117893"/>
  </sheetPr>
  <dimension ref="B1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1" spans="2:13" x14ac:dyDescent="0.3">
      <c r="B1" s="10" t="s">
        <v>320</v>
      </c>
    </row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ROUNDDOWN(E4*10/('114A2074I-1'!G14/2),0)</f>
        <v>51</v>
      </c>
      <c r="F8" s="16">
        <f>PRODUCT(C8:E8)</f>
        <v>102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102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2" spans="2:13" x14ac:dyDescent="0.3">
      <c r="D12" s="10">
        <v>3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theme="4" tint="-0.249977111117893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315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267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39446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1.296159483227457E-2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4.1315083527875196E-3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74681.900999999998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28000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1.7012093217360375E-2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2100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1.6556412149038222E-2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3.0905302678204679E-2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0.226827909564805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7.6706350315244032E-2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28</v>
      </c>
      <c r="I14" s="39" t="s">
        <v>8</v>
      </c>
      <c r="J14" s="129">
        <f>$B$8/$B$36</f>
        <v>0.60499783879127567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9468.7545855692442</v>
      </c>
      <c r="C15" s="34">
        <v>90</v>
      </c>
      <c r="D15" s="43" t="s">
        <v>28</v>
      </c>
      <c r="F15" s="18" t="s">
        <v>138</v>
      </c>
      <c r="G15" s="36">
        <f>'Acomodo Familia A6'!M10*2</f>
        <v>16</v>
      </c>
      <c r="H15" s="20"/>
      <c r="I15" s="22" t="s">
        <v>38</v>
      </c>
      <c r="J15" s="128">
        <f>SUBTOTAL(109,Tabla1341530507075140[Contribución])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1.75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32000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1222.1940558556923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2043.75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510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A6'!$M$8,0)*$G$28</f>
        <v>3815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123441.59964142494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185162.3994621374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205735.99940237487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5.2156365512948053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0.291539214717429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291.53921471742899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291.53921471742899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205735.9994023749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123441.59964142494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82294.399760949964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69031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69731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74681.900999999998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1.0140371717054657E-2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20573.599940237473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144015.19958166243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205735.99940237487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theme="4" tint="-0.249977111117893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5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5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6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7" t="s">
        <v>92</v>
      </c>
      <c r="K57" s="187"/>
      <c r="L57" s="187"/>
      <c r="M57" s="187"/>
      <c r="N57" s="187"/>
      <c r="O57" s="187"/>
      <c r="P57" s="187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8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8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8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8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8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8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theme="4" tint="-0.249977111117893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ROUNDDOWN(D6,0)</f>
        <v>1</v>
      </c>
      <c r="E8" s="15">
        <f>ROUNDDOWN(E4*10/('01-34213'!G14/2),0)</f>
        <v>181</v>
      </c>
      <c r="F8" s="16">
        <f>PRODUCT(C8:E8)</f>
        <v>362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362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>
    <tabColor theme="4" tint="-0.249977111117893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9" customWidth="1"/>
    <col min="14" max="14" width="14.5546875" style="179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315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393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16268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3.0701383441499402E-2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6.5240439813186229E-3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30865.148999999998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11600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1.6693877246315297E-2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870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1.6190182674228198E-2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3.0221674325225972E-2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0.22258502995087065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7.4931084264024533E-2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28</v>
      </c>
      <c r="I14" s="39" t="s">
        <v>8</v>
      </c>
      <c r="J14" s="129">
        <f>$B$8/$B$36</f>
        <v>0.5922517340175073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3905.0271155006963</v>
      </c>
      <c r="C15" s="34">
        <v>90</v>
      </c>
      <c r="D15" s="43" t="s">
        <v>28</v>
      </c>
      <c r="F15" s="18" t="s">
        <v>138</v>
      </c>
      <c r="G15" s="36">
        <f>'Acomodo Familia A6'!M10*2</f>
        <v>16</v>
      </c>
      <c r="H15" s="20"/>
      <c r="I15" s="22" t="s">
        <v>38</v>
      </c>
      <c r="J15" s="128">
        <f>SUBTOTAL(109,Tabla134153050707514055[Contribución])</f>
        <v>0.99999999999999989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9"/>
      <c r="J16" s="179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1.75</v>
      </c>
      <c r="I17" s="179"/>
      <c r="J17" s="179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79"/>
      <c r="J18" s="179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9"/>
      <c r="J19" s="179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9"/>
      <c r="J20" s="179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79"/>
      <c r="J21" s="179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9"/>
      <c r="J22" s="179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32000</v>
      </c>
      <c r="I23" s="179"/>
      <c r="J23" s="179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9"/>
      <c r="J24" s="179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9"/>
      <c r="J25" s="179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515.98926115500694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9"/>
      <c r="J28" s="179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9"/>
      <c r="J29" s="179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9"/>
      <c r="J30" s="179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843.75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340</v>
      </c>
      <c r="C33" s="39"/>
      <c r="D33" s="39"/>
      <c r="E33" s="18"/>
      <c r="F33" s="120" t="s">
        <v>304</v>
      </c>
      <c r="G33" s="120">
        <v>30</v>
      </c>
      <c r="I33" s="179"/>
      <c r="J33" s="179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A6'!$M$8,0)*$G$28</f>
        <v>1575</v>
      </c>
      <c r="C34" s="39">
        <v>30</v>
      </c>
      <c r="D34" s="39" t="s">
        <v>63</v>
      </c>
      <c r="E34" s="18"/>
      <c r="F34" s="18"/>
      <c r="I34" s="179"/>
      <c r="J34" s="179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52114.915376655706</v>
      </c>
      <c r="C36" s="39"/>
      <c r="D36" s="39"/>
      <c r="E36" s="18"/>
      <c r="F36" s="18"/>
      <c r="I36" s="179"/>
      <c r="J36" s="179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9"/>
      <c r="J37" s="179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9"/>
      <c r="J38" s="179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78172.373064983563</v>
      </c>
      <c r="C39" s="39"/>
      <c r="D39" s="39"/>
      <c r="E39" s="18"/>
      <c r="F39" s="18"/>
      <c r="I39" s="179"/>
      <c r="J39" s="179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86858.192294426175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5.339205329138565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0.29844635713463191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298.44635713463191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298.44635713463191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86858.192294426175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52114.915376655706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34743.276917770469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9"/>
      <c r="L50" s="179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9"/>
      <c r="L51" s="179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9"/>
      <c r="L52" s="179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28469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28819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30865.148999999998</v>
      </c>
      <c r="C59" s="39"/>
      <c r="D59" s="39"/>
      <c r="E59" s="39"/>
      <c r="F59" s="18"/>
      <c r="K59" s="179"/>
      <c r="L59" s="179"/>
      <c r="M59" s="18"/>
      <c r="N59" s="18"/>
    </row>
    <row r="60" spans="1:18" x14ac:dyDescent="0.3">
      <c r="A60" s="70" t="s">
        <v>154</v>
      </c>
      <c r="B60" s="54">
        <f>B57/B56</f>
        <v>1.2294074256208508E-2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8685.8192294426117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60800.734606098318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86858.192294426175</v>
      </c>
      <c r="C64" s="18"/>
      <c r="D64" s="18"/>
      <c r="E64" s="18"/>
      <c r="F64" s="18"/>
      <c r="K64" s="179"/>
      <c r="L64" s="179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theme="4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312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271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20435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2.7447502112693544E-2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4.3744456492105337E-3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71879.093999999997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27200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1.7497782596842135E-2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2040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1.7047472015305758E-2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3.1821947761904078E-2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0.23330376795789515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4.2074346674795808E-2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52</v>
      </c>
      <c r="I14" s="39" t="s">
        <v>8</v>
      </c>
      <c r="J14" s="129">
        <f>$B$8/$B$36</f>
        <v>0.6165317451323431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4905.2882410411066</v>
      </c>
      <c r="C15" s="34">
        <v>90</v>
      </c>
      <c r="D15" s="43" t="s">
        <v>28</v>
      </c>
      <c r="F15" s="18" t="s">
        <v>138</v>
      </c>
      <c r="G15" s="36">
        <f>'Acomodo Familia A7'!M10*2</f>
        <v>16</v>
      </c>
      <c r="H15" s="20"/>
      <c r="I15" s="22" t="s">
        <v>38</v>
      </c>
      <c r="J15" s="128">
        <f>SUBTOTAL(109,Tabla1341530507075100[Contribución])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17000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1154.318822410411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1987.5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510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A7'!$M$8,0)*$G$28</f>
        <v>3710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116586.20106345152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174879.30159517727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194310.33510575251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9.5087024764253734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0.53150936145474414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531.50936145474418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531.50936145474418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194310.33510575251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116586.20106345152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77724.134042300997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66414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67114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71879.093999999997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1.0539946396844038E-2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19431.033510575246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136017.23457402678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194310.33510575251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theme="4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312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25">
      <c r="A4" s="38" t="s">
        <v>0</v>
      </c>
      <c r="B4" s="28" t="s">
        <v>273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20435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2.7447502112693544E-2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4.3744456492105337E-3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71879.093999999997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27200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1.7497782596842135E-2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2040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1.7047472015305758E-2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3.1821947761904078E-2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0.23330376795789515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4.2074346674795808E-2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52</v>
      </c>
      <c r="I14" s="39" t="s">
        <v>8</v>
      </c>
      <c r="J14" s="129">
        <f>$B$8/$B$36</f>
        <v>0.6165317451323431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4905.2882410411066</v>
      </c>
      <c r="C15" s="34">
        <v>90</v>
      </c>
      <c r="D15" s="43" t="s">
        <v>28</v>
      </c>
      <c r="F15" s="18" t="s">
        <v>138</v>
      </c>
      <c r="G15" s="36">
        <f>'Acomodo Familia A7'!M10*2</f>
        <v>16</v>
      </c>
      <c r="H15" s="20"/>
      <c r="I15" s="22" t="s">
        <v>38</v>
      </c>
      <c r="J15" s="128">
        <f>SUBTOTAL(109,Tabla1341530507075100105[Contribución])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1154.318822410411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1987.5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510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A7'!$M$8,0)*$G$28</f>
        <v>3710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116586.20106345152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174879.30159517727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194310.33510575251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9.5087024764253734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0.53150936145474414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531.50936145474418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531.50936145474418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194310.33510575251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116586.20106345152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77724.134042300997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66414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67114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71879.093999999997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1.0539946396844038E-2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19431.033510575246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136017.23457402678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194310.33510575251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theme="4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5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5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6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>
    <tabColor theme="4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A7'!F2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A7'!F3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ROUNDDOWN(E4*10/('01-39413B'!G14/2),0)</f>
        <v>97</v>
      </c>
      <c r="F8" s="16">
        <f>PRODUCT(C8:E8)</f>
        <v>194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194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>
    <tabColor theme="4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313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25">
      <c r="A4" s="38" t="s">
        <v>0</v>
      </c>
      <c r="B4" s="28" t="s">
        <v>287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16216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3.2013169397140474E-2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5.1020988726692635E-3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61535.375999999997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1.7407160859695132E-2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1740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1.7069521963709668E-2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3.1863107665591382E-2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0.23209547812926845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3.8941468073937009E-2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56</v>
      </c>
      <c r="I14" s="39" t="s">
        <v>8</v>
      </c>
      <c r="J14" s="129">
        <f>$B$8/$B$36</f>
        <v>0.61560700493897891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3892.544855234773</v>
      </c>
      <c r="C15" s="34">
        <v>90</v>
      </c>
      <c r="D15" s="43" t="s">
        <v>28</v>
      </c>
      <c r="F15" s="18" t="s">
        <v>138</v>
      </c>
      <c r="G15" s="36">
        <f>'Acomodo Familia A8'!M10*2</f>
        <v>16</v>
      </c>
      <c r="H15" s="20"/>
      <c r="I15" s="22" t="s">
        <v>38</v>
      </c>
      <c r="J15" s="128">
        <f>SUBTOTAL(109,Tabla1341530507075100110120125[Contribución])</f>
        <v>1.0000000000000002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989.69170855234756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1706.25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510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A8'!$M$8,0)*$G$28</f>
        <v>3185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99958.862563787101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149938.29384568066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166598.1042729785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10.273686745990288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0.57426980134098871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574.26980134098869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574.26980134098869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166598.1042729785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99958.862563787101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66639.241709191396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56756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57456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61535.375999999997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1.23334977799704E-2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16659.810427297838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116618.67299108494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166598.1042729785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>
    <tabColor theme="4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313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285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16216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3.2013169397140474E-2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5.1020988726692635E-3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61535.375999999997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1.7407160859695132E-2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1740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1.7069521963709668E-2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3.1863107665591382E-2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0.23209547812926845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3.8941468073937009E-2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56</v>
      </c>
      <c r="I14" s="39" t="s">
        <v>8</v>
      </c>
      <c r="J14" s="129">
        <f>$B$8/$B$36</f>
        <v>0.61560700493897891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3892.544855234773</v>
      </c>
      <c r="C15" s="34">
        <v>90</v>
      </c>
      <c r="D15" s="43" t="s">
        <v>28</v>
      </c>
      <c r="F15" s="18" t="s">
        <v>138</v>
      </c>
      <c r="G15" s="36">
        <f>'Acomodo Familia A8'!M10*2</f>
        <v>16</v>
      </c>
      <c r="H15" s="20"/>
      <c r="I15" s="22" t="s">
        <v>38</v>
      </c>
      <c r="J15" s="128">
        <f>SUBTOTAL(109,Tabla1341530507075100110120[Contribución])</f>
        <v>1.0000000000000002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989.69170855234756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1706.25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510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A8'!$M$8,0)*$G$28</f>
        <v>3185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99958.862563787101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149938.29384568066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166598.1042729785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10.273686745990288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0.57426980134098871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574.26980134098869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574.26980134098869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166598.1042729785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99958.862563787101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66639.241709191396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56756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57456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61535.375999999997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1.23334977799704E-2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16659.810427297838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116618.67299108494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166598.1042729785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>
    <tabColor theme="4" tint="0.3999755851924192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5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5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6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>
    <tabColor theme="4" tint="0.3999755851924192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A8'!F2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A8'!F3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ROUNDDOWN(E4*10/('01-39407B'!G14/2),0)</f>
        <v>90</v>
      </c>
      <c r="F8" s="16">
        <f>PRODUCT(C8:E8)</f>
        <v>180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180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0">
    <tabColor theme="4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313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271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23786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2.219176335713597E-2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4.7157497133913937E-3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89911.520999999993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33600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1.7476013643744577E-2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2520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1.7293971834955568E-2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3.2282080758583728E-2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0.23301351524992767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3.9596166245700795E-2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56</v>
      </c>
      <c r="I14" s="39" t="s">
        <v>8</v>
      </c>
      <c r="J14" s="129">
        <f>$B$8/$B$36</f>
        <v>0.62352974909755032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5709.6738977931864</v>
      </c>
      <c r="C15" s="34">
        <v>90</v>
      </c>
      <c r="D15" s="43" t="s">
        <v>28</v>
      </c>
      <c r="F15" s="18" t="s">
        <v>138</v>
      </c>
      <c r="G15" s="36">
        <f>'Acomodo Familia A8'!M10*2</f>
        <v>16</v>
      </c>
      <c r="H15" s="20"/>
      <c r="I15" s="22" t="s">
        <v>38</v>
      </c>
      <c r="J15" s="128">
        <f>SUBTOTAL(109,Tabla1341530507075100110[Contribución])</f>
        <v>0.99999999999999989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1427.6994489779318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2493.75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680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A8'!$M$8,0)*$G$28</f>
        <v>4655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144197.64434677112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216296.46652015668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240329.40724461852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10.103817676138002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0.56477460459128015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564.77460459128019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564.77460459128019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240329.40724461852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144197.64434677112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96131.762897847395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83251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83951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89911.520999999993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8.408307407718826E-3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24032.940724461834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168230.58507123296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240329.40724461852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>
    <tabColor theme="4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313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255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23786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2.219176335713597E-2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4.7157497133913937E-3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89911.520999999993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33600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1.7476013643744577E-2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2520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1.7293971834955568E-2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3.2282080758583728E-2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0.23301351524992767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3.9596166245700795E-2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56</v>
      </c>
      <c r="I14" s="39" t="s">
        <v>8</v>
      </c>
      <c r="J14" s="129">
        <f>$B$8/$B$36</f>
        <v>0.62352974909755032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5709.6738977931864</v>
      </c>
      <c r="C15" s="34">
        <v>90</v>
      </c>
      <c r="D15" s="43" t="s">
        <v>28</v>
      </c>
      <c r="F15" s="18" t="s">
        <v>138</v>
      </c>
      <c r="G15" s="36">
        <f>'Acomodo Familia A8'!M10*2</f>
        <v>16</v>
      </c>
      <c r="H15" s="20"/>
      <c r="I15" s="22" t="s">
        <v>38</v>
      </c>
      <c r="J15" s="128">
        <f>SUBTOTAL(109,Tabla1341530507075100110115[Contribución])</f>
        <v>0.99999999999999989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1427.6994489779318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2493.75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680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A8'!$M$8,0)*$G$28</f>
        <v>4655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144197.64434677112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216296.46652015668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240329.40724461852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10.103817676138002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0.56477460459128015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564.77460459128019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564.77460459128019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240329.40724461852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144197.64434677112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96131.762897847395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83251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83951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89911.520999999993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8.408307407718826E-3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24032.940724461834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168230.58507123296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240329.40724461852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314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275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14566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3.1454910369852693E-2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5.0131263401952727E-3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63150.443999999996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1.739849729832477E-2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1.7140468736697074E-2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3.1995541641834532E-2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0.2319799639776636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3.4369140337546816E-2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64</v>
      </c>
      <c r="I14" s="39" t="s">
        <v>8</v>
      </c>
      <c r="J14" s="129">
        <f>$B$8/$B$36</f>
        <v>0.62074736119887541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3496.4731352583685</v>
      </c>
      <c r="C15" s="34">
        <v>90</v>
      </c>
      <c r="D15" s="43" t="s">
        <v>28</v>
      </c>
      <c r="F15" s="18" t="s">
        <v>138</v>
      </c>
      <c r="G15" s="36">
        <f>'Acomodo Familia A9'!M10*2</f>
        <v>16</v>
      </c>
      <c r="H15" s="20"/>
      <c r="I15" s="22" t="s">
        <v>38</v>
      </c>
      <c r="J15" s="128">
        <f>SUBTOTAL(109,Tabla1341530507075100110115130[Contribución])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4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1007.2566713525836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1743.7500000000002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510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A9'!$M$8,0)*$G$28</f>
        <v>3255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101732.92380661094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152599.38570991642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169554.87301101824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11.640455376288497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0.6506682714526828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650.6682714526828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650.6682714526828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169554.87301101824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101732.92380661094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67821.949204407298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58264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58964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63150.443999999996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1.2014279829740491E-2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16955.487301101821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118688.41110771276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169554.87301101824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314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277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14566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3.1454910369852693E-2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5.0131263401952727E-3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63150.443999999996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1.739849729832477E-2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1.7140468736697074E-2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3.1995541641834532E-2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0.2319799639776636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3.4369140337546816E-2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64</v>
      </c>
      <c r="I14" s="39" t="s">
        <v>8</v>
      </c>
      <c r="J14" s="129">
        <f>$B$8/$B$36</f>
        <v>0.62074736119887541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3496.4731352583685</v>
      </c>
      <c r="C15" s="34">
        <v>90</v>
      </c>
      <c r="D15" s="43" t="s">
        <v>28</v>
      </c>
      <c r="F15" s="18" t="s">
        <v>138</v>
      </c>
      <c r="G15" s="36">
        <f>'Acomodo Familia A9'!M10*2</f>
        <v>16</v>
      </c>
      <c r="H15" s="20"/>
      <c r="I15" s="22" t="s">
        <v>38</v>
      </c>
      <c r="J15" s="128">
        <f>SUBTOTAL(109,Tabla1341530507075100110115130135[Contribución])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4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1007.2566713525836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1743.7500000000002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510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A9'!$M$8,0)*$G$28</f>
        <v>3255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101732.92380661094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152599.38570991642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169554.87301101824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11.640455376288497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0.6506682714526828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650.6682714526828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650.6682714526828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169554.87301101824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101732.92380661094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67821.949204407298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58264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58964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63150.443999999996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1.2014279829740491E-2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16955.487301101821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118688.41110771276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169554.87301101824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>
    <tabColor theme="4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5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5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6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>
    <tabColor theme="4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ROUNDDOWN(E4*10/('01-39382C'!G14/2),0)</f>
        <v>79</v>
      </c>
      <c r="F8" s="16">
        <f>PRODUCT(C8:E8)</f>
        <v>158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158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6">
    <tabColor theme="4" tint="0.59999389629810485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4.5546875" style="120" customWidth="1"/>
    <col min="4" max="4" width="14.77734375" style="120" customWidth="1"/>
    <col min="5" max="5" width="12.33203125" style="120" customWidth="1"/>
    <col min="6" max="6" width="70.1093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82" t="s">
        <v>316</v>
      </c>
      <c r="C1" s="182"/>
      <c r="D1" s="182"/>
      <c r="E1" s="182"/>
      <c r="F1" s="182"/>
    </row>
    <row r="2" spans="1:19 16376:16379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9 16376:16379" x14ac:dyDescent="0.3">
      <c r="B3" s="182"/>
      <c r="C3" s="182"/>
      <c r="D3" s="182"/>
      <c r="E3" s="182"/>
      <c r="F3" s="182"/>
    </row>
    <row r="4" spans="1:19 16376:16379" s="22" customFormat="1" x14ac:dyDescent="0.3">
      <c r="A4" s="38" t="s">
        <v>0</v>
      </c>
      <c r="B4" s="162" t="s">
        <v>341</v>
      </c>
      <c r="C4" s="21" t="s">
        <v>192</v>
      </c>
      <c r="D4" s="21" t="s">
        <v>257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11808</v>
      </c>
      <c r="C5" s="40">
        <v>11808</v>
      </c>
      <c r="D5" s="40">
        <v>11808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6</v>
      </c>
      <c r="L6" s="129">
        <f>$B$7/$B$36</f>
        <v>3.8800262143429042E-2</v>
      </c>
      <c r="M6" s="120"/>
      <c r="N6" s="120"/>
      <c r="O6" s="120"/>
      <c r="P6" s="120"/>
      <c r="Q6" s="120"/>
      <c r="S6" s="27"/>
      <c r="XEV6" s="18">
        <v>80</v>
      </c>
      <c r="XEW6" s="18" t="s">
        <v>297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4000</v>
      </c>
      <c r="C7" s="24"/>
      <c r="D7" s="74">
        <f>SUM(Tabla6121732527277102112117132147[[#This Row],[MANUAL]:[ETIQUETAS]])</f>
        <v>4000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301</v>
      </c>
      <c r="L7" s="129">
        <f>$B$33/$B$36</f>
        <v>4.947033423287203E-3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63874.439999999995</v>
      </c>
      <c r="C8" s="24"/>
      <c r="D8" s="74">
        <f>SUM(Tabla6121732527277102112117132147[[#This Row],[MANUAL]:[ETIQUETAS]])</f>
        <v>63874.439999999995</v>
      </c>
      <c r="E8" s="34"/>
      <c r="F8" s="39" t="s">
        <v>9</v>
      </c>
      <c r="H8" s="18" t="s">
        <v>124</v>
      </c>
      <c r="I8" s="18" t="s">
        <v>118</v>
      </c>
      <c r="K8" s="39" t="s">
        <v>53</v>
      </c>
      <c r="L8" s="129">
        <f>$B$28/$B$36</f>
        <v>9.9009900990099011E-3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24000</v>
      </c>
      <c r="C9" s="24"/>
      <c r="D9" s="74">
        <f>SUM(Tabla6121732527277102112117132147[[#This Row],[MANUAL]:[ETIQUETAS]])</f>
        <v>24000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14</v>
      </c>
      <c r="L9" s="129">
        <f>$B$10/$B$36</f>
        <v>1.7460117964543068E-2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>
        <f>ROUNDUP(B58/1000,0)*$I$33</f>
        <v>1800</v>
      </c>
      <c r="C10" s="24"/>
      <c r="D10" s="74">
        <f>SUM(Tabla6121732527277102112117132147[[#This Row],[MANUAL]:[ETIQUETAS]])</f>
        <v>1800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60</v>
      </c>
      <c r="L10" s="129">
        <f>$B$32/$B$36</f>
        <v>1.7096365506948423E-2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133</v>
      </c>
      <c r="K11" s="39" t="s">
        <v>62</v>
      </c>
      <c r="L11" s="129">
        <f>$B$34/$B$36</f>
        <v>3.1913215612970385E-2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1020</v>
      </c>
      <c r="K12" s="39" t="s">
        <v>11</v>
      </c>
      <c r="L12" s="129">
        <f>$B$9/$B$36</f>
        <v>0.23280157286057426</v>
      </c>
      <c r="M12" s="120"/>
      <c r="N12" s="120"/>
      <c r="O12" s="120"/>
      <c r="P12" s="120"/>
      <c r="XEV12" s="18">
        <v>150</v>
      </c>
    </row>
    <row r="13" spans="1:19 16376:16379" ht="75.599999999999994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42" t="s">
        <v>113</v>
      </c>
      <c r="L13" s="129">
        <f>$B$15/$B$36</f>
        <v>2.7494188323055242E-2</v>
      </c>
      <c r="M13" s="120"/>
      <c r="N13" s="120"/>
      <c r="O13" s="120"/>
      <c r="P13" s="120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80</v>
      </c>
      <c r="K14" s="39" t="s">
        <v>8</v>
      </c>
      <c r="L14" s="129">
        <f>$B$8/$B$36</f>
        <v>0.6195862540661824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2834.4332542311422</v>
      </c>
      <c r="C15" s="24"/>
      <c r="D15" s="74">
        <f>SUM(Tabla6121732527277102112117132147[[#This Row],[MANUAL]:[ETIQUETAS]])</f>
        <v>2834.4332542311422</v>
      </c>
      <c r="E15" s="34">
        <v>90</v>
      </c>
      <c r="F15" s="43" t="s">
        <v>28</v>
      </c>
      <c r="G15" s="120"/>
      <c r="H15" s="18" t="s">
        <v>138</v>
      </c>
      <c r="I15" s="36">
        <f>'Acomodo Familia A10'!M10*2</f>
        <v>16</v>
      </c>
      <c r="J15" s="20"/>
      <c r="K15" s="22" t="s">
        <v>38</v>
      </c>
      <c r="L15" s="128">
        <f>SUBTOTAL(109,Tabla1341530507075100110115130145[Contribución])</f>
        <v>1</v>
      </c>
      <c r="M15" s="28"/>
      <c r="N15" s="28"/>
      <c r="O15" s="28"/>
      <c r="P15" s="28"/>
      <c r="XEV15" s="18" t="s">
        <v>298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16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5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10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303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300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11000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>
        <f>SUM(B6:B27,B29:B35)*$I$27</f>
        <v>1020.7137325423115</v>
      </c>
      <c r="C28" s="24"/>
      <c r="D28" s="74">
        <f>SUM(Tabla6121732527277102112117132147[[#This Row],[MANUAL]:[ETIQUETAS]])</f>
        <v>1020.7137325423115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301</v>
      </c>
      <c r="I31" s="18">
        <v>170</v>
      </c>
      <c r="M31" s="18"/>
      <c r="N31" s="18"/>
    </row>
    <row r="32" spans="1:20" x14ac:dyDescent="0.25">
      <c r="A32" s="39" t="s">
        <v>60</v>
      </c>
      <c r="B32" s="24">
        <f>ROUNDUP(B34/$I$28,0)/$I$29*$I$30</f>
        <v>1762.5</v>
      </c>
      <c r="C32" s="24"/>
      <c r="D32" s="74">
        <f>SUM(Tabla6121732527277102112117132147[[#This Row],[MANUAL]:[ETIQUETAS]])</f>
        <v>1762.5</v>
      </c>
      <c r="E32" s="39">
        <v>100</v>
      </c>
      <c r="F32" s="39" t="s">
        <v>61</v>
      </c>
      <c r="H32" s="18" t="s">
        <v>302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301</v>
      </c>
      <c r="B33" s="24">
        <f>ROUNDUP(B34/$I$28/$I$32,0)*$I$31</f>
        <v>510</v>
      </c>
      <c r="C33" s="24"/>
      <c r="D33" s="74">
        <f>SUM(Tabla6121732527277102112117132147[[#This Row],[MANUAL]:[ETIQUETAS]])</f>
        <v>510</v>
      </c>
      <c r="E33" s="39"/>
      <c r="F33" s="39"/>
      <c r="H33" s="120" t="s">
        <v>304</v>
      </c>
      <c r="I33" s="120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24">
        <f>ROUNDUP(B5/'Embalaje Familia A10'!$M$8,0)*$I$28</f>
        <v>3290</v>
      </c>
      <c r="C34" s="24"/>
      <c r="D34" s="74">
        <f>SUM(Tabla6121732527277102112117132147[[#This Row],[MANUAL]:[ETIQUETAS]])</f>
        <v>3290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163"/>
      <c r="C35" s="24">
        <f>Tabla6121732527277102112117132147[[#This Row],[Parametro]]*C5</f>
        <v>28553.890909090907</v>
      </c>
      <c r="D35" s="74">
        <f>SUM(Tabla6121732527277102112117132147[[#This Row],[MANUAL]:[ETIQUETAS]])</f>
        <v>28553.890909090907</v>
      </c>
      <c r="E35" s="39">
        <v>2.418181818181818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103092.08698677346</v>
      </c>
      <c r="C36" s="81">
        <f>SUM(C7:C35)</f>
        <v>28553.890909090907</v>
      </c>
      <c r="D36" s="81">
        <f>SUM(D7:D35)</f>
        <v>131645.97789586437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75" t="s">
        <v>65</v>
      </c>
      <c r="B37" s="76">
        <v>0.5</v>
      </c>
      <c r="C37" s="76">
        <v>0.5</v>
      </c>
      <c r="D37" s="76">
        <v>0.5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31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154638.13048016018</v>
      </c>
      <c r="C39" s="24">
        <f>C36*(1+C37)</f>
        <v>42830.836363636365</v>
      </c>
      <c r="D39" s="24">
        <f>D36*(1+D37)</f>
        <v>197468.96684379654</v>
      </c>
      <c r="E39" s="39"/>
      <c r="F39" s="39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171820.14497795576</v>
      </c>
      <c r="C40" s="81">
        <f t="shared" ref="C40:D40" si="0">C39/0.9</f>
        <v>47589.818181818184</v>
      </c>
      <c r="D40" s="81">
        <f t="shared" si="0"/>
        <v>219409.96315977394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14.551164039461023</v>
      </c>
      <c r="C41" s="24">
        <f>+C40/C5</f>
        <v>4.0303030303030303</v>
      </c>
      <c r="D41" s="24">
        <f>+D40/D5</f>
        <v>18.581467069764052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0.8133685880078827</v>
      </c>
      <c r="C43" s="32">
        <f>+C41/C42</f>
        <v>0.22528244998898994</v>
      </c>
      <c r="D43" s="32">
        <f>+D41/D42</f>
        <v>1.0386510379968728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813.36858800788275</v>
      </c>
      <c r="C44" s="83">
        <f>+C43*1000</f>
        <v>225.28244998898995</v>
      </c>
      <c r="D44" s="83">
        <f>+D43*1000</f>
        <v>1038.6510379968727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>
        <f>SUM(Tabla6121732527277102112117132147[[#This Row],[MANUAL]:[ETIQUETAS]])</f>
        <v>0</v>
      </c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1">+B44-B45</f>
        <v>813.36858800788275</v>
      </c>
      <c r="C46" s="33"/>
      <c r="D46" s="74">
        <f>SUM(Tabla6121732527277102112117132147[[#This Row],[MANUAL]:[ETIQUETAS]])</f>
        <v>813.36858800788275</v>
      </c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171820.14497795576</v>
      </c>
      <c r="C47" s="48"/>
      <c r="D47" s="74">
        <f>SUM(Tabla6121732527277102112117132147[[#This Row],[MANUAL]:[ETIQUETAS]])</f>
        <v>171820.14497795576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103092.08698677346</v>
      </c>
      <c r="C48" s="48"/>
      <c r="D48" s="74">
        <f>SUM(Tabla6121732527277102112117132147[[#This Row],[MANUAL]:[ETIQUETAS]])</f>
        <v>103092.08698677346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68728.057991182301</v>
      </c>
      <c r="C49" s="49"/>
      <c r="D49" s="74">
        <f>SUM(Tabla6121732527277102112117132147[[#This Row],[MANUAL]:[ETIQUETAS]])</f>
        <v>68728.057991182301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2">+B49/B47</f>
        <v>0.39999999999999997</v>
      </c>
      <c r="C50" s="50"/>
      <c r="D50" s="50">
        <f t="shared" si="2"/>
        <v>0.39999999999999997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3">B48/B47</f>
        <v>0.6</v>
      </c>
      <c r="C51" s="50"/>
      <c r="D51" s="50">
        <f t="shared" si="3"/>
        <v>0.6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20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20" x14ac:dyDescent="0.25">
      <c r="A56" s="70" t="s">
        <v>82</v>
      </c>
      <c r="B56" s="53">
        <f>ROUNDUP(B5*$I$17,0)</f>
        <v>59040</v>
      </c>
      <c r="C56" s="54"/>
      <c r="D56" s="55"/>
      <c r="E56" s="18"/>
      <c r="F56" s="18"/>
      <c r="K56" s="28"/>
      <c r="L56" s="28"/>
      <c r="M56" s="28"/>
      <c r="N56" s="28"/>
    </row>
    <row r="57" spans="1:20" ht="14.4" customHeight="1" x14ac:dyDescent="0.25">
      <c r="A57" s="70" t="s">
        <v>83</v>
      </c>
      <c r="B57" s="53">
        <f>ROUNDUP(B5/$I$23,0)*$I$22</f>
        <v>600</v>
      </c>
      <c r="C57" s="39"/>
      <c r="D57" s="55"/>
      <c r="E57" s="18"/>
      <c r="F57" s="18"/>
      <c r="K57" s="28"/>
      <c r="L57" s="28"/>
      <c r="M57" s="28"/>
      <c r="N57" s="28"/>
    </row>
    <row r="58" spans="1:20" x14ac:dyDescent="0.25">
      <c r="A58" s="70" t="s">
        <v>84</v>
      </c>
      <c r="B58" s="53">
        <f>SUM(B56:B57)</f>
        <v>59640</v>
      </c>
      <c r="C58" s="39"/>
      <c r="D58" s="56"/>
      <c r="E58" s="18"/>
      <c r="F58" s="18"/>
      <c r="K58" s="28"/>
      <c r="L58" s="28"/>
      <c r="M58" s="28"/>
      <c r="N58" s="28"/>
    </row>
    <row r="59" spans="1:20" x14ac:dyDescent="0.3">
      <c r="A59" s="70" t="s">
        <v>85</v>
      </c>
      <c r="B59" s="34">
        <f>+B55*B58</f>
        <v>63874.439999999995</v>
      </c>
      <c r="C59" s="39"/>
      <c r="D59" s="39"/>
      <c r="E59" s="39"/>
      <c r="F59" s="18"/>
      <c r="K59" s="10"/>
      <c r="L59" s="10"/>
      <c r="M59" s="18"/>
      <c r="N59" s="18"/>
    </row>
    <row r="60" spans="1:20" x14ac:dyDescent="0.3">
      <c r="A60" s="70" t="s">
        <v>154</v>
      </c>
      <c r="B60" s="54">
        <f>B57/B56</f>
        <v>1.016260162601626E-2</v>
      </c>
      <c r="C60" s="39"/>
      <c r="D60" s="39"/>
      <c r="E60" s="53"/>
      <c r="F60" s="39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17182.014497795579</v>
      </c>
      <c r="C62" s="35">
        <f t="shared" ref="C62:D62" si="4">C40-C39</f>
        <v>4758.9818181818191</v>
      </c>
      <c r="D62" s="35">
        <f t="shared" si="4"/>
        <v>21940.996315977391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120274.10148456904</v>
      </c>
      <c r="C63" s="35">
        <f t="shared" ref="C63:D63" si="5">C36+C62</f>
        <v>33312.872727272726</v>
      </c>
      <c r="D63" s="35">
        <f t="shared" si="5"/>
        <v>153586.97421184176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171820.14497795576</v>
      </c>
      <c r="C64" s="35">
        <f t="shared" ref="C64:D64" si="6">C40</f>
        <v>47589.818181818184</v>
      </c>
      <c r="D64" s="35">
        <f t="shared" si="6"/>
        <v>219409.96315977394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71">
        <f t="shared" ref="C65:D65" si="7">(C64-C63)/C64</f>
        <v>0.30000000000000004</v>
      </c>
      <c r="D65" s="71">
        <f t="shared" si="7"/>
        <v>0.29999999999999993</v>
      </c>
      <c r="F65" s="18"/>
    </row>
  </sheetData>
  <mergeCells count="1">
    <mergeCell ref="B1:F3"/>
  </mergeCells>
  <dataValidations count="4">
    <dataValidation type="list" allowBlank="1" showInputMessage="1" showErrorMessage="1" sqref="I10">
      <formula1>$XEV$5:$XEV$15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8">
      <formula1>$XEX$5:$XEX$10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>
    <tabColor theme="4" tint="0.59999389629810485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5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5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6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>
    <tabColor theme="4" tint="0.59999389629810485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ROUNDDOWN(E4*10/('8114A2935E'!I14/2),0)</f>
        <v>63</v>
      </c>
      <c r="F8" s="16">
        <f>PRODUCT(C8:E8)</f>
        <v>126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126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>
    <tabColor theme="4" tint="0.59999389629810485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4.5546875" style="120" customWidth="1"/>
    <col min="4" max="4" width="14.77734375" style="120" customWidth="1"/>
    <col min="5" max="5" width="12.33203125" style="120" customWidth="1"/>
    <col min="6" max="6" width="70.109375" style="120" customWidth="1"/>
    <col min="7" max="7" width="18.44140625" style="18" bestFit="1" customWidth="1"/>
    <col min="8" max="8" width="32" style="18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67" customWidth="1"/>
    <col min="14" max="14" width="14.5546875" style="167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82" t="s">
        <v>316</v>
      </c>
      <c r="C1" s="182"/>
      <c r="D1" s="182"/>
      <c r="E1" s="182"/>
      <c r="F1" s="182"/>
    </row>
    <row r="2" spans="1:19 16376:16379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9 16376:16379" x14ac:dyDescent="0.3">
      <c r="B3" s="182"/>
      <c r="C3" s="182"/>
      <c r="D3" s="182"/>
      <c r="E3" s="182"/>
      <c r="F3" s="182"/>
    </row>
    <row r="4" spans="1:19 16376:16379" s="22" customFormat="1" x14ac:dyDescent="0.3">
      <c r="A4" s="38" t="s">
        <v>0</v>
      </c>
      <c r="B4" s="162" t="s">
        <v>341</v>
      </c>
      <c r="C4" s="21" t="s">
        <v>192</v>
      </c>
      <c r="D4" s="21" t="s">
        <v>226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23372</v>
      </c>
      <c r="C5" s="40">
        <v>23372</v>
      </c>
      <c r="D5" s="40">
        <v>23372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6</v>
      </c>
      <c r="L6" s="129">
        <f>$B$7/$B$36</f>
        <v>2.0255276653874898E-2</v>
      </c>
      <c r="M6" s="120"/>
      <c r="N6" s="120"/>
      <c r="O6" s="120"/>
      <c r="P6" s="120"/>
      <c r="Q6" s="120"/>
      <c r="S6" s="27"/>
      <c r="XEV6" s="18">
        <v>80</v>
      </c>
      <c r="XEW6" s="18" t="s">
        <v>297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4000</v>
      </c>
      <c r="C7" s="24"/>
      <c r="D7" s="74">
        <f>SUM(Tabla6121732527277102112117132147257[[#This Row],[MANUAL]:[ETIQUETAS]])</f>
        <v>4000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301</v>
      </c>
      <c r="L7" s="129">
        <f>$B$33/$B$36</f>
        <v>4.3042462889484158E-3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126281.61</v>
      </c>
      <c r="C8" s="24"/>
      <c r="D8" s="74">
        <f>SUM(Tabla6121732527277102112117132147257[[#This Row],[MANUAL]:[ETIQUETAS]])</f>
        <v>126281.61</v>
      </c>
      <c r="E8" s="34"/>
      <c r="F8" s="39" t="s">
        <v>9</v>
      </c>
      <c r="H8" s="18" t="s">
        <v>124</v>
      </c>
      <c r="I8" s="18" t="s">
        <v>118</v>
      </c>
      <c r="K8" s="39" t="s">
        <v>53</v>
      </c>
      <c r="L8" s="129">
        <f>$B$28/$B$36</f>
        <v>0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47200</v>
      </c>
      <c r="C9" s="24"/>
      <c r="D9" s="74">
        <f>SUM(Tabla6121732527277102112117132147257[[#This Row],[MANUAL]:[ETIQUETAS]])</f>
        <v>47200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14</v>
      </c>
      <c r="L9" s="129">
        <f>$B$10/$B$36</f>
        <v>1.7925919838679284E-2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>
        <f>ROUNDUP(B58/1000,0)*$I$33</f>
        <v>3540</v>
      </c>
      <c r="C10" s="24"/>
      <c r="D10" s="74">
        <f>SUM(Tabla6121732527277102112117132147257[[#This Row],[MANUAL]:[ETIQUETAS]])</f>
        <v>3540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60</v>
      </c>
      <c r="L10" s="129">
        <f>$B$32/$B$36</f>
        <v>1.7660069332597176E-2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133</v>
      </c>
      <c r="K11" s="39" t="s">
        <v>62</v>
      </c>
      <c r="L11" s="129">
        <f>$B$34/$B$36</f>
        <v>3.2965462754181392E-2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1020</v>
      </c>
      <c r="K12" s="39" t="s">
        <v>11</v>
      </c>
      <c r="L12" s="129">
        <f>$B$9/$B$36</f>
        <v>0.23901226451572377</v>
      </c>
      <c r="M12" s="120"/>
      <c r="N12" s="120"/>
      <c r="O12" s="120"/>
      <c r="P12" s="120"/>
      <c r="XEV12" s="18">
        <v>150</v>
      </c>
    </row>
    <row r="13" spans="1:19 16376:16379" ht="75.599999999999994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42" t="s">
        <v>113</v>
      </c>
      <c r="L13" s="129">
        <f>$B$15/$B$36</f>
        <v>2.840952390431142E-2</v>
      </c>
      <c r="M13" s="120"/>
      <c r="N13" s="120"/>
      <c r="O13" s="120"/>
      <c r="P13" s="120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80</v>
      </c>
      <c r="K14" s="39" t="s">
        <v>8</v>
      </c>
      <c r="L14" s="129">
        <f>$B$8/$B$36</f>
        <v>0.63946723671168371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5610.2959025991067</v>
      </c>
      <c r="C15" s="24"/>
      <c r="D15" s="74">
        <f>SUM(Tabla6121732527277102112117132147257[[#This Row],[MANUAL]:[ETIQUETAS]])</f>
        <v>5610.2959025991067</v>
      </c>
      <c r="E15" s="34">
        <v>90</v>
      </c>
      <c r="F15" s="43" t="s">
        <v>28</v>
      </c>
      <c r="G15" s="120"/>
      <c r="H15" s="18" t="s">
        <v>138</v>
      </c>
      <c r="I15" s="36">
        <f>'Acomodo Familia A10'!M10*2</f>
        <v>16</v>
      </c>
      <c r="J15" s="20"/>
      <c r="K15" s="22" t="s">
        <v>38</v>
      </c>
      <c r="L15" s="128">
        <f>SUBTOTAL(109,Tabla1341530507075100110115130145255[Contribución])</f>
        <v>1</v>
      </c>
      <c r="M15" s="28"/>
      <c r="N15" s="28"/>
      <c r="O15" s="28"/>
      <c r="P15" s="28"/>
      <c r="XEV15" s="18" t="s">
        <v>298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16</v>
      </c>
      <c r="K16" s="167"/>
      <c r="L16" s="167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5</v>
      </c>
      <c r="K17" s="167"/>
      <c r="L17" s="167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10</v>
      </c>
      <c r="K18" s="167"/>
      <c r="L18" s="167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67"/>
      <c r="L19" s="167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67"/>
      <c r="L20" s="167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303</v>
      </c>
      <c r="I21" s="59">
        <f>Compaginado!F18</f>
        <v>0.24004346665236637</v>
      </c>
      <c r="K21" s="167"/>
      <c r="L21" s="167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350</v>
      </c>
      <c r="K22" s="167"/>
      <c r="L22" s="167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11000</v>
      </c>
      <c r="K23" s="167"/>
      <c r="L23" s="167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67"/>
      <c r="L24" s="167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67"/>
      <c r="L25" s="167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SUM(D6:D27,D29:D35)*I27</f>
        <v>2501.6316598259905</v>
      </c>
      <c r="E28" s="44" t="s">
        <v>54</v>
      </c>
      <c r="F28" s="39" t="s">
        <v>55</v>
      </c>
      <c r="H28" s="64" t="s">
        <v>173</v>
      </c>
      <c r="I28" s="64">
        <v>35</v>
      </c>
      <c r="K28" s="167"/>
      <c r="L28" s="167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67"/>
      <c r="L29" s="167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67"/>
      <c r="L30" s="167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301</v>
      </c>
      <c r="I31" s="18">
        <v>170</v>
      </c>
      <c r="M31" s="18"/>
      <c r="N31" s="18"/>
    </row>
    <row r="32" spans="1:20" x14ac:dyDescent="0.25">
      <c r="A32" s="39" t="s">
        <v>60</v>
      </c>
      <c r="B32" s="24">
        <f>ROUNDUP(B34/$I$28,0)/$I$29*$I$30</f>
        <v>3487.5000000000005</v>
      </c>
      <c r="C32" s="24"/>
      <c r="D32" s="74">
        <f>SUM(Tabla6121732527277102112117132147257[[#This Row],[MANUAL]:[ETIQUETAS]])</f>
        <v>3487.5000000000005</v>
      </c>
      <c r="E32" s="39">
        <v>100</v>
      </c>
      <c r="F32" s="39" t="s">
        <v>61</v>
      </c>
      <c r="H32" s="18" t="s">
        <v>302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301</v>
      </c>
      <c r="B33" s="24">
        <f>ROUNDUP(B34/$I$28/$I$32,0)*$I$31</f>
        <v>850</v>
      </c>
      <c r="C33" s="24"/>
      <c r="D33" s="74">
        <f>SUM(Tabla6121732527277102112117132147257[[#This Row],[MANUAL]:[ETIQUETAS]])</f>
        <v>850</v>
      </c>
      <c r="E33" s="39"/>
      <c r="F33" s="39"/>
      <c r="H33" s="120" t="s">
        <v>304</v>
      </c>
      <c r="I33" s="120">
        <v>30</v>
      </c>
      <c r="K33" s="167"/>
      <c r="L33" s="167"/>
      <c r="M33" s="28"/>
      <c r="N33" s="28"/>
      <c r="O33" s="28"/>
      <c r="P33" s="28"/>
    </row>
    <row r="34" spans="1:16" x14ac:dyDescent="0.25">
      <c r="A34" s="39" t="s">
        <v>62</v>
      </c>
      <c r="B34" s="24">
        <f>ROUNDUP(B5/'Embalaje Familia A10'!$M$8,0)*$I$28</f>
        <v>6510</v>
      </c>
      <c r="C34" s="24"/>
      <c r="D34" s="74">
        <f>SUM(Tabla6121732527277102112117132147257[[#This Row],[MANUAL]:[ETIQUETAS]])</f>
        <v>6510</v>
      </c>
      <c r="E34" s="39">
        <v>30</v>
      </c>
      <c r="F34" s="39" t="s">
        <v>63</v>
      </c>
      <c r="K34" s="167"/>
      <c r="L34" s="167"/>
      <c r="M34" s="28"/>
      <c r="N34" s="28"/>
      <c r="O34" s="28"/>
      <c r="P34" s="28"/>
    </row>
    <row r="35" spans="1:16" ht="14.4" thickBot="1" x14ac:dyDescent="0.3">
      <c r="A35" s="39" t="s">
        <v>176</v>
      </c>
      <c r="B35" s="163"/>
      <c r="C35" s="24">
        <f>Tabla6121732527277102112117132147257[[#This Row],[Parametro]]*20*C5</f>
        <v>52683.760079999949</v>
      </c>
      <c r="D35" s="74">
        <f>SUM(Tabla6121732527277102112117132147257[[#This Row],[MANUAL]:[ETIQUETAS]])</f>
        <v>52683.760079999949</v>
      </c>
      <c r="E35" s="39">
        <v>0.11270699999999989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197479.4059025991</v>
      </c>
      <c r="C36" s="81">
        <f>SUM(C7:C35)</f>
        <v>52683.760079999949</v>
      </c>
      <c r="D36" s="136">
        <f>SUM(D7:D35)</f>
        <v>252664.79764242505</v>
      </c>
      <c r="E36" s="39"/>
      <c r="F36" s="39"/>
      <c r="K36" s="167"/>
      <c r="L36" s="167"/>
      <c r="M36" s="28"/>
      <c r="N36" s="28"/>
      <c r="O36" s="28"/>
      <c r="P36" s="28"/>
    </row>
    <row r="37" spans="1:16" ht="14.4" thickTop="1" x14ac:dyDescent="0.25">
      <c r="A37" s="75" t="s">
        <v>65</v>
      </c>
      <c r="B37" s="76">
        <v>0.5</v>
      </c>
      <c r="C37" s="76">
        <v>0.5</v>
      </c>
      <c r="D37" s="77">
        <v>0.5</v>
      </c>
      <c r="E37" s="39"/>
      <c r="F37" s="39"/>
      <c r="K37" s="167"/>
      <c r="L37" s="167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>
        <f>SUM(Tabla6121732527277102112117132147257[[#This Row],[MANUAL]:[ETIQUETAS]])</f>
        <v>0</v>
      </c>
      <c r="E38" s="39"/>
      <c r="F38" s="39"/>
      <c r="K38" s="167"/>
      <c r="L38" s="167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296219.10885389865</v>
      </c>
      <c r="C39" s="24">
        <f>C36*(1+C37)</f>
        <v>79025.640119999924</v>
      </c>
      <c r="D39" s="24">
        <f>D36*(1+D37)</f>
        <v>378997.19646363758</v>
      </c>
      <c r="E39" s="39"/>
      <c r="F39" s="39"/>
      <c r="K39" s="167"/>
      <c r="L39" s="167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329132.3431709985</v>
      </c>
      <c r="C40" s="81">
        <f t="shared" ref="C40:D40" si="0">C39/0.9</f>
        <v>87806.26679999991</v>
      </c>
      <c r="D40" s="81">
        <f t="shared" si="0"/>
        <v>421107.99607070838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14.082335408651314</v>
      </c>
      <c r="C41" s="24">
        <f>+C40/C5</f>
        <v>3.7568999999999964</v>
      </c>
      <c r="D41" s="24">
        <f>+D40/D5</f>
        <v>18.017627762737821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0.78716240406100135</v>
      </c>
      <c r="C43" s="32">
        <f>+C41/C42</f>
        <v>0.2099999999999998</v>
      </c>
      <c r="D43" s="32">
        <f>+D41/D42</f>
        <v>1.007134028101611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787.16240406100133</v>
      </c>
      <c r="C44" s="83">
        <f t="shared" ref="C44:D44" si="1">+C43*1000</f>
        <v>209.9999999999998</v>
      </c>
      <c r="D44" s="83">
        <f t="shared" si="1"/>
        <v>1007.134028101611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>
        <f>SUM(Tabla6121732527277102112117132147257[[#This Row],[MANUAL]:[ETIQUETAS]])</f>
        <v>0</v>
      </c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2">+B44-B45</f>
        <v>787.16240406100133</v>
      </c>
      <c r="C46" s="33"/>
      <c r="D46" s="74">
        <f>SUM(Tabla6121732527277102112117132147257[[#This Row],[MANUAL]:[ETIQUETAS]])</f>
        <v>787.16240406100133</v>
      </c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329132.3431709985</v>
      </c>
      <c r="C47" s="48"/>
      <c r="D47" s="74">
        <f>SUM(Tabla6121732527277102112117132147257[[#This Row],[MANUAL]:[ETIQUETAS]])</f>
        <v>329132.3431709985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197479.4059025991</v>
      </c>
      <c r="C48" s="48"/>
      <c r="D48" s="74">
        <f>SUM(Tabla6121732527277102112117132147257[[#This Row],[MANUAL]:[ETIQUETAS]])</f>
        <v>197479.4059025991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131652.9372683994</v>
      </c>
      <c r="C49" s="49"/>
      <c r="D49" s="74">
        <f>SUM(Tabla6121732527277102112117132147257[[#This Row],[MANUAL]:[ETIQUETAS]])</f>
        <v>131652.9372683994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3">+B49/B47</f>
        <v>0.4</v>
      </c>
      <c r="C50" s="50"/>
      <c r="D50" s="50">
        <f t="shared" si="3"/>
        <v>0.4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4">B48/B47</f>
        <v>0.6</v>
      </c>
      <c r="C51" s="50"/>
      <c r="D51" s="50">
        <f t="shared" si="4"/>
        <v>0.6</v>
      </c>
      <c r="E51" s="39"/>
      <c r="F51" s="44"/>
      <c r="G51" s="50"/>
      <c r="H51" s="44"/>
      <c r="I51" s="120"/>
      <c r="J51" s="52"/>
      <c r="O51" s="167"/>
      <c r="P51" s="167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67"/>
      <c r="L52" s="167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20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20" x14ac:dyDescent="0.25">
      <c r="A56" s="70" t="s">
        <v>82</v>
      </c>
      <c r="B56" s="53">
        <f>ROUNDUP(B5*$I$17,0)</f>
        <v>116860</v>
      </c>
      <c r="C56" s="54"/>
      <c r="D56" s="55"/>
      <c r="E56" s="18"/>
      <c r="F56" s="18"/>
      <c r="K56" s="28"/>
      <c r="L56" s="28"/>
      <c r="M56" s="28"/>
      <c r="N56" s="28"/>
    </row>
    <row r="57" spans="1:20" ht="14.4" customHeight="1" x14ac:dyDescent="0.25">
      <c r="A57" s="70" t="s">
        <v>83</v>
      </c>
      <c r="B57" s="53">
        <f>ROUNDUP(B5/$I$23,0)*$I$22</f>
        <v>1050</v>
      </c>
      <c r="C57" s="39"/>
      <c r="D57" s="55"/>
      <c r="E57" s="18"/>
      <c r="F57" s="18"/>
      <c r="K57" s="28"/>
      <c r="L57" s="28"/>
      <c r="M57" s="28"/>
      <c r="N57" s="28"/>
    </row>
    <row r="58" spans="1:20" x14ac:dyDescent="0.25">
      <c r="A58" s="70" t="s">
        <v>84</v>
      </c>
      <c r="B58" s="53">
        <f>SUM(B56:B57)</f>
        <v>117910</v>
      </c>
      <c r="C58" s="39"/>
      <c r="D58" s="56"/>
      <c r="E58" s="18"/>
      <c r="F58" s="18"/>
      <c r="K58" s="28"/>
      <c r="L58" s="28"/>
      <c r="M58" s="28"/>
      <c r="N58" s="28"/>
    </row>
    <row r="59" spans="1:20" x14ac:dyDescent="0.3">
      <c r="A59" s="70" t="s">
        <v>85</v>
      </c>
      <c r="B59" s="34">
        <f>+B55*B58</f>
        <v>126281.61</v>
      </c>
      <c r="C59" s="39"/>
      <c r="D59" s="39"/>
      <c r="E59" s="39"/>
      <c r="F59" s="18"/>
      <c r="K59" s="167"/>
      <c r="L59" s="167"/>
      <c r="M59" s="18"/>
      <c r="N59" s="18"/>
    </row>
    <row r="60" spans="1:20" x14ac:dyDescent="0.3">
      <c r="A60" s="70" t="s">
        <v>154</v>
      </c>
      <c r="B60" s="54">
        <f>B57/B56</f>
        <v>8.9851103884990586E-3</v>
      </c>
      <c r="C60" s="39"/>
      <c r="D60" s="39"/>
      <c r="E60" s="53"/>
      <c r="F60" s="39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32913.23431709985</v>
      </c>
      <c r="C62" s="35">
        <f t="shared" ref="C62:D62" si="5">C40-C39</f>
        <v>8780.6266799999867</v>
      </c>
      <c r="D62" s="35">
        <f t="shared" si="5"/>
        <v>42110.799607070803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230392.64021969895</v>
      </c>
      <c r="C63" s="35">
        <f t="shared" ref="C63:D63" si="6">C36+C62</f>
        <v>61464.386759999936</v>
      </c>
      <c r="D63" s="35">
        <f t="shared" si="6"/>
        <v>294775.59724949586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329132.3431709985</v>
      </c>
      <c r="C64" s="35">
        <f t="shared" ref="C64:D64" si="7">C40</f>
        <v>87806.26679999991</v>
      </c>
      <c r="D64" s="35">
        <f t="shared" si="7"/>
        <v>421107.99607070838</v>
      </c>
      <c r="E64" s="18"/>
      <c r="F64" s="18"/>
      <c r="K64" s="167"/>
      <c r="L64" s="167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71">
        <f t="shared" ref="C65:D65" si="8">(C64-C63)/C64</f>
        <v>0.3</v>
      </c>
      <c r="D65" s="71">
        <f t="shared" si="8"/>
        <v>0.30000000000000004</v>
      </c>
      <c r="F65" s="18"/>
    </row>
  </sheetData>
  <mergeCells count="1">
    <mergeCell ref="B1:F3"/>
  </mergeCells>
  <dataValidations disablePrompts="1"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>
    <tabColor theme="4" tint="0.59999389629810485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4.5546875" style="120" customWidth="1"/>
    <col min="4" max="4" width="14.77734375" style="120" customWidth="1"/>
    <col min="5" max="5" width="12.33203125" style="120" customWidth="1"/>
    <col min="6" max="6" width="70.109375" style="120" customWidth="1"/>
    <col min="7" max="7" width="18.44140625" style="18" bestFit="1" customWidth="1"/>
    <col min="8" max="8" width="27.21875" style="18" customWidth="1"/>
    <col min="9" max="9" width="13.77734375" style="18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82" t="s">
        <v>316</v>
      </c>
      <c r="C1" s="182"/>
      <c r="D1" s="182"/>
      <c r="E1" s="182"/>
      <c r="F1" s="182"/>
    </row>
    <row r="2" spans="1:19 16376:16379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9 16376:16379" x14ac:dyDescent="0.3">
      <c r="B3" s="182"/>
      <c r="C3" s="182"/>
      <c r="D3" s="182"/>
      <c r="E3" s="182"/>
      <c r="F3" s="182"/>
    </row>
    <row r="4" spans="1:19 16376:16379" s="22" customFormat="1" x14ac:dyDescent="0.3">
      <c r="A4" s="38" t="s">
        <v>0</v>
      </c>
      <c r="B4" s="162" t="s">
        <v>341</v>
      </c>
      <c r="C4" s="21" t="s">
        <v>192</v>
      </c>
      <c r="D4" s="21" t="s">
        <v>279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8032</v>
      </c>
      <c r="C5" s="40">
        <v>8032</v>
      </c>
      <c r="D5" s="40">
        <v>8032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6</v>
      </c>
      <c r="L6" s="129">
        <f>$B$7/$B$36</f>
        <v>5.6040150289839046E-2</v>
      </c>
      <c r="M6" s="120"/>
      <c r="N6" s="120"/>
      <c r="O6" s="120"/>
      <c r="P6" s="120"/>
      <c r="Q6" s="120"/>
      <c r="S6" s="27"/>
      <c r="XEV6" s="18">
        <v>80</v>
      </c>
      <c r="XEW6" s="18" t="s">
        <v>297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4000</v>
      </c>
      <c r="C7" s="24"/>
      <c r="D7" s="74">
        <f>SUM(Tabla6121732527277102112117132147192[[#This Row],[MANUAL]:[ETIQUETAS]])</f>
        <v>4000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301</v>
      </c>
      <c r="L7" s="129">
        <f>$B$33/$B$36</f>
        <v>4.7634127746363185E-3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43332.659999999996</v>
      </c>
      <c r="C8" s="24"/>
      <c r="D8" s="74">
        <f>SUM(Tabla6121732527277102112117132147192[[#This Row],[MANUAL]:[ETIQUETAS]])</f>
        <v>43332.659999999996</v>
      </c>
      <c r="E8" s="34"/>
      <c r="F8" s="39" t="s">
        <v>9</v>
      </c>
      <c r="H8" s="18" t="s">
        <v>124</v>
      </c>
      <c r="I8" s="18" t="s">
        <v>118</v>
      </c>
      <c r="K8" s="39" t="s">
        <v>53</v>
      </c>
      <c r="L8" s="129">
        <f>$B$28/$B$36</f>
        <v>9.9009900990099028E-3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16400</v>
      </c>
      <c r="C9" s="24"/>
      <c r="D9" s="74">
        <f>SUM(Tabla6121732527277102112117132147192[[#This Row],[MANUAL]:[ETIQUETAS]])</f>
        <v>16400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14</v>
      </c>
      <c r="L9" s="129">
        <f>$B$10/$B$36</f>
        <v>1.7232346214125508E-2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>
        <f>ROUNDUP(B58/1000,0)*$I$33</f>
        <v>1230</v>
      </c>
      <c r="C10" s="24"/>
      <c r="D10" s="74">
        <f>SUM(Tabla6121732527277102112117132147192[[#This Row],[MANUAL]:[ETIQUETAS]])</f>
        <v>1230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60</v>
      </c>
      <c r="L10" s="129">
        <f>$B$32/$B$36</f>
        <v>1.6812045086951714E-2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133</v>
      </c>
      <c r="K11" s="39" t="s">
        <v>62</v>
      </c>
      <c r="L11" s="129">
        <f>$B$34/$B$36</f>
        <v>3.1382484162309862E-2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1020</v>
      </c>
      <c r="K12" s="39" t="s">
        <v>11</v>
      </c>
      <c r="L12" s="129">
        <f>$B$9/$B$36</f>
        <v>0.2297646161883401</v>
      </c>
      <c r="M12" s="120"/>
      <c r="N12" s="120"/>
      <c r="O12" s="120"/>
      <c r="P12" s="120"/>
      <c r="XEV12" s="18">
        <v>150</v>
      </c>
    </row>
    <row r="13" spans="1:19 16376:16379" ht="75.599999999999994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42" t="s">
        <v>113</v>
      </c>
      <c r="L13" s="129">
        <f>$B$15/$B$36</f>
        <v>2.7011760470163498E-2</v>
      </c>
      <c r="M13" s="120"/>
      <c r="N13" s="120"/>
      <c r="O13" s="120"/>
      <c r="P13" s="120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80</v>
      </c>
      <c r="K14" s="39" t="s">
        <v>8</v>
      </c>
      <c r="L14" s="129">
        <f>$B$8/$B$36</f>
        <v>0.60709219471462417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1928.0291241518066</v>
      </c>
      <c r="C15" s="24"/>
      <c r="D15" s="74">
        <f>SUM(Tabla6121732527277102112117132147192[[#This Row],[MANUAL]:[ETIQUETAS]])</f>
        <v>1928.0291241518066</v>
      </c>
      <c r="E15" s="34">
        <v>90</v>
      </c>
      <c r="F15" s="43" t="s">
        <v>28</v>
      </c>
      <c r="G15" s="120"/>
      <c r="H15" s="18" t="s">
        <v>138</v>
      </c>
      <c r="I15" s="36">
        <f>'Acomodo Familia A10'!M10*2</f>
        <v>16</v>
      </c>
      <c r="J15" s="20"/>
      <c r="K15" s="22" t="s">
        <v>38</v>
      </c>
      <c r="L15" s="128">
        <f>SUBTOTAL(109,Tabla1341530507075100110115130145190[Contribución])</f>
        <v>1</v>
      </c>
      <c r="M15" s="28"/>
      <c r="N15" s="28"/>
      <c r="O15" s="28"/>
      <c r="P15" s="28"/>
      <c r="XEV15" s="18" t="s">
        <v>298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16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5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10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303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300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11000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>
        <f>SUM(B6:B27,B29:B35)*$I$27</f>
        <v>706.70689124151806</v>
      </c>
      <c r="C28" s="24"/>
      <c r="D28" s="74">
        <f>SUM(Tabla6121732527277102112117132147192[[#This Row],[MANUAL]:[ETIQUETAS]])</f>
        <v>706.70689124151806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301</v>
      </c>
      <c r="I31" s="18">
        <v>170</v>
      </c>
      <c r="M31" s="18"/>
      <c r="N31" s="18"/>
    </row>
    <row r="32" spans="1:20" x14ac:dyDescent="0.25">
      <c r="A32" s="39" t="s">
        <v>60</v>
      </c>
      <c r="B32" s="24">
        <f>ROUNDUP(B34/$I$28,0)/$I$29*$I$30</f>
        <v>1200</v>
      </c>
      <c r="C32" s="24"/>
      <c r="D32" s="74">
        <f>SUM(Tabla6121732527277102112117132147192[[#This Row],[MANUAL]:[ETIQUETAS]])</f>
        <v>1200</v>
      </c>
      <c r="E32" s="39">
        <v>100</v>
      </c>
      <c r="F32" s="39" t="s">
        <v>61</v>
      </c>
      <c r="H32" s="18" t="s">
        <v>302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301</v>
      </c>
      <c r="B33" s="24">
        <f>ROUNDUP(B34/$I$28/$I$32,0)*$I$31</f>
        <v>340</v>
      </c>
      <c r="C33" s="24"/>
      <c r="D33" s="74">
        <f>SUM(Tabla6121732527277102112117132147192[[#This Row],[MANUAL]:[ETIQUETAS]])</f>
        <v>340</v>
      </c>
      <c r="E33" s="39"/>
      <c r="F33" s="39"/>
      <c r="H33" s="120" t="s">
        <v>304</v>
      </c>
      <c r="I33" s="120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24">
        <f>ROUNDUP(B5/'Embalaje Familia A10'!$M$8,0)*$I$28</f>
        <v>2240</v>
      </c>
      <c r="C34" s="24"/>
      <c r="D34" s="74">
        <f>SUM(Tabla6121732527277102112117132147192[[#This Row],[MANUAL]:[ETIQUETAS]])</f>
        <v>2240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163"/>
      <c r="C35" s="24">
        <v>15500</v>
      </c>
      <c r="D35" s="74">
        <f>SUM(Tabla6121732527277102112117132147192[[#This Row],[MANUAL]:[ETIQUETAS]])</f>
        <v>15500</v>
      </c>
      <c r="E35" s="39">
        <v>0.12727272727272723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71377.396015393315</v>
      </c>
      <c r="C36" s="81">
        <f>SUM(C7:C35)</f>
        <v>15500</v>
      </c>
      <c r="D36" s="136">
        <f>SUM(Tabla6121732527277102112117132147192[[#This Row],[MANUAL]:[ETIQUETAS]])</f>
        <v>86877.396015393315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75" t="s">
        <v>65</v>
      </c>
      <c r="B37" s="76">
        <v>0.5</v>
      </c>
      <c r="C37" s="76">
        <v>0.5</v>
      </c>
      <c r="D37" s="76">
        <v>0.5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107066.09402308997</v>
      </c>
      <c r="C39" s="24">
        <f t="shared" ref="C39:D39" si="0">C36*(1+C37)</f>
        <v>23250</v>
      </c>
      <c r="D39" s="24">
        <f t="shared" si="0"/>
        <v>130316.09402308997</v>
      </c>
      <c r="E39" s="39"/>
      <c r="F39" s="39"/>
      <c r="H39" s="165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118962.32669232218</v>
      </c>
      <c r="C40" s="81">
        <f t="shared" ref="C40:D40" si="1">C39/0.9</f>
        <v>25833.333333333332</v>
      </c>
      <c r="D40" s="81">
        <f t="shared" si="1"/>
        <v>144795.66002565552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14.811046649940511</v>
      </c>
      <c r="C41" s="24">
        <f t="shared" ref="C41:D41" si="2">+C40/C5</f>
        <v>3.2163014608233729</v>
      </c>
      <c r="D41" s="24">
        <f t="shared" si="2"/>
        <v>18.027348110763885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0.82789528507213583</v>
      </c>
      <c r="C43" s="32">
        <f t="shared" ref="C43:D43" si="3">+C41/C42</f>
        <v>0.17978208277380509</v>
      </c>
      <c r="D43" s="32">
        <f t="shared" si="3"/>
        <v>1.007677367845941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827.89528507213583</v>
      </c>
      <c r="C44" s="83">
        <f t="shared" ref="C44:D44" si="4">+C43*1000</f>
        <v>179.78208277380509</v>
      </c>
      <c r="D44" s="83">
        <f t="shared" si="4"/>
        <v>1007.6773678459409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>
        <f>SUM(Tabla6121732527277102112117132147192[[#This Row],[MANUAL]:[ETIQUETAS]])</f>
        <v>0</v>
      </c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5">+B44-B45</f>
        <v>827.89528507213583</v>
      </c>
      <c r="C46" s="33"/>
      <c r="D46" s="74">
        <f>SUM(Tabla6121732527277102112117132147192[[#This Row],[MANUAL]:[ETIQUETAS]])</f>
        <v>827.89528507213583</v>
      </c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118962.32669232218</v>
      </c>
      <c r="C47" s="48"/>
      <c r="D47" s="74">
        <f>SUM(Tabla6121732527277102112117132147192[[#This Row],[MANUAL]:[ETIQUETAS]])</f>
        <v>118962.32669232218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71377.396015393315</v>
      </c>
      <c r="C48" s="48"/>
      <c r="D48" s="74">
        <f>SUM(Tabla6121732527277102112117132147192[[#This Row],[MANUAL]:[ETIQUETAS]])</f>
        <v>71377.396015393315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47584.930676928867</v>
      </c>
      <c r="C49" s="49"/>
      <c r="D49" s="74">
        <f>SUM(Tabla6121732527277102112117132147192[[#This Row],[MANUAL]:[ETIQUETAS]])</f>
        <v>47584.930676928867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6">+B49/B47</f>
        <v>0.39999999999999997</v>
      </c>
      <c r="C50" s="50"/>
      <c r="D50" s="50">
        <f t="shared" si="6"/>
        <v>0.39999999999999997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7">B48/B47</f>
        <v>0.60000000000000009</v>
      </c>
      <c r="C51" s="50"/>
      <c r="D51" s="50">
        <f t="shared" si="7"/>
        <v>0.60000000000000009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20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20" x14ac:dyDescent="0.25">
      <c r="A56" s="70" t="s">
        <v>82</v>
      </c>
      <c r="B56" s="53">
        <f>ROUNDUP(B5*$I$17,0)</f>
        <v>40160</v>
      </c>
      <c r="C56" s="54"/>
      <c r="D56" s="55"/>
      <c r="E56" s="18"/>
      <c r="F56" s="18"/>
      <c r="K56" s="28"/>
      <c r="L56" s="28"/>
      <c r="M56" s="28"/>
      <c r="N56" s="28"/>
    </row>
    <row r="57" spans="1:20" ht="14.4" customHeight="1" x14ac:dyDescent="0.25">
      <c r="A57" s="70" t="s">
        <v>83</v>
      </c>
      <c r="B57" s="53">
        <f>ROUNDUP(B5/$I$23,0)*$I$22</f>
        <v>300</v>
      </c>
      <c r="C57" s="39"/>
      <c r="D57" s="55"/>
      <c r="E57" s="18"/>
      <c r="F57" s="18"/>
      <c r="K57" s="28"/>
      <c r="L57" s="28"/>
      <c r="M57" s="28"/>
      <c r="N57" s="28"/>
    </row>
    <row r="58" spans="1:20" x14ac:dyDescent="0.25">
      <c r="A58" s="70" t="s">
        <v>84</v>
      </c>
      <c r="B58" s="53">
        <f>SUM(B56:B57)</f>
        <v>40460</v>
      </c>
      <c r="C58" s="39"/>
      <c r="D58" s="56"/>
      <c r="E58" s="18"/>
      <c r="F58" s="18"/>
      <c r="K58" s="28"/>
      <c r="L58" s="28"/>
      <c r="M58" s="28"/>
      <c r="N58" s="28"/>
    </row>
    <row r="59" spans="1:20" x14ac:dyDescent="0.3">
      <c r="A59" s="70" t="s">
        <v>85</v>
      </c>
      <c r="B59" s="34">
        <f>+B55*B58</f>
        <v>43332.659999999996</v>
      </c>
      <c r="C59" s="39"/>
      <c r="D59" s="39"/>
      <c r="E59" s="39"/>
      <c r="F59" s="18"/>
      <c r="K59" s="10"/>
      <c r="L59" s="10"/>
      <c r="M59" s="18"/>
      <c r="N59" s="18"/>
    </row>
    <row r="60" spans="1:20" x14ac:dyDescent="0.3">
      <c r="A60" s="70" t="s">
        <v>154</v>
      </c>
      <c r="B60" s="54">
        <f>B57/B56</f>
        <v>7.4701195219123509E-3</v>
      </c>
      <c r="C60" s="39"/>
      <c r="D60" s="39"/>
      <c r="E60" s="53"/>
      <c r="F60" s="39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11896.232669232209</v>
      </c>
      <c r="C62" s="35">
        <f t="shared" ref="C62:D62" si="8">C40-C39</f>
        <v>2583.3333333333321</v>
      </c>
      <c r="D62" s="35">
        <f t="shared" si="8"/>
        <v>14479.566002565552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83273.628684625524</v>
      </c>
      <c r="C63" s="35">
        <f t="shared" ref="C63:D63" si="9">C36+C62</f>
        <v>18083.333333333332</v>
      </c>
      <c r="D63" s="35">
        <f t="shared" si="9"/>
        <v>101356.96201795887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118962.32669232218</v>
      </c>
      <c r="C64" s="35">
        <f t="shared" ref="C64:D64" si="10">C40</f>
        <v>25833.333333333332</v>
      </c>
      <c r="D64" s="35">
        <f t="shared" si="10"/>
        <v>144795.66002565552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71">
        <f t="shared" ref="C65:D65" si="11">(C64-C63)/C64</f>
        <v>0.3</v>
      </c>
      <c r="D65" s="71">
        <f t="shared" si="11"/>
        <v>0.3</v>
      </c>
      <c r="F65" s="18"/>
    </row>
  </sheetData>
  <mergeCells count="1">
    <mergeCell ref="B1:F3"/>
  </mergeCells>
  <dataValidations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>
    <tabColor theme="4" tint="-0.249977111117893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317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260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2476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39" t="s">
        <v>6</v>
      </c>
      <c r="J6" s="129">
        <f>$B$7/$B$36</f>
        <v>0.31180667117395572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19200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39" t="s">
        <v>301</v>
      </c>
      <c r="J7" s="129">
        <f>$B$33/$B$36</f>
        <v>2.7607882343527327E-3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15316.35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24000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7.3079688556395867E-3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450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7.0034701533212692E-3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1.3073144286199705E-2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f>1*1000</f>
        <v>1000</v>
      </c>
      <c r="I12" s="39" t="s">
        <v>11</v>
      </c>
      <c r="J12" s="129">
        <f>$B$9/$B$36</f>
        <v>0.38975833896744461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9.6521642699089923E-3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92</v>
      </c>
      <c r="I14" s="39" t="s">
        <v>8</v>
      </c>
      <c r="J14" s="129">
        <f>$B$8/$B$36</f>
        <v>0.24873646396016752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594.34762343125908</v>
      </c>
      <c r="C15" s="34">
        <v>90</v>
      </c>
      <c r="D15" s="43" t="s">
        <v>28</v>
      </c>
      <c r="F15" s="18" t="s">
        <v>138</v>
      </c>
      <c r="G15" s="36">
        <f>'Acomodo Familia A11'!M10*2</f>
        <v>16</v>
      </c>
      <c r="H15" s="20"/>
      <c r="I15" s="22" t="s">
        <v>38</v>
      </c>
      <c r="J15" s="128">
        <f>SUBTOTAL(109,Tabla1341530507075100110115130145150[Contribución])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5.75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12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2500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609.66947623431258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431.24999999999994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170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A11'!$M$8,0)*$G$28</f>
        <v>805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61576.617099665571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1.9360828814043718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180794.05136111978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B39*1.1</f>
        <v>198873.45649723179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80.32045900534402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4.2273925792286322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4227.3925792286318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4227.3925792286318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198873.45649723179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61576.617099665571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137296.83939756622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0.69037287235703737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0.30962712764296269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1050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1.05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14237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14587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15316.35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2.4583830863243662E-2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B39*10%</f>
        <v>18079.405136111978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79656.022235777549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198873.45649723179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0.59946378144794643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>
    <tabColor theme="4" tint="-0.249977111117893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5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5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6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>
    <tabColor theme="4" tint="-0.249977111117893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ROUNDDOWN(E4*10/('114A4962'!G14/2),0)</f>
        <v>55</v>
      </c>
      <c r="F8" s="16">
        <f>PRODUCT(C8:E8)</f>
        <v>110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110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theme="4" tint="0.59999389629810485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5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5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6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>
    <tabColor theme="4" tint="0.59999389629810485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 t="e">
        <f>ROUNDDOWN(E4*10/(#REF!/2),0)</f>
        <v>#REF!</v>
      </c>
      <c r="F8" s="16" t="e">
        <f>PRODUCT(C8:E8)</f>
        <v>#REF!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 t="e">
        <f>F8</f>
        <v>#REF!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>
    <tabColor theme="4" tint="-0.249977111117893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2.21875" style="18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331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294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590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39" t="s">
        <v>6</v>
      </c>
      <c r="J6" s="129">
        <f>$B$7/$B$36</f>
        <v>0.4431289422152177</v>
      </c>
      <c r="K6" s="120"/>
      <c r="L6" s="120"/>
      <c r="M6" s="120"/>
      <c r="N6" s="120"/>
      <c r="O6" s="120"/>
      <c r="Q6" s="27"/>
      <c r="XET6" s="18">
        <v>80</v>
      </c>
      <c r="XEU6" s="18" t="s">
        <v>344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39" t="s">
        <v>301</v>
      </c>
      <c r="J7" s="129">
        <f>$B$33/$B$36</f>
        <v>2.354122505518344E-2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987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4.1543338332676654E-3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4.9332714270053528E-2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9.2087733304099931E-2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f>1*1000</f>
        <v>1000</v>
      </c>
      <c r="I12" s="39" t="s">
        <v>11</v>
      </c>
      <c r="J12" s="129">
        <f>$B$9/$B$36</f>
        <v>0.22156447110760885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1.9612007001052759E-2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16</v>
      </c>
      <c r="I14" s="39" t="s">
        <v>8</v>
      </c>
      <c r="J14" s="129">
        <f>$B$8/$B$36</f>
        <v>0.1366775831145062</v>
      </c>
      <c r="K14" s="28"/>
      <c r="L14" s="28"/>
      <c r="M14" s="28"/>
      <c r="N14" s="28"/>
      <c r="XET14" s="18" t="s">
        <v>345</v>
      </c>
    </row>
    <row r="15" spans="1:17 16374:16377" ht="26.4" customHeight="1" x14ac:dyDescent="0.25">
      <c r="A15" s="42" t="s">
        <v>113</v>
      </c>
      <c r="B15" s="109">
        <f>B5*$G$21</f>
        <v>141.62564532489617</v>
      </c>
      <c r="C15" s="34">
        <v>90</v>
      </c>
      <c r="D15" s="43" t="s">
        <v>28</v>
      </c>
      <c r="F15" s="18" t="s">
        <v>138</v>
      </c>
      <c r="G15" s="36">
        <f>'Acomodo Familia A13'!M10*2</f>
        <v>16</v>
      </c>
      <c r="H15" s="20"/>
      <c r="I15" s="22" t="s">
        <v>38</v>
      </c>
      <c r="J15" s="128">
        <f>SUBTOTAL(109,Tabla1341530507075100110115130145150195240[Contribución])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56000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71.498756453248959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356.25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170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A13'!$M$8,0)*$G$28</f>
        <v>665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7221.3744017781455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0.97889807303437493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14290.363888338536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B39*1.1</f>
        <v>15719.40027717239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26.643051317241341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1.4022658588021759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1402.2658588021759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1402.2658588021759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15719.400277172392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7221.3744017781455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8498.0258753942471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0.54060751209033231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0.45939248790966775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1050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1.05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590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940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987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0.59322033898305082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B39*10%</f>
        <v>1429.0363888338536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8650.4107906119989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15719.40027717239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0.44969842118124131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9">
      <formula1>$XEU$5:$XEU$6</formula1>
    </dataValidation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>
    <tabColor theme="4" tint="-0.249977111117893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F2+4</f>
        <v>283.39999999999998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F3+4</f>
        <v>219.89999999999998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343</v>
      </c>
      <c r="J5" s="123">
        <v>900</v>
      </c>
      <c r="K5" s="123" t="s">
        <v>95</v>
      </c>
      <c r="L5" s="124">
        <v>610</v>
      </c>
      <c r="M5" s="124"/>
      <c r="N5" s="90"/>
      <c r="O5" s="90"/>
      <c r="P5" s="90"/>
      <c r="R5" s="3">
        <f>J5/2</f>
        <v>450</v>
      </c>
      <c r="S5" s="3" t="s">
        <v>95</v>
      </c>
      <c r="T5" s="2">
        <f>L5</f>
        <v>610</v>
      </c>
      <c r="U5" s="2"/>
    </row>
    <row r="6" spans="4:24" x14ac:dyDescent="0.25">
      <c r="I6" s="185"/>
      <c r="J6" s="124">
        <f>J5/$D$2</f>
        <v>3.1757233592095981</v>
      </c>
      <c r="K6" s="123" t="s">
        <v>95</v>
      </c>
      <c r="L6" s="124">
        <f>L5/$D$3</f>
        <v>2.7739881764438383</v>
      </c>
      <c r="M6" s="124">
        <f>J6*L6</f>
        <v>8.8094190501039336</v>
      </c>
      <c r="N6" s="90" t="s">
        <v>96</v>
      </c>
      <c r="O6" s="90"/>
      <c r="P6" s="90"/>
      <c r="R6" s="2">
        <f>R5/$D$2</f>
        <v>1.5878616796047991</v>
      </c>
      <c r="S6" s="3" t="s">
        <v>95</v>
      </c>
      <c r="T6" s="2">
        <f>T5/$D$3</f>
        <v>2.7739881764438383</v>
      </c>
      <c r="U6" s="2">
        <f>R6*T6</f>
        <v>4.4047095250519668</v>
      </c>
      <c r="V6" s="1" t="s">
        <v>96</v>
      </c>
    </row>
    <row r="7" spans="4:24" x14ac:dyDescent="0.25">
      <c r="I7" s="185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0.68108918032786869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0.45405945355191246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4.0927694406548438</v>
      </c>
      <c r="K9" s="123" t="s">
        <v>95</v>
      </c>
      <c r="L9" s="124">
        <f>L5/$D$2</f>
        <v>2.1524347212420607</v>
      </c>
      <c r="M9" s="124">
        <f>J9*L9</f>
        <v>8.8094190501039336</v>
      </c>
      <c r="N9" s="90" t="s">
        <v>96</v>
      </c>
      <c r="O9" s="90"/>
      <c r="P9" s="90"/>
      <c r="R9" s="2">
        <f>R5/$D$3</f>
        <v>2.0463847203274219</v>
      </c>
      <c r="S9" s="3" t="s">
        <v>95</v>
      </c>
      <c r="T9" s="2">
        <f>T5/$D$2</f>
        <v>2.1524347212420607</v>
      </c>
      <c r="U9" s="2">
        <f>R9*T9</f>
        <v>4.4047095250519668</v>
      </c>
      <c r="V9" s="1" t="s">
        <v>96</v>
      </c>
    </row>
    <row r="10" spans="4:24" x14ac:dyDescent="0.25">
      <c r="I10" s="185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0.90811890710382492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0.90811890710382492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J10*D3</f>
        <v>879.59999999999991</v>
      </c>
      <c r="K12" s="90"/>
      <c r="L12" s="90">
        <f>L10*D2</f>
        <v>566.79999999999995</v>
      </c>
      <c r="M12" s="90"/>
      <c r="N12" s="90"/>
      <c r="O12" s="91">
        <f>J5*L5</f>
        <v>549000</v>
      </c>
      <c r="P12" s="90" t="s">
        <v>99</v>
      </c>
      <c r="R12" s="6">
        <f>$D$3*1</f>
        <v>219.89999999999998</v>
      </c>
      <c r="T12" s="6">
        <f>$D$2*1</f>
        <v>283.39999999999998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33264.000000000095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J5-J12+4</f>
        <v>24.400000000000091</v>
      </c>
      <c r="K14" s="90"/>
      <c r="L14" s="126">
        <f>L5-L12+4</f>
        <v>47.200000000000045</v>
      </c>
      <c r="M14" s="90"/>
      <c r="N14" s="90"/>
      <c r="O14" s="127">
        <f>O13/O12</f>
        <v>6.05901639344264E-2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161">
        <v>20</v>
      </c>
      <c r="M15" s="90"/>
      <c r="N15" s="90"/>
      <c r="O15" s="127">
        <f>100%-O14</f>
        <v>0.9394098360655736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14.400000000000091</v>
      </c>
      <c r="K16" s="90"/>
      <c r="L16" s="90">
        <f>L14-L15</f>
        <v>27.200000000000045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439.79999999999995</v>
      </c>
      <c r="T17" s="6">
        <f>$D$2*2</f>
        <v>566.79999999999995</v>
      </c>
    </row>
    <row r="18" spans="9:20" x14ac:dyDescent="0.25">
      <c r="R18" s="6">
        <f>$D$3*3</f>
        <v>659.69999999999993</v>
      </c>
      <c r="T18" s="6">
        <f>$D$2*3</f>
        <v>850.19999999999993</v>
      </c>
    </row>
    <row r="19" spans="9:20" x14ac:dyDescent="0.25">
      <c r="R19" s="6">
        <f>$D$3*4</f>
        <v>879.59999999999991</v>
      </c>
      <c r="T19" s="6">
        <f>$D$2*4</f>
        <v>1133.5999999999999</v>
      </c>
    </row>
    <row r="20" spans="9:20" x14ac:dyDescent="0.25">
      <c r="R20" s="6">
        <f>R5-R19</f>
        <v>-429.59999999999991</v>
      </c>
      <c r="T20" s="6">
        <f>T5-T19</f>
        <v>-523.59999999999991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3.1757233592095981</v>
      </c>
      <c r="K36" s="3" t="s">
        <v>95</v>
      </c>
      <c r="L36" s="2">
        <f>L35/$D$3</f>
        <v>2.7739881764438383</v>
      </c>
      <c r="M36" s="2">
        <f>J36*L36</f>
        <v>8.8094190501039336</v>
      </c>
      <c r="N36" s="1" t="s">
        <v>96</v>
      </c>
      <c r="R36" s="2">
        <f>R35/$D$2</f>
        <v>1.5878616796047991</v>
      </c>
      <c r="S36" s="3" t="s">
        <v>95</v>
      </c>
      <c r="T36" s="2">
        <f>T35/$D$3</f>
        <v>2.7739881764438383</v>
      </c>
      <c r="U36" s="2">
        <f>R36*T36</f>
        <v>4.4047095250519668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0.68108918032786869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0.45405945355191246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4.0927694406548438</v>
      </c>
      <c r="K39" s="3" t="s">
        <v>95</v>
      </c>
      <c r="L39" s="2">
        <f>L35/$D$2</f>
        <v>2.1524347212420607</v>
      </c>
      <c r="M39" s="2">
        <f>J39*L39</f>
        <v>8.8094190501039336</v>
      </c>
      <c r="N39" s="1" t="s">
        <v>96</v>
      </c>
      <c r="R39" s="2">
        <f>R35/$D$3</f>
        <v>2.0463847203274219</v>
      </c>
      <c r="S39" s="3" t="s">
        <v>95</v>
      </c>
      <c r="T39" s="2">
        <f>T35/$D$2</f>
        <v>2.1524347212420607</v>
      </c>
      <c r="U39" s="2">
        <f>R39*T39</f>
        <v>4.4047095250519668</v>
      </c>
      <c r="V39" s="1" t="s">
        <v>96</v>
      </c>
    </row>
    <row r="40" spans="9:24" x14ac:dyDescent="0.25">
      <c r="I40" s="186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0.90811890710382492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0.90811890710382492</v>
      </c>
      <c r="X40" s="1" t="s">
        <v>98</v>
      </c>
    </row>
    <row r="42" spans="9:24" x14ac:dyDescent="0.25">
      <c r="J42" s="6">
        <f>$D$2*1</f>
        <v>283.39999999999998</v>
      </c>
      <c r="L42" s="6">
        <f>$D$3*1</f>
        <v>219.89999999999998</v>
      </c>
      <c r="O42" s="7"/>
      <c r="R42" s="6">
        <f>$D$3*1</f>
        <v>219.89999999999998</v>
      </c>
      <c r="T42" s="6">
        <f>$D$2*1</f>
        <v>283.39999999999998</v>
      </c>
    </row>
    <row r="43" spans="9:24" x14ac:dyDescent="0.25">
      <c r="J43" s="6">
        <f>$D$2*2</f>
        <v>566.79999999999995</v>
      </c>
      <c r="L43" s="6">
        <f>$D$3*2</f>
        <v>439.79999999999995</v>
      </c>
      <c r="O43" s="7"/>
      <c r="R43" s="6"/>
      <c r="T43" s="6">
        <f>$D$2*2</f>
        <v>566.79999999999995</v>
      </c>
    </row>
    <row r="44" spans="9:24" x14ac:dyDescent="0.25">
      <c r="J44" s="6">
        <f>$D$2*3</f>
        <v>850.19999999999993</v>
      </c>
      <c r="L44" s="6">
        <f>$D$3*3</f>
        <v>659.69999999999993</v>
      </c>
      <c r="O44" s="8"/>
    </row>
    <row r="45" spans="9:24" x14ac:dyDescent="0.25">
      <c r="J45" s="6">
        <f>$D$2*4</f>
        <v>1133.5999999999999</v>
      </c>
      <c r="L45" s="6">
        <f>$D$3*4</f>
        <v>879.59999999999991</v>
      </c>
      <c r="O45" s="8"/>
      <c r="R45" s="6">
        <f>R35-R42</f>
        <v>230.10000000000002</v>
      </c>
      <c r="T45" s="6">
        <f>T35-T43</f>
        <v>43.200000000000045</v>
      </c>
    </row>
    <row r="46" spans="9:24" x14ac:dyDescent="0.25">
      <c r="J46" s="6">
        <f>$D$2*5</f>
        <v>1417</v>
      </c>
      <c r="L46" s="6">
        <f>$D$3*5</f>
        <v>1099.5</v>
      </c>
    </row>
    <row r="47" spans="9:24" x14ac:dyDescent="0.25">
      <c r="J47" s="6"/>
      <c r="L47" s="6">
        <f>$D$3*6</f>
        <v>1319.3999999999999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-517</v>
      </c>
      <c r="L50" s="6">
        <f>L35-L47</f>
        <v>-709.39999999999986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-527</v>
      </c>
      <c r="L52" s="6">
        <f>L50-L51</f>
        <v>-734.39999999999986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3.3521524347212424</v>
      </c>
      <c r="K59" s="3" t="s">
        <v>95</v>
      </c>
      <c r="L59" s="2">
        <f>L58/$D$3</f>
        <v>3.1832651205093225</v>
      </c>
      <c r="M59" s="2">
        <f>J59*L59</f>
        <v>10.670789924078534</v>
      </c>
      <c r="N59" s="1" t="s">
        <v>96</v>
      </c>
      <c r="R59" s="2">
        <f>R58/$D$2</f>
        <v>1.6760762173606212</v>
      </c>
      <c r="S59" s="3" t="s">
        <v>95</v>
      </c>
      <c r="T59" s="2">
        <f>T58/$D$3</f>
        <v>3.1832651205093225</v>
      </c>
      <c r="U59" s="2">
        <f>R59*T59</f>
        <v>5.3353949620392669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0.84342396992481194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0.56228264661654137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4.3201455206912236</v>
      </c>
      <c r="K62" s="3" t="s">
        <v>95</v>
      </c>
      <c r="L62" s="2">
        <f>L58/$D$2</f>
        <v>2.4700070571630208</v>
      </c>
      <c r="M62" s="2">
        <f>J62*L62</f>
        <v>10.670789924078536</v>
      </c>
      <c r="N62" s="1" t="s">
        <v>96</v>
      </c>
      <c r="R62" s="2">
        <f>R58/$D$3</f>
        <v>2.1600727603456118</v>
      </c>
      <c r="S62" s="3" t="s">
        <v>95</v>
      </c>
      <c r="T62" s="2">
        <f>T58/$D$2</f>
        <v>2.4700070571630208</v>
      </c>
      <c r="U62" s="2">
        <f>R62*T62</f>
        <v>5.3353949620392678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0.74971019548872164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0.74971019548872164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560876.93999999994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0.84342396992481194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850.19999999999993</v>
      </c>
      <c r="L68" s="6">
        <f>D3*L60</f>
        <v>659.69999999999993</v>
      </c>
      <c r="O68" s="62">
        <f>100%-O67</f>
        <v>0.15657603007518806</v>
      </c>
      <c r="P68" s="1" t="s">
        <v>98</v>
      </c>
      <c r="R68" s="6">
        <f>$D$3*1</f>
        <v>219.89999999999998</v>
      </c>
      <c r="T68" s="6">
        <f>$D$2*1</f>
        <v>283.39999999999998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439.79999999999995</v>
      </c>
      <c r="T69" s="6">
        <f>$D$2*2</f>
        <v>566.79999999999995</v>
      </c>
      <c r="W69" s="7">
        <f>(R78*T58)+(T78*R58)</f>
        <v>-796475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659.69999999999993</v>
      </c>
      <c r="T70" s="1">
        <f>$D$2*3</f>
        <v>850.19999999999993</v>
      </c>
      <c r="W70" s="62">
        <f>W69/W68</f>
        <v>-2.3954135338345863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879.59999999999991</v>
      </c>
      <c r="T71" s="1">
        <f>$D$2*4</f>
        <v>1133.5999999999999</v>
      </c>
      <c r="W71" s="62">
        <f>100%-W70</f>
        <v>3.3954135338345863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1099.5</v>
      </c>
      <c r="T72" s="1">
        <f>$D$2*5</f>
        <v>1417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-624.5</v>
      </c>
      <c r="T76" s="6">
        <f>T58-T72</f>
        <v>-717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-644.5</v>
      </c>
      <c r="T78" s="6">
        <f>T76-T77</f>
        <v>-727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3.3168666196189136</v>
      </c>
      <c r="K88" s="3" t="s">
        <v>95</v>
      </c>
      <c r="L88" s="2">
        <f>L87/$D$3</f>
        <v>2.9104138244656665</v>
      </c>
      <c r="M88" s="2">
        <f>J88*L88</f>
        <v>9.6534544636475896</v>
      </c>
      <c r="N88" s="1" t="s">
        <v>96</v>
      </c>
      <c r="R88" s="2">
        <f>R87/$D$2</f>
        <v>1.6584333098094568</v>
      </c>
      <c r="S88" s="3" t="s">
        <v>95</v>
      </c>
      <c r="T88" s="2">
        <f>T87/$D$3</f>
        <v>2.9104138244656665</v>
      </c>
      <c r="U88" s="2">
        <f>R88*T88</f>
        <v>4.8267272318237948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0.62153916223404237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0.4143594414893616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4.2746703046839478</v>
      </c>
      <c r="K91" s="3" t="s">
        <v>95</v>
      </c>
      <c r="L91" s="2">
        <f>L87/$D$2</f>
        <v>2.2582921665490474</v>
      </c>
      <c r="M91" s="2">
        <f>J91*L91</f>
        <v>9.6534544636475896</v>
      </c>
      <c r="N91" s="1" t="s">
        <v>96</v>
      </c>
      <c r="R91" s="2">
        <f>R87/$D$3</f>
        <v>2.1373351523419739</v>
      </c>
      <c r="S91" s="3" t="s">
        <v>95</v>
      </c>
      <c r="T91" s="2">
        <f>T87/$D$2</f>
        <v>2.2582921665490474</v>
      </c>
      <c r="U91" s="2">
        <f>R91*T91</f>
        <v>4.8267272318237948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0.8287188829787232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0.8287188829787232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219.89999999999998</v>
      </c>
      <c r="L97" s="6">
        <f>$D$2*1</f>
        <v>283.39999999999998</v>
      </c>
      <c r="O97" s="7">
        <f>J87*L87</f>
        <v>601600</v>
      </c>
      <c r="P97" s="1" t="s">
        <v>99</v>
      </c>
      <c r="R97" s="6">
        <f>$D$3*1</f>
        <v>219.89999999999998</v>
      </c>
      <c r="T97" s="6">
        <f>$D$2*1</f>
        <v>283.39999999999998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439.79999999999995</v>
      </c>
      <c r="L98" s="6">
        <f>$D$2*2</f>
        <v>566.79999999999995</v>
      </c>
      <c r="O98" s="7">
        <f>(J107*L87)+(L107*J87)</f>
        <v>-425327.99999999988</v>
      </c>
      <c r="P98" s="1" t="s">
        <v>100</v>
      </c>
      <c r="R98" s="6">
        <f>$D$3*2</f>
        <v>439.79999999999995</v>
      </c>
      <c r="T98" s="6">
        <f>$D$2*2</f>
        <v>566.79999999999995</v>
      </c>
      <c r="W98" s="7">
        <f>(R107*T87)+(T107*R87)</f>
        <v>-785570</v>
      </c>
      <c r="X98" s="1" t="s">
        <v>100</v>
      </c>
      <c r="Z98" s="6"/>
      <c r="AB98" s="6"/>
    </row>
    <row r="99" spans="9:28" x14ac:dyDescent="0.25">
      <c r="J99" s="6">
        <f>$D$3*3</f>
        <v>659.69999999999993</v>
      </c>
      <c r="L99" s="6">
        <f>$D$2*3</f>
        <v>850.19999999999993</v>
      </c>
      <c r="O99" s="62">
        <f>O98/O97</f>
        <v>-0.70699468085106365</v>
      </c>
      <c r="P99" s="1" t="s">
        <v>101</v>
      </c>
      <c r="R99" s="6">
        <f>$D$3*3</f>
        <v>659.69999999999993</v>
      </c>
      <c r="T99" s="6">
        <f>$D$2*3</f>
        <v>850.19999999999993</v>
      </c>
      <c r="W99" s="62">
        <f>W98/W97</f>
        <v>-2.6116023936170212</v>
      </c>
      <c r="X99" s="1" t="s">
        <v>101</v>
      </c>
      <c r="Z99" s="6"/>
      <c r="AB99" s="6"/>
    </row>
    <row r="100" spans="9:28" x14ac:dyDescent="0.25">
      <c r="J100" s="6">
        <f>$D$3*4</f>
        <v>879.59999999999991</v>
      </c>
      <c r="L100" s="6">
        <f>$D$2*4</f>
        <v>1133.5999999999999</v>
      </c>
      <c r="O100" s="62">
        <f>100%-O99</f>
        <v>1.7069946808510637</v>
      </c>
      <c r="P100" s="1" t="s">
        <v>98</v>
      </c>
      <c r="R100" s="6">
        <f>$D$3*4</f>
        <v>879.59999999999991</v>
      </c>
      <c r="T100" s="6">
        <f>$D$2*4</f>
        <v>1133.5999999999999</v>
      </c>
      <c r="W100" s="62">
        <f>100%-W99</f>
        <v>3.6116023936170212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1099.5</v>
      </c>
      <c r="T101" s="6">
        <f>$D$2*5</f>
        <v>1417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60.400000000000091</v>
      </c>
      <c r="L105" s="6">
        <f>L87-L100</f>
        <v>-493.59999999999991</v>
      </c>
      <c r="Q105" s="1" t="s">
        <v>102</v>
      </c>
      <c r="R105" s="1">
        <f>R87-R101</f>
        <v>-629.5</v>
      </c>
      <c r="T105" s="1">
        <f>T87-T101</f>
        <v>-777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60.400000000000091</v>
      </c>
      <c r="L107" s="1">
        <f>L105-L106</f>
        <v>-493.59999999999991</v>
      </c>
      <c r="Q107" s="1" t="s">
        <v>104</v>
      </c>
      <c r="R107" s="1">
        <f>R105-R106</f>
        <v>-649.5</v>
      </c>
      <c r="T107" s="1">
        <f>T105-T106</f>
        <v>-787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>
    <tabColor theme="4" tint="-0.249977111117893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'114-5741-000'!G14</f>
        <v>16</v>
      </c>
      <c r="F8" s="16">
        <f>PRODUCT(C8:E8)</f>
        <v>32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32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>
    <tabColor theme="5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323</v>
      </c>
      <c r="J5" s="123">
        <v>940</v>
      </c>
      <c r="K5" s="123" t="s">
        <v>95</v>
      </c>
      <c r="L5" s="124">
        <v>640</v>
      </c>
      <c r="M5" s="124"/>
      <c r="N5" s="90"/>
      <c r="O5" s="90"/>
      <c r="P5" s="90"/>
      <c r="R5" s="3">
        <f>J5/2</f>
        <v>470</v>
      </c>
      <c r="S5" s="3" t="s">
        <v>95</v>
      </c>
      <c r="T5" s="2">
        <f>L5</f>
        <v>640</v>
      </c>
      <c r="U5" s="2"/>
    </row>
    <row r="6" spans="4:24" x14ac:dyDescent="0.25">
      <c r="I6" s="185"/>
      <c r="J6" s="124">
        <f>J5/$D$2</f>
        <v>4.1119860017497816</v>
      </c>
      <c r="K6" s="123" t="s">
        <v>95</v>
      </c>
      <c r="L6" s="124">
        <f>L5/$D$3</f>
        <v>4.1994750656167978</v>
      </c>
      <c r="M6" s="124">
        <f>J6*L6</f>
        <v>17.268182684513519</v>
      </c>
      <c r="N6" s="90" t="s">
        <v>96</v>
      </c>
      <c r="O6" s="90"/>
      <c r="P6" s="90"/>
      <c r="R6" s="2">
        <f>R5/$D$2</f>
        <v>2.0559930008748908</v>
      </c>
      <c r="S6" s="3" t="s">
        <v>95</v>
      </c>
      <c r="T6" s="2">
        <f>T5/$D$3</f>
        <v>4.1994750656167978</v>
      </c>
      <c r="U6" s="2">
        <f>R6*T6</f>
        <v>8.6340913422567596</v>
      </c>
      <c r="V6" s="1" t="s">
        <v>96</v>
      </c>
    </row>
    <row r="7" spans="4:24" x14ac:dyDescent="0.25">
      <c r="I7" s="185"/>
      <c r="J7" s="124">
        <f>ROUNDDOWN(J6,0)</f>
        <v>4</v>
      </c>
      <c r="K7" s="123" t="s">
        <v>95</v>
      </c>
      <c r="L7" s="124">
        <f>ROUNDDOWN(L6,0)</f>
        <v>4</v>
      </c>
      <c r="M7" s="124">
        <f>J7*L7</f>
        <v>16</v>
      </c>
      <c r="N7" s="90" t="s">
        <v>97</v>
      </c>
      <c r="O7" s="125">
        <f>M7/M6</f>
        <v>0.92655957446808501</v>
      </c>
      <c r="P7" s="90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0.92655957446808501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6.1679790026246719</v>
      </c>
      <c r="K9" s="123" t="s">
        <v>95</v>
      </c>
      <c r="L9" s="124">
        <f>L5/$D$2</f>
        <v>2.7996500437445322</v>
      </c>
      <c r="M9" s="124">
        <f>J9*L9</f>
        <v>17.268182684513519</v>
      </c>
      <c r="N9" s="90" t="s">
        <v>96</v>
      </c>
      <c r="O9" s="90"/>
      <c r="P9" s="90"/>
      <c r="R9" s="2">
        <f>R5/$D$3</f>
        <v>3.083989501312336</v>
      </c>
      <c r="S9" s="3" t="s">
        <v>95</v>
      </c>
      <c r="T9" s="2">
        <f>T5/$D$2</f>
        <v>2.7996500437445322</v>
      </c>
      <c r="U9" s="2">
        <f>R9*T9</f>
        <v>8.6340913422567596</v>
      </c>
      <c r="V9" s="1" t="s">
        <v>96</v>
      </c>
    </row>
    <row r="10" spans="4:24" x14ac:dyDescent="0.25">
      <c r="I10" s="185"/>
      <c r="J10" s="124">
        <f>ROUNDDOWN(J9,0)</f>
        <v>6</v>
      </c>
      <c r="K10" s="123" t="s">
        <v>95</v>
      </c>
      <c r="L10" s="124">
        <f>ROUNDDOWN(L9,0)</f>
        <v>2</v>
      </c>
      <c r="M10" s="124">
        <f>J10*L10</f>
        <v>12</v>
      </c>
      <c r="N10" s="90" t="s">
        <v>97</v>
      </c>
      <c r="O10" s="125">
        <f>M10/M9</f>
        <v>0.6949196808510637</v>
      </c>
      <c r="P10" s="90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0.6949196808510637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914.4</v>
      </c>
      <c r="K12" s="90"/>
      <c r="L12" s="90">
        <f>L7*D3</f>
        <v>609.6</v>
      </c>
      <c r="M12" s="90"/>
      <c r="N12" s="90"/>
      <c r="O12" s="91">
        <f>J5*L5</f>
        <v>601600</v>
      </c>
      <c r="P12" s="90" t="s">
        <v>99</v>
      </c>
      <c r="R12" s="6">
        <f>$D$3*1</f>
        <v>152.4</v>
      </c>
      <c r="T12" s="6">
        <f>$D$2*1</f>
        <v>228.6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19759.999999999993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25.600000000000023</v>
      </c>
      <c r="K14" s="90"/>
      <c r="L14" s="126">
        <f>L5-L12</f>
        <v>30.399999999999977</v>
      </c>
      <c r="M14" s="90"/>
      <c r="N14" s="90"/>
      <c r="O14" s="127">
        <f>O13/O12</f>
        <v>3.2845744680851052E-2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0.967154255319149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15.600000000000023</v>
      </c>
      <c r="K16" s="90"/>
      <c r="L16" s="90">
        <f>L14-L15</f>
        <v>10.399999999999977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304.8</v>
      </c>
      <c r="T17" s="6">
        <f>$D$2*2</f>
        <v>457.2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457.20000000000005</v>
      </c>
      <c r="T18" s="6">
        <f>$D$2*3</f>
        <v>685.8</v>
      </c>
    </row>
    <row r="19" spans="9:20" x14ac:dyDescent="0.25">
      <c r="R19" s="6">
        <f>$D$3*4</f>
        <v>609.6</v>
      </c>
      <c r="T19" s="6">
        <f>$D$2*4</f>
        <v>914.4</v>
      </c>
    </row>
    <row r="20" spans="9:20" x14ac:dyDescent="0.25">
      <c r="R20" s="6">
        <f>R5-R19</f>
        <v>-139.60000000000002</v>
      </c>
      <c r="T20" s="6">
        <f>T5-T19</f>
        <v>-274.39999999999998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6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7" t="s">
        <v>92</v>
      </c>
      <c r="K57" s="187"/>
      <c r="L57" s="187"/>
      <c r="M57" s="187"/>
      <c r="N57" s="187"/>
      <c r="O57" s="187"/>
      <c r="P57" s="187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8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8"/>
      <c r="J59" s="4">
        <f>J58/$D$2</f>
        <v>4.1557305336832897</v>
      </c>
      <c r="K59" s="102" t="s">
        <v>95</v>
      </c>
      <c r="L59" s="4">
        <f>L58/$D$3</f>
        <v>4.5931758530183728</v>
      </c>
      <c r="M59" s="4">
        <f>J59*L59</f>
        <v>19.088001138965243</v>
      </c>
      <c r="N59" s="101" t="s">
        <v>96</v>
      </c>
      <c r="O59" s="101"/>
      <c r="P59" s="101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8"/>
      <c r="J60" s="4">
        <f>ROUNDDOWN(J59,0)</f>
        <v>4</v>
      </c>
      <c r="K60" s="102" t="s">
        <v>95</v>
      </c>
      <c r="L60" s="4">
        <f>ROUNDDOWN(L59,0)</f>
        <v>4</v>
      </c>
      <c r="M60" s="4">
        <f>J60*L60</f>
        <v>16</v>
      </c>
      <c r="N60" s="101" t="s">
        <v>97</v>
      </c>
      <c r="O60" s="103">
        <f>M60/M59</f>
        <v>0.83822291729323295</v>
      </c>
      <c r="P60" s="101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8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8"/>
      <c r="J62" s="4">
        <f>J58/$D$3</f>
        <v>6.2335958005249346</v>
      </c>
      <c r="K62" s="102" t="s">
        <v>95</v>
      </c>
      <c r="L62" s="4">
        <f>L58/$D$2</f>
        <v>3.0621172353455819</v>
      </c>
      <c r="M62" s="4">
        <f>J62*L62</f>
        <v>19.088001138965243</v>
      </c>
      <c r="N62" s="101" t="s">
        <v>96</v>
      </c>
      <c r="O62" s="101"/>
      <c r="P62" s="101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8"/>
      <c r="J63" s="4">
        <f>ROUNDDOWN(J62,0)</f>
        <v>6</v>
      </c>
      <c r="K63" s="102" t="s">
        <v>95</v>
      </c>
      <c r="L63" s="4">
        <f>ROUNDDOWN(L62,0)</f>
        <v>3</v>
      </c>
      <c r="M63" s="4">
        <f>J63*L63</f>
        <v>18</v>
      </c>
      <c r="N63" s="101" t="s">
        <v>97</v>
      </c>
      <c r="O63" s="103">
        <f>M63/M62</f>
        <v>0.94300078195488712</v>
      </c>
      <c r="P63" s="10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557418.23999999999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0.83822291729323306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914.4</v>
      </c>
      <c r="K68" s="101"/>
      <c r="L68" s="105">
        <f>D3*L60</f>
        <v>609.6</v>
      </c>
      <c r="M68" s="101"/>
      <c r="N68" s="101"/>
      <c r="O68" s="63">
        <f>100%-O67</f>
        <v>0.16177708270676694</v>
      </c>
      <c r="P68" s="101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>
    <tabColor theme="5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ROUNDDOWN(D6,0)</f>
        <v>1</v>
      </c>
      <c r="E8" s="15">
        <f>ROUNDDOWN(E4*10/('114-5709-000'!G14/2),0)</f>
        <v>141</v>
      </c>
      <c r="F8" s="16">
        <f>PRODUCT(C8:E8)</f>
        <v>282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282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1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9" customWidth="1"/>
    <col min="14" max="14" width="14.5546875" style="179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1208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369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9.7681086921057366E-3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4.1514461941449376E-3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44967.006000000001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1.5384771190066536E-2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1.5110043133101062E-2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2.8205413848455315E-2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0.20513028253422047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0.16329569160068241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0.54905325270821348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SUBTOTAL(109,Tabla13415305060[Contribución])</f>
        <v>0.99999999999999978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9"/>
      <c r="J16" s="179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9"/>
      <c r="J17" s="179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9"/>
      <c r="J18" s="179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9"/>
      <c r="J19" s="179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9"/>
      <c r="J20" s="179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79"/>
      <c r="J21" s="179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9"/>
      <c r="J22" s="179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9"/>
      <c r="J23" s="179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9"/>
      <c r="J24" s="179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9"/>
      <c r="J25" s="179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810.88287701069942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9"/>
      <c r="J28" s="179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9"/>
      <c r="J29" s="179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9"/>
      <c r="J30" s="179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1237.5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340</v>
      </c>
      <c r="C33" s="39"/>
      <c r="D33" s="39"/>
      <c r="E33" s="18"/>
      <c r="F33" s="120" t="s">
        <v>304</v>
      </c>
      <c r="G33" s="120">
        <v>30</v>
      </c>
      <c r="I33" s="179"/>
      <c r="J33" s="179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2310</v>
      </c>
      <c r="C34" s="39">
        <v>30</v>
      </c>
      <c r="D34" s="39" t="s">
        <v>63</v>
      </c>
      <c r="E34" s="18"/>
      <c r="F34" s="18"/>
      <c r="I34" s="179"/>
      <c r="J34" s="179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81899.170578080651</v>
      </c>
      <c r="C36" s="39"/>
      <c r="D36" s="39"/>
      <c r="E36" s="18"/>
      <c r="F36" s="18"/>
      <c r="I36" s="179"/>
      <c r="J36" s="179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9"/>
      <c r="J37" s="179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9"/>
      <c r="J38" s="179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122848.75586712098</v>
      </c>
      <c r="C39" s="39"/>
      <c r="D39" s="39"/>
      <c r="E39" s="18"/>
      <c r="F39" s="18"/>
      <c r="I39" s="179"/>
      <c r="J39" s="179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136498.61763013442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2.4499877522729374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0.13694733103817425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136.94733103817424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136.94733103817424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136498.61763013442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81899.170578080651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54599.447052053772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9"/>
      <c r="L50" s="179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9"/>
      <c r="L51" s="179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9"/>
      <c r="L52" s="179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41786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41986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44967.006000000001</v>
      </c>
      <c r="C59" s="39"/>
      <c r="D59" s="39"/>
      <c r="E59" s="39"/>
      <c r="F59" s="18"/>
      <c r="K59" s="179"/>
      <c r="L59" s="179"/>
      <c r="M59" s="18"/>
      <c r="N59" s="18"/>
    </row>
    <row r="60" spans="1:18" x14ac:dyDescent="0.3">
      <c r="A60" s="70" t="s">
        <v>154</v>
      </c>
      <c r="B60" s="54">
        <f>B57/B56</f>
        <v>4.7862920595414735E-3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13649.861763013439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95549.032341094091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136498.61763013442</v>
      </c>
      <c r="C64" s="18"/>
      <c r="D64" s="18"/>
      <c r="E64" s="18"/>
      <c r="F64" s="18"/>
      <c r="K64" s="179"/>
      <c r="L64" s="179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disablePrompts="1"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2">
    <tabColor theme="4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5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5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6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7" t="s">
        <v>92</v>
      </c>
      <c r="K57" s="187"/>
      <c r="L57" s="187"/>
      <c r="M57" s="187"/>
      <c r="N57" s="187"/>
      <c r="O57" s="187"/>
      <c r="P57" s="187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8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8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8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8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8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8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3">
    <tabColor theme="4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79"/>
    <col min="13" max="13" width="23.88671875" style="179" bestFit="1" customWidth="1"/>
    <col min="14" max="16384" width="11.5546875" style="179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A14'!F2</f>
        <v>279.39999999999998</v>
      </c>
      <c r="C3" s="179" t="s">
        <v>106</v>
      </c>
      <c r="D3" s="179" t="s">
        <v>107</v>
      </c>
      <c r="E3" s="179" t="s">
        <v>108</v>
      </c>
      <c r="G3" s="13">
        <f>B3</f>
        <v>279.39999999999998</v>
      </c>
      <c r="H3" s="179" t="s">
        <v>106</v>
      </c>
      <c r="I3" s="179" t="s">
        <v>107</v>
      </c>
      <c r="J3" s="179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A14'!F3</f>
        <v>215.89999999999998</v>
      </c>
      <c r="C5" s="179" t="s">
        <v>106</v>
      </c>
      <c r="D5" s="179" t="s">
        <v>107</v>
      </c>
      <c r="E5" s="179" t="s">
        <v>108</v>
      </c>
      <c r="G5" s="13">
        <f>B5</f>
        <v>215.89999999999998</v>
      </c>
      <c r="H5" s="179" t="s">
        <v>106</v>
      </c>
      <c r="I5" s="179" t="s">
        <v>107</v>
      </c>
      <c r="J5" s="179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ROUNDDOWN(E4*10/('01-34006'!G14/2),0)</f>
        <v>423</v>
      </c>
      <c r="F8" s="16">
        <f>PRODUCT(C8:E8)</f>
        <v>846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79">
        <f>PRODUCT(H8:J8)</f>
        <v>0</v>
      </c>
      <c r="M8" s="17">
        <f>F8</f>
        <v>846</v>
      </c>
    </row>
    <row r="9" spans="2:13" x14ac:dyDescent="0.3">
      <c r="F9" s="179" t="s">
        <v>109</v>
      </c>
      <c r="K9" s="179" t="s">
        <v>109</v>
      </c>
      <c r="M9" s="179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4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9" customWidth="1"/>
    <col min="14" max="14" width="14.5546875" style="179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1208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145" t="s">
        <v>373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4077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0.10665255346684102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2.2663667611703717E-2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3489.3179999999998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1.5997883020026152E-2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1.2498346109395432E-2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2.3330246070871474E-2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0.21330510693368204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0.13047036349120694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0.46518084319726344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978.65721354169773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SUBTOTAL(109,Tabla134153050606580[Contribución])</f>
        <v>1.0000000000000002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9"/>
      <c r="J16" s="179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9"/>
      <c r="J17" s="179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9"/>
      <c r="J18" s="179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9"/>
      <c r="J19" s="179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9"/>
      <c r="J20" s="179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79"/>
      <c r="J21" s="179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9"/>
      <c r="J22" s="179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9"/>
      <c r="J23" s="179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9"/>
      <c r="J24" s="179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9"/>
      <c r="J25" s="179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74.267252135416967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9"/>
      <c r="J28" s="179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9"/>
      <c r="J29" s="179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9"/>
      <c r="J30" s="179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93.75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170</v>
      </c>
      <c r="C33" s="39"/>
      <c r="D33" s="39"/>
      <c r="E33" s="18"/>
      <c r="F33" s="120" t="s">
        <v>304</v>
      </c>
      <c r="G33" s="120">
        <v>30</v>
      </c>
      <c r="I33" s="179"/>
      <c r="J33" s="179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175</v>
      </c>
      <c r="C34" s="39">
        <v>30</v>
      </c>
      <c r="D34" s="39" t="s">
        <v>63</v>
      </c>
      <c r="E34" s="18"/>
      <c r="F34" s="18"/>
      <c r="I34" s="179"/>
      <c r="J34" s="179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7500.9924656771136</v>
      </c>
      <c r="C36" s="39"/>
      <c r="D36" s="39"/>
      <c r="E36" s="18"/>
      <c r="F36" s="18"/>
      <c r="I36" s="179"/>
      <c r="J36" s="179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9"/>
      <c r="J37" s="179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9"/>
      <c r="J38" s="179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11251.48869851567</v>
      </c>
      <c r="C39" s="39"/>
      <c r="D39" s="39"/>
      <c r="E39" s="18"/>
      <c r="F39" s="18"/>
      <c r="I39" s="179"/>
      <c r="J39" s="179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12501.654109461855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3.0663856044792386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0.17140221377748677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171.40221377748676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171.40221377748676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12501.654109461855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7500.9924656771136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5000.6616437847415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9"/>
      <c r="L50" s="179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79"/>
      <c r="L51" s="179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9"/>
      <c r="L52" s="179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3058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3258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3489.3179999999998</v>
      </c>
      <c r="C59" s="39"/>
      <c r="D59" s="39"/>
      <c r="E59" s="39"/>
      <c r="F59" s="18"/>
      <c r="K59" s="179"/>
      <c r="L59" s="179"/>
      <c r="M59" s="18"/>
      <c r="N59" s="18"/>
    </row>
    <row r="60" spans="1:18" x14ac:dyDescent="0.3">
      <c r="A60" s="70" t="s">
        <v>154</v>
      </c>
      <c r="B60" s="54">
        <f>B57/B56</f>
        <v>6.540222367560497E-2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1250.1654109461851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8751.1578766232997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12501.654109461855</v>
      </c>
      <c r="C64" s="18"/>
      <c r="D64" s="18"/>
      <c r="E64" s="18"/>
      <c r="F64" s="18"/>
      <c r="K64" s="179"/>
      <c r="L64" s="179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conditionalFormatting sqref="B4">
    <cfRule type="expression" dxfId="651" priority="2">
      <formula>F4="Sí"</formula>
    </cfRule>
  </conditionalFormatting>
  <conditionalFormatting sqref="B4">
    <cfRule type="duplicateValues" dxfId="650" priority="1"/>
  </conditionalFormatting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5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9" customWidth="1"/>
    <col min="14" max="14" width="14.5546875" style="179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1208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145" t="s">
        <v>370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9.7681086921057366E-3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4.1514461941449376E-3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44967.006000000001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1.5384771190066536E-2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1.5110043133101062E-2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2.8205413848455315E-2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0.20513028253422047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0.16329569160068241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0.54905325270821348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SUBTOTAL(109,Tabla1341530506065[Contribución])</f>
        <v>0.99999999999999978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9"/>
      <c r="J16" s="179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9"/>
      <c r="J17" s="179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9"/>
      <c r="J18" s="179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9"/>
      <c r="J19" s="179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9"/>
      <c r="J20" s="179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79"/>
      <c r="J21" s="179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9"/>
      <c r="J22" s="179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9"/>
      <c r="J23" s="179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9"/>
      <c r="J24" s="179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9"/>
      <c r="J25" s="179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810.88287701069942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9"/>
      <c r="J28" s="179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9"/>
      <c r="J29" s="179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9"/>
      <c r="J30" s="179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1237.5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340</v>
      </c>
      <c r="C33" s="39"/>
      <c r="D33" s="39"/>
      <c r="E33" s="18"/>
      <c r="F33" s="120" t="s">
        <v>304</v>
      </c>
      <c r="G33" s="120">
        <v>30</v>
      </c>
      <c r="I33" s="179"/>
      <c r="J33" s="179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2310</v>
      </c>
      <c r="C34" s="39">
        <v>30</v>
      </c>
      <c r="D34" s="39" t="s">
        <v>63</v>
      </c>
      <c r="E34" s="18"/>
      <c r="F34" s="18"/>
      <c r="I34" s="179"/>
      <c r="J34" s="179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81899.170578080651</v>
      </c>
      <c r="C36" s="39"/>
      <c r="D36" s="39"/>
      <c r="E36" s="18"/>
      <c r="F36" s="18"/>
      <c r="I36" s="179"/>
      <c r="J36" s="179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9"/>
      <c r="J37" s="179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9"/>
      <c r="J38" s="179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122848.75586712098</v>
      </c>
      <c r="C39" s="39"/>
      <c r="D39" s="39"/>
      <c r="E39" s="18"/>
      <c r="F39" s="18"/>
      <c r="I39" s="179"/>
      <c r="J39" s="179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136498.61763013442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2.4499877522729374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0.13694733103817425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136.94733103817424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136.94733103817424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136498.61763013442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81899.170578080651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54599.447052053772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9"/>
      <c r="L50" s="179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9"/>
      <c r="L51" s="179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9"/>
      <c r="L52" s="179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41786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41986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44967.006000000001</v>
      </c>
      <c r="C59" s="39"/>
      <c r="D59" s="39"/>
      <c r="E59" s="39"/>
      <c r="F59" s="18"/>
      <c r="K59" s="179"/>
      <c r="L59" s="179"/>
      <c r="M59" s="18"/>
      <c r="N59" s="18"/>
    </row>
    <row r="60" spans="1:18" x14ac:dyDescent="0.3">
      <c r="A60" s="70" t="s">
        <v>154</v>
      </c>
      <c r="B60" s="54">
        <f>B57/B56</f>
        <v>4.7862920595414735E-3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13649.861763013439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95549.032341094091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136498.61763013442</v>
      </c>
      <c r="C64" s="18"/>
      <c r="D64" s="18"/>
      <c r="E64" s="18"/>
      <c r="F64" s="18"/>
      <c r="K64" s="179"/>
      <c r="L64" s="179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conditionalFormatting sqref="B4">
    <cfRule type="expression" dxfId="621" priority="2">
      <formula>F4="Sí"</formula>
    </cfRule>
  </conditionalFormatting>
  <conditionalFormatting sqref="B4">
    <cfRule type="duplicateValues" dxfId="620" priority="1"/>
  </conditionalFormatting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6">
    <tabColor theme="5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324</v>
      </c>
      <c r="C1" s="182"/>
      <c r="D1" s="182"/>
      <c r="E1" s="19"/>
      <c r="F1" s="19"/>
    </row>
    <row r="2" spans="1:17 16374:16377" ht="20.399999999999999" customHeight="1" x14ac:dyDescent="0.3">
      <c r="A2" s="92"/>
      <c r="B2" s="182"/>
      <c r="C2" s="182"/>
      <c r="D2" s="182"/>
      <c r="E2" s="19"/>
      <c r="F2" s="19"/>
      <c r="H2" s="19"/>
      <c r="I2" s="19"/>
      <c r="J2" s="20"/>
      <c r="K2" s="20"/>
      <c r="L2" s="20"/>
    </row>
    <row r="3" spans="1:17 16374:16377" x14ac:dyDescent="0.3">
      <c r="B3" s="182"/>
      <c r="C3" s="182"/>
      <c r="D3" s="182"/>
      <c r="E3" s="19"/>
      <c r="F3" s="19"/>
      <c r="G3" s="19"/>
      <c r="H3" s="19"/>
      <c r="I3" s="19"/>
    </row>
    <row r="4" spans="1:17 16374:16377" s="22" customFormat="1" x14ac:dyDescent="0.3">
      <c r="A4" s="38" t="s">
        <v>0</v>
      </c>
      <c r="B4" s="21" t="s">
        <v>249</v>
      </c>
      <c r="C4" s="38" t="s">
        <v>111</v>
      </c>
      <c r="D4" s="38" t="s">
        <v>112</v>
      </c>
      <c r="F4" s="18" t="s">
        <v>115</v>
      </c>
      <c r="G4" s="19"/>
      <c r="H4" s="19"/>
      <c r="I4" s="19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44860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1.5271406362184964E-2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6.4903477039286095E-3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64093.68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15300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0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2.8633886929096807E-2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177</v>
      </c>
      <c r="I11" s="39" t="s">
        <v>62</v>
      </c>
      <c r="J11" s="129">
        <f>$B$34/$B$36</f>
        <v>5.3449922267647373E-2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f>1.2*1000</f>
        <v>1200</v>
      </c>
      <c r="I12" s="39" t="s">
        <v>11</v>
      </c>
      <c r="J12" s="129">
        <f>$B$9/$B$36</f>
        <v>0.14603282333839371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0.10277990461704854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36</v>
      </c>
      <c r="I14" s="39" t="s">
        <v>8</v>
      </c>
      <c r="J14" s="129">
        <f>$B$8/$B$36</f>
        <v>0.61175039532990449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10768.349914025155</v>
      </c>
      <c r="C15" s="34">
        <v>90</v>
      </c>
      <c r="D15" s="43" t="s">
        <v>28</v>
      </c>
      <c r="F15" s="18" t="s">
        <v>138</v>
      </c>
      <c r="G15" s="36">
        <f>'Acomodo Familia B1'!M7*2</f>
        <v>32</v>
      </c>
      <c r="H15" s="20"/>
      <c r="I15" s="22" t="s">
        <v>38</v>
      </c>
      <c r="J15" s="128">
        <f>SUBTOTAL(109,Tabla1341530507075140180185[Contribución])</f>
        <v>0.97430967664721435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1.125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156">
        <v>150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60">
        <v>200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158">
        <v>42000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156">
        <v>60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1037.3362991402514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>
        <f>PRODUCT(B5/1000,G24)</f>
        <v>2691.6</v>
      </c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3000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680</v>
      </c>
      <c r="C33" s="39"/>
      <c r="D33" s="39"/>
      <c r="E33" s="18"/>
      <c r="F33" s="120" t="s">
        <v>304</v>
      </c>
      <c r="G33" s="157">
        <v>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B1'!$M$8,0)*$G$28</f>
        <v>5600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104770.9662131654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0.19726353092143964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125438.45694642527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B39*1.1</f>
        <v>137982.3026410678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3.0758426803626349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0.1618864568611913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161.88645686119131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 t="e">
        <f>'BASE DE DATOS'!#REF!</f>
        <v>#REF!</v>
      </c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 t="e">
        <f t="shared" ref="B46" si="0">+B44-B45</f>
        <v>#REF!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137982.3026410678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104770.9662131654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33211.336427902395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0.24069272502499661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0.75930727497500339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1260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1.26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50468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400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50868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64093.68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7.9258143774272802E-3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B39*10%</f>
        <v>12543.845694642529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117314.81190780793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137982.3026410678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0.1497836341159057</v>
      </c>
      <c r="C65" s="18"/>
      <c r="D65" s="18"/>
      <c r="F65" s="18"/>
    </row>
  </sheetData>
  <mergeCells count="1">
    <mergeCell ref="B1:D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7">
    <tabColor theme="5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322</v>
      </c>
      <c r="C1" s="182"/>
      <c r="D1" s="182"/>
      <c r="E1" s="19"/>
      <c r="F1" s="19"/>
    </row>
    <row r="2" spans="1:17 16374:16377" ht="20.399999999999999" customHeight="1" x14ac:dyDescent="0.3">
      <c r="A2" s="92"/>
      <c r="B2" s="182"/>
      <c r="C2" s="182"/>
      <c r="D2" s="182"/>
      <c r="E2" s="19"/>
      <c r="F2" s="19"/>
      <c r="H2" s="19"/>
      <c r="I2" s="19"/>
      <c r="J2" s="20"/>
      <c r="K2" s="20"/>
      <c r="L2" s="20"/>
    </row>
    <row r="3" spans="1:17 16374:16377" x14ac:dyDescent="0.3">
      <c r="B3" s="182"/>
      <c r="C3" s="182"/>
      <c r="D3" s="182"/>
      <c r="E3" s="19"/>
      <c r="F3" s="19"/>
      <c r="G3" s="19"/>
      <c r="H3" s="19"/>
      <c r="I3" s="19"/>
    </row>
    <row r="4" spans="1:17 16374:16377" s="22" customFormat="1" x14ac:dyDescent="0.3">
      <c r="A4" s="38" t="s">
        <v>0</v>
      </c>
      <c r="B4" s="21" t="s">
        <v>200</v>
      </c>
      <c r="C4" s="38" t="s">
        <v>111</v>
      </c>
      <c r="D4" s="38" t="s">
        <v>112</v>
      </c>
      <c r="F4" s="18" t="s">
        <v>115</v>
      </c>
      <c r="G4" s="19"/>
      <c r="H4" s="19"/>
      <c r="I4" s="19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1124286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4.8700653124933765E-3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5.7436332779218762E-3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2243529.6408000002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9.9009900990099028E-3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424200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1.2911760659748065E-2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42420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2.5265366177822084E-2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177</v>
      </c>
      <c r="I11" s="39" t="s">
        <v>62</v>
      </c>
      <c r="J11" s="129">
        <f>$B$34/$B$36</f>
        <v>4.7162016865267893E-2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1512</v>
      </c>
      <c r="I12" s="39" t="s">
        <v>11</v>
      </c>
      <c r="J12" s="129">
        <f>$B$9/$B$36</f>
        <v>0.12911760659748064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8.2145068434580859E-2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40</v>
      </c>
      <c r="I14" s="39" t="s">
        <v>8</v>
      </c>
      <c r="J14" s="129">
        <f>$B$8/$B$36</f>
        <v>0.68288349257567538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269877.50894872239</v>
      </c>
      <c r="C15" s="34">
        <v>90</v>
      </c>
      <c r="D15" s="43" t="s">
        <v>28</v>
      </c>
      <c r="F15" s="18" t="s">
        <v>138</v>
      </c>
      <c r="G15" s="36">
        <f>'Acomodo Familia B2'!M7*2</f>
        <v>32</v>
      </c>
      <c r="H15" s="20"/>
      <c r="I15" s="22" t="s">
        <v>38</v>
      </c>
      <c r="J15" s="128">
        <f>SUBTOTAL(109,Tabla1341530507075140180[Contribución])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156">
        <v>150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158">
        <v>44800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156">
        <v>60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32528.483997487227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83006.25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18870</v>
      </c>
      <c r="C33" s="39"/>
      <c r="D33" s="39"/>
      <c r="E33" s="18"/>
      <c r="F33" s="120" t="s">
        <v>304</v>
      </c>
      <c r="G33" s="157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B2'!$M$8,0)*$G$28</f>
        <v>154945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3285376.8837462096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4928065.3256193139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5475628.1395770153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4.8703160402041963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0.27223678257150341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272.2367825715034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272.2367825715034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5475628.1395770153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3285376.8837462096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2190251.2558308057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0.39999999999999991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1587.6000000000001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1.5876000000000001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1405358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1413158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2243529.6408000002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5.5501872120840385E-3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547562.81395770144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3832939.697703911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5475628.1395770153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D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8">
    <tabColor theme="5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322</v>
      </c>
      <c r="C1" s="182"/>
      <c r="D1" s="182"/>
      <c r="E1" s="19"/>
      <c r="F1" s="19"/>
    </row>
    <row r="2" spans="1:17 16374:16377" ht="20.399999999999999" customHeight="1" x14ac:dyDescent="0.3">
      <c r="A2" s="92"/>
      <c r="B2" s="182"/>
      <c r="C2" s="182"/>
      <c r="D2" s="182"/>
      <c r="E2" s="19"/>
      <c r="F2" s="19"/>
      <c r="H2" s="19"/>
      <c r="I2" s="19"/>
      <c r="J2" s="20"/>
      <c r="K2" s="20"/>
      <c r="L2" s="20"/>
    </row>
    <row r="3" spans="1:17 16374:16377" x14ac:dyDescent="0.3">
      <c r="B3" s="182"/>
      <c r="C3" s="182"/>
      <c r="D3" s="182"/>
      <c r="E3" s="19"/>
      <c r="F3" s="19"/>
      <c r="G3" s="19"/>
      <c r="H3" s="19"/>
      <c r="I3" s="19"/>
    </row>
    <row r="4" spans="1:17 16374:16377" s="22" customFormat="1" x14ac:dyDescent="0.3">
      <c r="A4" s="38" t="s">
        <v>0</v>
      </c>
      <c r="B4" s="21" t="s">
        <v>208</v>
      </c>
      <c r="C4" s="38" t="s">
        <v>111</v>
      </c>
      <c r="D4" s="38" t="s">
        <v>112</v>
      </c>
      <c r="F4" s="18" t="s">
        <v>115</v>
      </c>
      <c r="G4" s="19"/>
      <c r="H4" s="19"/>
      <c r="I4" s="19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468076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4.6758304916895534E-3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6400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5.8374821294686768E-3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935009.08200000005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176700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1.2909675748149127E-2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17670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2.5246744910694865E-2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177</v>
      </c>
      <c r="I11" s="39" t="s">
        <v>62</v>
      </c>
      <c r="J11" s="129">
        <f>$B$34/$B$36</f>
        <v>4.7127257166630417E-2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1512</v>
      </c>
      <c r="I12" s="39" t="s">
        <v>11</v>
      </c>
      <c r="J12" s="129">
        <f>$B$9/$B$36</f>
        <v>0.12909675748149127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8.2089015781888292E-2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40</v>
      </c>
      <c r="I14" s="39" t="s">
        <v>8</v>
      </c>
      <c r="J14" s="129">
        <f>$B$8/$B$36</f>
        <v>0.68311624619097788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112358.58569677304</v>
      </c>
      <c r="C15" s="34">
        <v>90</v>
      </c>
      <c r="D15" s="43" t="s">
        <v>28</v>
      </c>
      <c r="F15" s="18" t="s">
        <v>138</v>
      </c>
      <c r="G15" s="36">
        <f>'Acomodo Familia B2'!M7*2</f>
        <v>32</v>
      </c>
      <c r="H15" s="20"/>
      <c r="I15" s="22" t="s">
        <v>38</v>
      </c>
      <c r="J15" s="128">
        <f>SUBTOTAL(109,Tabla1341530507075140180215[Contribución])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156">
        <v>150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158">
        <v>44800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156">
        <v>60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13551.88917696773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5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34556.25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7990</v>
      </c>
      <c r="C33" s="39"/>
      <c r="D33" s="39"/>
      <c r="E33" s="18"/>
      <c r="F33" s="120" t="s">
        <v>304</v>
      </c>
      <c r="G33" s="157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B2'!$M$8,0)*$G$28</f>
        <v>64505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1368740.8068737409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0.6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2189985.2909979853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2433316.9899977613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5.1985510686250977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0.29058418494271088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290.58418494271086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290.58418494271086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2433316.9899977613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1368740.8068737409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1064576.1831240205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0.43749999999999994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0.5625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1587.6000000000001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1.5876000000000001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585095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3850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588945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935009.08200000005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6.5801280133995334E-3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243331.69899977604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1612072.5058735169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2433316.9899977613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0.33749999999999997</v>
      </c>
      <c r="C65" s="18"/>
      <c r="D65" s="18"/>
      <c r="F65" s="18"/>
    </row>
  </sheetData>
  <mergeCells count="1">
    <mergeCell ref="B1:D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9">
    <tabColor theme="5" tint="0.3999755851924192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323</v>
      </c>
      <c r="J5" s="123">
        <v>940</v>
      </c>
      <c r="K5" s="123" t="s">
        <v>95</v>
      </c>
      <c r="L5" s="124">
        <v>640</v>
      </c>
      <c r="M5" s="124"/>
      <c r="N5" s="90"/>
      <c r="O5" s="90"/>
      <c r="P5" s="90"/>
      <c r="R5" s="3">
        <f>J5/2</f>
        <v>470</v>
      </c>
      <c r="S5" s="3" t="s">
        <v>95</v>
      </c>
      <c r="T5" s="2">
        <f>L5</f>
        <v>640</v>
      </c>
      <c r="U5" s="2"/>
    </row>
    <row r="6" spans="4:24" x14ac:dyDescent="0.25">
      <c r="I6" s="185"/>
      <c r="J6" s="124">
        <f>J5/$D$2</f>
        <v>4.1119860017497816</v>
      </c>
      <c r="K6" s="123" t="s">
        <v>95</v>
      </c>
      <c r="L6" s="124">
        <f>L5/$D$3</f>
        <v>4.1994750656167978</v>
      </c>
      <c r="M6" s="124">
        <f>J6*L6</f>
        <v>17.268182684513519</v>
      </c>
      <c r="N6" s="90" t="s">
        <v>96</v>
      </c>
      <c r="O6" s="90"/>
      <c r="P6" s="90"/>
      <c r="R6" s="2">
        <f>R5/$D$2</f>
        <v>2.0559930008748908</v>
      </c>
      <c r="S6" s="3" t="s">
        <v>95</v>
      </c>
      <c r="T6" s="2">
        <f>T5/$D$3</f>
        <v>4.1994750656167978</v>
      </c>
      <c r="U6" s="2">
        <f>R6*T6</f>
        <v>8.6340913422567596</v>
      </c>
      <c r="V6" s="1" t="s">
        <v>96</v>
      </c>
    </row>
    <row r="7" spans="4:24" x14ac:dyDescent="0.25">
      <c r="I7" s="185"/>
      <c r="J7" s="124">
        <f>ROUNDDOWN(J6,0)</f>
        <v>4</v>
      </c>
      <c r="K7" s="123" t="s">
        <v>95</v>
      </c>
      <c r="L7" s="124">
        <f>ROUNDDOWN(L6,0)</f>
        <v>4</v>
      </c>
      <c r="M7" s="124">
        <f>J7*L7</f>
        <v>16</v>
      </c>
      <c r="N7" s="90" t="s">
        <v>97</v>
      </c>
      <c r="O7" s="125">
        <f>M7/M6</f>
        <v>0.92655957446808501</v>
      </c>
      <c r="P7" s="90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0.92655957446808501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6.1679790026246719</v>
      </c>
      <c r="K9" s="123" t="s">
        <v>95</v>
      </c>
      <c r="L9" s="124">
        <f>L5/$D$2</f>
        <v>2.7996500437445322</v>
      </c>
      <c r="M9" s="124">
        <f>J9*L9</f>
        <v>17.268182684513519</v>
      </c>
      <c r="N9" s="90" t="s">
        <v>96</v>
      </c>
      <c r="O9" s="90"/>
      <c r="P9" s="90"/>
      <c r="R9" s="2">
        <f>R5/$D$3</f>
        <v>3.083989501312336</v>
      </c>
      <c r="S9" s="3" t="s">
        <v>95</v>
      </c>
      <c r="T9" s="2">
        <f>T5/$D$2</f>
        <v>2.7996500437445322</v>
      </c>
      <c r="U9" s="2">
        <f>R9*T9</f>
        <v>8.6340913422567596</v>
      </c>
      <c r="V9" s="1" t="s">
        <v>96</v>
      </c>
    </row>
    <row r="10" spans="4:24" x14ac:dyDescent="0.25">
      <c r="I10" s="185"/>
      <c r="J10" s="124">
        <f>ROUNDDOWN(J9,0)</f>
        <v>6</v>
      </c>
      <c r="K10" s="123" t="s">
        <v>95</v>
      </c>
      <c r="L10" s="124">
        <f>ROUNDDOWN(L9,0)</f>
        <v>2</v>
      </c>
      <c r="M10" s="124">
        <f>J10*L10</f>
        <v>12</v>
      </c>
      <c r="N10" s="90" t="s">
        <v>97</v>
      </c>
      <c r="O10" s="125">
        <f>M10/M9</f>
        <v>0.6949196808510637</v>
      </c>
      <c r="P10" s="90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0.6949196808510637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914.4</v>
      </c>
      <c r="K12" s="90"/>
      <c r="L12" s="90">
        <f>L7*D3</f>
        <v>609.6</v>
      </c>
      <c r="M12" s="90"/>
      <c r="N12" s="90"/>
      <c r="O12" s="91">
        <f>J5*L5</f>
        <v>601600</v>
      </c>
      <c r="P12" s="90" t="s">
        <v>99</v>
      </c>
      <c r="R12" s="6">
        <f>$D$3*1</f>
        <v>152.4</v>
      </c>
      <c r="T12" s="6">
        <f>$D$2*1</f>
        <v>228.6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19759.999999999993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25.600000000000023</v>
      </c>
      <c r="K14" s="90"/>
      <c r="L14" s="126">
        <f>L5-L12</f>
        <v>30.399999999999977</v>
      </c>
      <c r="M14" s="90"/>
      <c r="N14" s="90"/>
      <c r="O14" s="127">
        <f>O13/O12</f>
        <v>3.2845744680851052E-2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0.967154255319149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15.600000000000023</v>
      </c>
      <c r="K16" s="90"/>
      <c r="L16" s="90">
        <f>L14-L15</f>
        <v>10.399999999999977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304.8</v>
      </c>
      <c r="T17" s="6">
        <f>$D$2*2</f>
        <v>457.2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457.20000000000005</v>
      </c>
      <c r="T18" s="6">
        <f>$D$2*3</f>
        <v>685.8</v>
      </c>
    </row>
    <row r="19" spans="9:20" x14ac:dyDescent="0.25">
      <c r="R19" s="6">
        <f>$D$3*4</f>
        <v>609.6</v>
      </c>
      <c r="T19" s="6">
        <f>$D$2*4</f>
        <v>914.4</v>
      </c>
    </row>
    <row r="20" spans="9:20" x14ac:dyDescent="0.25">
      <c r="R20" s="6">
        <f>R5-R19</f>
        <v>-139.60000000000002</v>
      </c>
      <c r="T20" s="6">
        <f>T5-T19</f>
        <v>-274.39999999999998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6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7" t="s">
        <v>92</v>
      </c>
      <c r="K57" s="187"/>
      <c r="L57" s="187"/>
      <c r="M57" s="187"/>
      <c r="N57" s="187"/>
      <c r="O57" s="187"/>
      <c r="P57" s="187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8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8"/>
      <c r="J59" s="4">
        <f>J58/$D$2</f>
        <v>4.1557305336832897</v>
      </c>
      <c r="K59" s="102" t="s">
        <v>95</v>
      </c>
      <c r="L59" s="4">
        <f>L58/$D$3</f>
        <v>4.5931758530183728</v>
      </c>
      <c r="M59" s="4">
        <f>J59*L59</f>
        <v>19.088001138965243</v>
      </c>
      <c r="N59" s="101" t="s">
        <v>96</v>
      </c>
      <c r="O59" s="101"/>
      <c r="P59" s="101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8"/>
      <c r="J60" s="4">
        <f>ROUNDDOWN(J59,0)</f>
        <v>4</v>
      </c>
      <c r="K60" s="102" t="s">
        <v>95</v>
      </c>
      <c r="L60" s="4">
        <f>ROUNDDOWN(L59,0)</f>
        <v>4</v>
      </c>
      <c r="M60" s="4">
        <f>J60*L60</f>
        <v>16</v>
      </c>
      <c r="N60" s="101" t="s">
        <v>97</v>
      </c>
      <c r="O60" s="103">
        <f>M60/M59</f>
        <v>0.83822291729323295</v>
      </c>
      <c r="P60" s="101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8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8"/>
      <c r="J62" s="4">
        <f>J58/$D$3</f>
        <v>6.2335958005249346</v>
      </c>
      <c r="K62" s="102" t="s">
        <v>95</v>
      </c>
      <c r="L62" s="4">
        <f>L58/$D$2</f>
        <v>3.0621172353455819</v>
      </c>
      <c r="M62" s="4">
        <f>J62*L62</f>
        <v>19.088001138965243</v>
      </c>
      <c r="N62" s="101" t="s">
        <v>96</v>
      </c>
      <c r="O62" s="101"/>
      <c r="P62" s="101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8"/>
      <c r="J63" s="4">
        <f>ROUNDDOWN(J62,0)</f>
        <v>6</v>
      </c>
      <c r="K63" s="102" t="s">
        <v>95</v>
      </c>
      <c r="L63" s="4">
        <f>ROUNDDOWN(L62,0)</f>
        <v>3</v>
      </c>
      <c r="M63" s="4">
        <f>J63*L63</f>
        <v>18</v>
      </c>
      <c r="N63" s="101" t="s">
        <v>97</v>
      </c>
      <c r="O63" s="103">
        <f>M63/M62</f>
        <v>0.94300078195488712</v>
      </c>
      <c r="P63" s="10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557418.23999999999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0.83822291729323306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914.4</v>
      </c>
      <c r="K68" s="101"/>
      <c r="L68" s="105">
        <f>D3*L60</f>
        <v>609.6</v>
      </c>
      <c r="M68" s="101"/>
      <c r="N68" s="101"/>
      <c r="O68" s="63">
        <f>100%-O67</f>
        <v>0.16177708270676694</v>
      </c>
      <c r="P68" s="101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>
    <tabColor theme="5" tint="0.3999755851924192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ROUNDDOWN(D6,0)</f>
        <v>1</v>
      </c>
      <c r="E8" s="15">
        <f>ROUNDDOWN(E4*10/('114-5711-010'!G14/2),0)</f>
        <v>127</v>
      </c>
      <c r="F8" s="16">
        <f>PRODUCT(C8:E8)</f>
        <v>254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254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>
    <tabColor theme="5" tint="-0.499984740745262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3" width="14.5546875" style="120" customWidth="1"/>
    <col min="4" max="4" width="16.21875" style="120" customWidth="1"/>
    <col min="5" max="5" width="10.44140625" style="120" customWidth="1"/>
    <col min="6" max="6" width="77.1093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C1" s="19"/>
      <c r="D1" s="19"/>
      <c r="E1" s="19"/>
      <c r="F1" s="182" t="s">
        <v>321</v>
      </c>
      <c r="G1" s="182"/>
      <c r="H1" s="182"/>
    </row>
    <row r="2" spans="1:19 16376:16379" ht="20.399999999999999" customHeight="1" x14ac:dyDescent="0.3">
      <c r="A2" s="92"/>
      <c r="B2" s="19"/>
      <c r="C2" s="19"/>
      <c r="D2" s="19"/>
      <c r="E2" s="19"/>
      <c r="F2" s="182"/>
      <c r="G2" s="182"/>
      <c r="H2" s="182"/>
      <c r="I2" s="20"/>
      <c r="J2" s="20"/>
      <c r="K2" s="20"/>
      <c r="L2" s="20"/>
    </row>
    <row r="3" spans="1:19 16376:16379" x14ac:dyDescent="0.3">
      <c r="B3" s="19"/>
      <c r="C3" s="19"/>
      <c r="D3" s="19"/>
      <c r="E3" s="19"/>
      <c r="F3" s="182"/>
      <c r="G3" s="182"/>
      <c r="H3" s="182"/>
    </row>
    <row r="4" spans="1:19 16376:16379" s="22" customFormat="1" ht="27.6" x14ac:dyDescent="0.3">
      <c r="A4" s="38" t="s">
        <v>0</v>
      </c>
      <c r="B4" s="21" t="s">
        <v>309</v>
      </c>
      <c r="C4" s="21" t="s">
        <v>310</v>
      </c>
      <c r="D4" s="21" t="s">
        <v>204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153389</v>
      </c>
      <c r="C5" s="40">
        <v>153389</v>
      </c>
      <c r="D5" s="40">
        <v>153389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53</v>
      </c>
      <c r="L6" s="129">
        <f>$B$28/$B$36</f>
        <v>0</v>
      </c>
      <c r="M6" s="120"/>
      <c r="N6" s="120"/>
      <c r="O6" s="120"/>
      <c r="P6" s="120"/>
      <c r="Q6" s="120"/>
      <c r="S6" s="27"/>
      <c r="XEV6" s="18">
        <v>80</v>
      </c>
      <c r="XEW6" s="18" t="s">
        <v>297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3200</v>
      </c>
      <c r="C7" s="24"/>
      <c r="D7" s="74">
        <f>SUM(Tabla612173252727792[[#This Row],[114-5822-000]:[114A1718]])</f>
        <v>3200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301</v>
      </c>
      <c r="L7" s="129">
        <f>$D$33/$B$36</f>
        <v>7.7069385425827357E-3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304820.88</v>
      </c>
      <c r="C8" s="24"/>
      <c r="D8" s="74">
        <f>SUM(Tabla612173252727792[[#This Row],[114-5822-000]:[114A1718]])</f>
        <v>304820.88</v>
      </c>
      <c r="E8" s="34"/>
      <c r="F8" s="39" t="s">
        <v>9</v>
      </c>
      <c r="H8" s="18" t="s">
        <v>124</v>
      </c>
      <c r="I8" s="18" t="s">
        <v>118</v>
      </c>
      <c r="K8" s="39" t="s">
        <v>6</v>
      </c>
      <c r="L8" s="129">
        <f>$B$7/$B$36</f>
        <v>7.2535892165484575E-3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89600</v>
      </c>
      <c r="C9" s="24"/>
      <c r="D9" s="74">
        <f>SUM(Tabla612173252727792[[#This Row],[114-5822-000]:[114A1718]])</f>
        <v>89600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60</v>
      </c>
      <c r="L9" s="129">
        <f>$D$32/$B$36</f>
        <v>3.3618685958729466E-2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ht="15" customHeight="1" x14ac:dyDescent="0.3">
      <c r="A10" s="39" t="s">
        <v>14</v>
      </c>
      <c r="B10" s="24">
        <f>ROUNDUP(B58/1000,0)*$I$33</f>
        <v>6720</v>
      </c>
      <c r="C10" s="24"/>
      <c r="D10" s="74">
        <f>SUM(Tabla612173252727792[[#This Row],[114-5822-000]:[114A1718]])</f>
        <v>6720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14</v>
      </c>
      <c r="L10" s="129">
        <f>$B$10/$B$36</f>
        <v>1.523253735475176E-2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ht="15" customHeight="1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134</v>
      </c>
      <c r="K11" s="39" t="s">
        <v>62</v>
      </c>
      <c r="L11" s="129">
        <f>$D$34/$B$36</f>
        <v>6.2754880456295015E-2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ht="15" customHeight="1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f>1.3*1000</f>
        <v>1300</v>
      </c>
      <c r="K12" s="42" t="s">
        <v>113</v>
      </c>
      <c r="L12" s="129">
        <f>$B$15/$B$36</f>
        <v>8.3461672819464469E-2</v>
      </c>
      <c r="M12" s="120"/>
      <c r="N12" s="120"/>
      <c r="O12" s="120"/>
      <c r="P12" s="120"/>
      <c r="XEV12" s="18">
        <v>150</v>
      </c>
    </row>
    <row r="13" spans="1:19 16376:16379" ht="15" customHeight="1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39" t="s">
        <v>11</v>
      </c>
      <c r="L13" s="129">
        <f>$B$9/$B$36</f>
        <v>0.20310049806335681</v>
      </c>
      <c r="M13" s="120"/>
      <c r="N13" s="120"/>
      <c r="O13" s="120"/>
      <c r="P13" s="120"/>
      <c r="XEV13" s="18">
        <v>200</v>
      </c>
    </row>
    <row r="14" spans="1:19 16376:16379" ht="15" customHeight="1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52</v>
      </c>
      <c r="K14" s="39" t="s">
        <v>8</v>
      </c>
      <c r="L14" s="129">
        <f>$B$8/$B$36</f>
        <v>0.69095170254587857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36820.027306339827</v>
      </c>
      <c r="C15" s="24"/>
      <c r="D15" s="74">
        <f>SUM(Tabla612173252727792[[#This Row],[114-5822-000]:[114A1718]])</f>
        <v>36820.027306339827</v>
      </c>
      <c r="E15" s="34">
        <v>90</v>
      </c>
      <c r="F15" s="43" t="s">
        <v>28</v>
      </c>
      <c r="G15" s="120"/>
      <c r="H15" s="18" t="s">
        <v>138</v>
      </c>
      <c r="I15" s="36">
        <f>'Acomodo Familia B3'!M63*2</f>
        <v>36</v>
      </c>
      <c r="J15" s="20"/>
      <c r="K15" s="22" t="s">
        <v>38</v>
      </c>
      <c r="L15" s="128">
        <f>SUBTOTAL(109,Tabla134153050707590[Contribución])</f>
        <v>1.1040805049576072</v>
      </c>
      <c r="M15" s="28"/>
      <c r="N15" s="28"/>
      <c r="O15" s="28"/>
      <c r="P15" s="28"/>
      <c r="XEV15" s="18" t="s">
        <v>298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36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1.4444444444444444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4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303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350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38000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SUM(D6:D27,D29:D35)*$I$27</f>
        <v>7770.7715730633981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301</v>
      </c>
      <c r="I31" s="18">
        <v>170</v>
      </c>
      <c r="M31" s="18"/>
      <c r="N31" s="18"/>
    </row>
    <row r="32" spans="1:20" x14ac:dyDescent="0.25">
      <c r="A32" s="39" t="s">
        <v>60</v>
      </c>
      <c r="B32" s="139"/>
      <c r="C32" s="24"/>
      <c r="D32" s="74">
        <f>ROUNDUP(D34/$I$28,0)/$I$29*$I$30</f>
        <v>14831.249999999998</v>
      </c>
      <c r="E32" s="39">
        <v>100</v>
      </c>
      <c r="F32" s="39" t="s">
        <v>61</v>
      </c>
      <c r="H32" s="18" t="s">
        <v>302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301</v>
      </c>
      <c r="B33" s="139"/>
      <c r="C33" s="24"/>
      <c r="D33" s="74">
        <f>ROUNDUP(D34/$I$28/$I$32,0)*$I$31</f>
        <v>3400</v>
      </c>
      <c r="E33" s="39"/>
      <c r="F33" s="39"/>
      <c r="H33" s="120" t="s">
        <v>304</v>
      </c>
      <c r="I33" s="120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139"/>
      <c r="C34" s="24"/>
      <c r="D34" s="74">
        <f>ROUNDUP(B5/'Embalaje Familia B3'!$M$8,0)*$I$28</f>
        <v>27685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24"/>
      <c r="C35" s="24">
        <v>290000</v>
      </c>
      <c r="D35" s="74">
        <f>SUM(Tabla612173252727792[[#This Row],[114-5822-000]:[114A1718]])</f>
        <v>290000</v>
      </c>
      <c r="E35" s="39">
        <v>0.12727272727272729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441160.90730633982</v>
      </c>
      <c r="C36" s="81">
        <f t="shared" ref="C36:D36" si="0">SUM(C7:C35)</f>
        <v>290000</v>
      </c>
      <c r="D36" s="136">
        <f t="shared" si="0"/>
        <v>784847.92887940328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39" t="s">
        <v>65</v>
      </c>
      <c r="B37" s="130">
        <v>0.5</v>
      </c>
      <c r="C37" s="130">
        <v>0</v>
      </c>
      <c r="D37" s="77">
        <v>1.6765988213782927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661741.36095950974</v>
      </c>
      <c r="C39" s="24">
        <f t="shared" ref="C39:D39" si="1">C36*(1+C37)</f>
        <v>290000</v>
      </c>
      <c r="D39" s="74">
        <f t="shared" si="1"/>
        <v>2100723.0413998049</v>
      </c>
      <c r="E39" s="39"/>
      <c r="F39" s="39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B39*1.1</f>
        <v>727915.49705546082</v>
      </c>
      <c r="C40" s="81">
        <f t="shared" ref="C40:D40" si="2">C39*1.1</f>
        <v>319000</v>
      </c>
      <c r="D40" s="136">
        <f t="shared" si="2"/>
        <v>2310795.3455397855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4.7455521390416573</v>
      </c>
      <c r="C41" s="24">
        <f t="shared" ref="C41:D41" si="3">+C40/C5</f>
        <v>2.0796797684318955</v>
      </c>
      <c r="D41" s="74">
        <f t="shared" si="3"/>
        <v>15.064935200958253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19</v>
      </c>
      <c r="C42" s="24">
        <v>19</v>
      </c>
      <c r="D42" s="74">
        <v>19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0.24976590205482407</v>
      </c>
      <c r="C43" s="32">
        <f t="shared" ref="C43:D43" si="4">+C41/C42</f>
        <v>0.10945682991746819</v>
      </c>
      <c r="D43" s="79">
        <f t="shared" si="4"/>
        <v>0.79289132636622384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249.76590205482407</v>
      </c>
      <c r="C44" s="83">
        <f>+C43*1000</f>
        <v>109.45682991746818</v>
      </c>
      <c r="D44" s="84">
        <f t="shared" ref="D44" si="5">+D43*1000</f>
        <v>792.89132636622389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/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6">+B44-B45</f>
        <v>249.76590205482407</v>
      </c>
      <c r="C46" s="33"/>
      <c r="D46" s="132"/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727915.49705546082</v>
      </c>
      <c r="C47" s="48">
        <f t="shared" ref="C47:D47" si="7">+C41*C5</f>
        <v>319000</v>
      </c>
      <c r="D47" s="133">
        <f t="shared" si="7"/>
        <v>2310795.3455397855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441160.90730633982</v>
      </c>
      <c r="C48" s="48">
        <f t="shared" ref="C48:D48" si="8">C36</f>
        <v>290000</v>
      </c>
      <c r="D48" s="133">
        <f t="shared" si="8"/>
        <v>784847.92887940328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286754.58974912099</v>
      </c>
      <c r="C49" s="49">
        <f t="shared" ref="C49:D49" si="9">+C47-C36</f>
        <v>29000</v>
      </c>
      <c r="D49" s="134">
        <f t="shared" si="9"/>
        <v>1525947.4166603822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10">+B49/B47</f>
        <v>0.39393939393939403</v>
      </c>
      <c r="C50" s="50">
        <f t="shared" si="10"/>
        <v>9.0909090909090912E-2</v>
      </c>
      <c r="D50" s="135">
        <f t="shared" si="10"/>
        <v>0.66035593312307439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11">B48/B47</f>
        <v>0.60606060606060597</v>
      </c>
      <c r="C51" s="50">
        <f t="shared" si="11"/>
        <v>0.90909090909090906</v>
      </c>
      <c r="D51" s="135">
        <f t="shared" si="11"/>
        <v>0.33964406687692561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1365</v>
      </c>
      <c r="C54" s="34"/>
      <c r="D54" s="20"/>
      <c r="E54" s="20"/>
      <c r="F54" s="18"/>
      <c r="I54" s="28"/>
      <c r="J54" s="28"/>
      <c r="K54" s="28"/>
      <c r="L54" s="28"/>
      <c r="M54" s="18"/>
      <c r="N54" s="18"/>
    </row>
    <row r="55" spans="1:20" x14ac:dyDescent="0.25">
      <c r="A55" s="70" t="s">
        <v>151</v>
      </c>
      <c r="B55" s="34">
        <f>B54/1000</f>
        <v>1.365</v>
      </c>
      <c r="C55" s="18"/>
      <c r="D55" s="18"/>
      <c r="E55" s="18"/>
      <c r="F55" s="18"/>
      <c r="I55" s="28"/>
      <c r="J55" s="28"/>
      <c r="K55" s="28"/>
      <c r="L55" s="28"/>
      <c r="M55" s="18"/>
      <c r="N55" s="18"/>
    </row>
    <row r="56" spans="1:20" x14ac:dyDescent="0.25">
      <c r="A56" s="70" t="s">
        <v>82</v>
      </c>
      <c r="B56" s="53">
        <f>ROUNDUP(B5*$I$17,0)</f>
        <v>221562</v>
      </c>
      <c r="C56" s="18"/>
      <c r="D56" s="18"/>
      <c r="E56" s="18"/>
      <c r="F56" s="18"/>
      <c r="I56" s="28"/>
      <c r="J56" s="28"/>
      <c r="K56" s="28"/>
      <c r="L56" s="28"/>
      <c r="M56" s="18"/>
      <c r="N56" s="18"/>
    </row>
    <row r="57" spans="1:20" ht="14.4" customHeight="1" x14ac:dyDescent="0.25">
      <c r="A57" s="70" t="s">
        <v>83</v>
      </c>
      <c r="B57" s="53">
        <f>ROUNDUP(B5/$I$23,0)*$I$22</f>
        <v>1750</v>
      </c>
      <c r="C57" s="18"/>
      <c r="D57" s="18"/>
      <c r="E57" s="18"/>
      <c r="F57" s="18"/>
      <c r="I57" s="28"/>
      <c r="J57" s="28"/>
      <c r="K57" s="28"/>
      <c r="L57" s="28"/>
      <c r="M57" s="18"/>
      <c r="N57" s="18"/>
    </row>
    <row r="58" spans="1:20" x14ac:dyDescent="0.25">
      <c r="A58" s="70" t="s">
        <v>84</v>
      </c>
      <c r="B58" s="53">
        <f>SUM(B56:B57)</f>
        <v>223312</v>
      </c>
      <c r="C58" s="18"/>
      <c r="D58" s="18"/>
      <c r="E58" s="18"/>
      <c r="F58" s="18"/>
      <c r="I58" s="28"/>
      <c r="J58" s="28"/>
      <c r="K58" s="28"/>
      <c r="L58" s="28"/>
      <c r="M58" s="18"/>
      <c r="N58" s="18"/>
    </row>
    <row r="59" spans="1:20" x14ac:dyDescent="0.3">
      <c r="A59" s="70" t="s">
        <v>85</v>
      </c>
      <c r="B59" s="34">
        <f>+B55*B58</f>
        <v>304820.88</v>
      </c>
      <c r="C59" s="39"/>
      <c r="D59" s="18"/>
      <c r="E59" s="18"/>
      <c r="F59" s="18"/>
      <c r="I59" s="10"/>
      <c r="J59" s="10"/>
      <c r="M59" s="18"/>
      <c r="N59" s="18"/>
    </row>
    <row r="60" spans="1:20" x14ac:dyDescent="0.3">
      <c r="A60" s="70" t="s">
        <v>154</v>
      </c>
      <c r="B60" s="54">
        <f>B57/B56</f>
        <v>7.8984663435065581E-3</v>
      </c>
      <c r="C60" s="53"/>
      <c r="D60" s="39"/>
      <c r="E60" s="18"/>
      <c r="F60" s="18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B39*10%</f>
        <v>66174.136095950977</v>
      </c>
      <c r="C62" s="35">
        <f t="shared" ref="C62:D62" si="12">C39*10%</f>
        <v>29000</v>
      </c>
      <c r="D62" s="35">
        <f t="shared" si="12"/>
        <v>210072.30413998049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507335.04340229079</v>
      </c>
      <c r="C63" s="35">
        <f t="shared" ref="C63:D63" si="13">C36+C62</f>
        <v>319000</v>
      </c>
      <c r="D63" s="35">
        <f t="shared" si="13"/>
        <v>994920.23301938374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727915.49705546082</v>
      </c>
      <c r="C64" s="35">
        <f t="shared" ref="C64:D64" si="14">C40</f>
        <v>319000</v>
      </c>
      <c r="D64" s="35">
        <f t="shared" si="14"/>
        <v>2310795.3455397855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0.30303030303030315</v>
      </c>
      <c r="C65" s="71">
        <f t="shared" ref="C65:D65" si="15">(C64-C63)/C64</f>
        <v>0</v>
      </c>
      <c r="D65" s="71">
        <f t="shared" si="15"/>
        <v>0.56944684221398356</v>
      </c>
      <c r="F65" s="18"/>
    </row>
  </sheetData>
  <mergeCells count="1">
    <mergeCell ref="F1:H3"/>
  </mergeCells>
  <dataValidations disablePrompts="1" count="4">
    <dataValidation type="list" allowBlank="1" showInputMessage="1" showErrorMessage="1" sqref="I10">
      <formula1>$XEV$5:$XEV$15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8">
      <formula1>$XEX$5:$XEX$10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2">
    <tabColor theme="5" tint="-0.499984740745262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3" width="14.5546875" style="120" customWidth="1"/>
    <col min="4" max="4" width="16.21875" style="120" customWidth="1"/>
    <col min="5" max="5" width="19.33203125" style="120" bestFit="1" customWidth="1"/>
    <col min="6" max="6" width="77.1093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C1" s="19"/>
      <c r="D1" s="19"/>
      <c r="E1" s="19"/>
      <c r="F1" s="182" t="s">
        <v>321</v>
      </c>
      <c r="G1" s="182"/>
      <c r="H1" s="182"/>
    </row>
    <row r="2" spans="1:19 16376:16379" ht="20.399999999999999" customHeight="1" x14ac:dyDescent="0.3">
      <c r="A2" s="92"/>
      <c r="B2" s="19"/>
      <c r="C2" s="19"/>
      <c r="D2" s="19"/>
      <c r="E2" s="19"/>
      <c r="F2" s="182"/>
      <c r="G2" s="182"/>
      <c r="H2" s="182"/>
      <c r="I2" s="20"/>
      <c r="J2" s="20"/>
      <c r="K2" s="20"/>
      <c r="L2" s="20"/>
    </row>
    <row r="3" spans="1:19 16376:16379" x14ac:dyDescent="0.3">
      <c r="B3" s="19"/>
      <c r="C3" s="19"/>
      <c r="D3" s="19"/>
      <c r="E3" s="19"/>
      <c r="F3" s="182"/>
      <c r="G3" s="182"/>
      <c r="H3" s="182"/>
    </row>
    <row r="4" spans="1:19 16376:16379" s="22" customFormat="1" x14ac:dyDescent="0.3">
      <c r="A4" s="38" t="s">
        <v>0</v>
      </c>
      <c r="B4" s="21" t="s">
        <v>311</v>
      </c>
      <c r="C4" s="21" t="s">
        <v>176</v>
      </c>
      <c r="D4" s="21" t="s">
        <v>269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14896</v>
      </c>
      <c r="C5" s="40">
        <v>14896</v>
      </c>
      <c r="D5" s="40">
        <v>14896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53</v>
      </c>
      <c r="L6" s="129">
        <f>$B$28/$B$36</f>
        <v>0</v>
      </c>
      <c r="M6" s="120"/>
      <c r="N6" s="120"/>
      <c r="O6" s="120"/>
      <c r="P6" s="120"/>
      <c r="Q6" s="120"/>
      <c r="S6" s="27"/>
      <c r="XEV6" s="18">
        <v>80</v>
      </c>
      <c r="XEW6" s="18" t="s">
        <v>297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1600</v>
      </c>
      <c r="C7" s="24"/>
      <c r="D7" s="74">
        <f>SUM(Tabla61217325272779297[[#This Row],[114-5725-000]:[ETIQUETA]])</f>
        <v>1600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301</v>
      </c>
      <c r="L7" s="129">
        <f>$D$33/$B$36</f>
        <v>6.3457659511050616E-3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38943.345000000001</v>
      </c>
      <c r="C8" s="24"/>
      <c r="D8" s="74">
        <f>SUM(Tabla61217325272779297[[#This Row],[114-5725-000]:[ETIQUETA]])</f>
        <v>38943.345000000001</v>
      </c>
      <c r="E8" s="34"/>
      <c r="F8" s="39" t="s">
        <v>9</v>
      </c>
      <c r="H8" s="18" t="s">
        <v>124</v>
      </c>
      <c r="I8" s="18" t="s">
        <v>118</v>
      </c>
      <c r="K8" s="39" t="s">
        <v>6</v>
      </c>
      <c r="L8" s="129">
        <f>$B$7/$B$36</f>
        <v>2.9862428005200288E-2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8800</v>
      </c>
      <c r="C9" s="24"/>
      <c r="D9" s="74">
        <f>SUM(Tabla61217325272779297[[#This Row],[114-5725-000]:[ETIQUETA]])</f>
        <v>8800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60</v>
      </c>
      <c r="L9" s="129">
        <f>$D$32/$B$36</f>
        <v>2.6946175270317448E-2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ht="15" customHeight="1" x14ac:dyDescent="0.3">
      <c r="A10" s="39" t="s">
        <v>14</v>
      </c>
      <c r="B10" s="24">
        <f>ROUNDUP(B58/1000,0)*$I$33</f>
        <v>660</v>
      </c>
      <c r="C10" s="24"/>
      <c r="D10" s="74">
        <f>SUM(Tabla61217325272779297[[#This Row],[114-5725-000]:[ETIQUETA]])</f>
        <v>660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14</v>
      </c>
      <c r="L10" s="129">
        <f>$B$10/$B$36</f>
        <v>1.2318251552145118E-2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ht="15" customHeight="1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134</v>
      </c>
      <c r="K11" s="39" t="s">
        <v>62</v>
      </c>
      <c r="L11" s="129">
        <f>$D$34/$B$36</f>
        <v>5.0299527171259233E-2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ht="15" customHeight="1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1700</v>
      </c>
      <c r="K12" s="42" t="s">
        <v>113</v>
      </c>
      <c r="L12" s="129">
        <f>$B$15/$B$36</f>
        <v>6.6736693698942626E-2</v>
      </c>
      <c r="M12" s="120"/>
      <c r="N12" s="120"/>
      <c r="O12" s="120"/>
      <c r="P12" s="120"/>
      <c r="XEV12" s="18">
        <v>150</v>
      </c>
    </row>
    <row r="13" spans="1:19 16376:16379" ht="15" customHeight="1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39" t="s">
        <v>11</v>
      </c>
      <c r="L13" s="129">
        <f>$B$9/$B$36</f>
        <v>0.16424335402860157</v>
      </c>
      <c r="M13" s="120"/>
      <c r="N13" s="120"/>
      <c r="O13" s="120"/>
      <c r="P13" s="120"/>
      <c r="XEV13" s="18">
        <v>200</v>
      </c>
    </row>
    <row r="14" spans="1:19 16376:16379" ht="15" customHeight="1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52</v>
      </c>
      <c r="K14" s="39" t="s">
        <v>8</v>
      </c>
      <c r="L14" s="129">
        <f>$B$8/$B$36</f>
        <v>0.7268392727151104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3575.6874792536496</v>
      </c>
      <c r="C15" s="24"/>
      <c r="D15" s="74">
        <f>SUM(Tabla61217325272779297[[#This Row],[114-5725-000]:[ETIQUETA]])</f>
        <v>3575.6874792536496</v>
      </c>
      <c r="E15" s="34">
        <v>90</v>
      </c>
      <c r="F15" s="43" t="s">
        <v>28</v>
      </c>
      <c r="G15" s="120"/>
      <c r="H15" s="18" t="s">
        <v>138</v>
      </c>
      <c r="I15" s="36">
        <f>'Acomodo Familia B3'!M63*2</f>
        <v>36</v>
      </c>
      <c r="J15" s="20"/>
      <c r="K15" s="22" t="s">
        <v>38</v>
      </c>
      <c r="L15" s="128">
        <f>SUBTOTAL(109,Tabla13415305070759095[Contribución])</f>
        <v>1.0835914683926817</v>
      </c>
      <c r="M15" s="28"/>
      <c r="N15" s="28"/>
      <c r="O15" s="28"/>
      <c r="P15" s="28"/>
      <c r="XEV15" s="18" t="s">
        <v>298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36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1.4444444444444444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4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303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300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38000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SUM(D6:D27,D29:D35)*$I$27</f>
        <v>916.3545191925366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301</v>
      </c>
      <c r="I31" s="18">
        <v>170</v>
      </c>
      <c r="M31" s="18"/>
      <c r="N31" s="18"/>
    </row>
    <row r="32" spans="1:20" x14ac:dyDescent="0.25">
      <c r="A32" s="39" t="s">
        <v>60</v>
      </c>
      <c r="B32" s="139"/>
      <c r="C32" s="24"/>
      <c r="D32" s="74">
        <f>ROUNDUP(D34/$I$28,0)/$I$29*$I$30</f>
        <v>1443.75</v>
      </c>
      <c r="E32" s="39">
        <v>100</v>
      </c>
      <c r="F32" s="39" t="s">
        <v>61</v>
      </c>
      <c r="H32" s="18" t="s">
        <v>302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301</v>
      </c>
      <c r="B33" s="139"/>
      <c r="C33" s="24"/>
      <c r="D33" s="74">
        <f>ROUNDUP(D34/$I$28/$I$32,0)*$I$31</f>
        <v>340</v>
      </c>
      <c r="E33" s="39"/>
      <c r="F33" s="39"/>
      <c r="H33" s="120" t="s">
        <v>304</v>
      </c>
      <c r="I33" s="120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139"/>
      <c r="C34" s="24"/>
      <c r="D34" s="74">
        <f>ROUNDUP(B5/'Embalaje Familia B3'!$M$8,0)*$I$28</f>
        <v>2695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24"/>
      <c r="C35" s="24">
        <f>C5*Tabla61217325272779297[[#This Row],[Parametro]]</f>
        <v>33577.669439999998</v>
      </c>
      <c r="D35" s="74">
        <f>SUM(Tabla61217325272779297[[#This Row],[114-5725-000]:[ETIQUETA]])</f>
        <v>33577.669439999998</v>
      </c>
      <c r="E35" s="39">
        <v>2.25414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53579.032479253648</v>
      </c>
      <c r="C36" s="81">
        <f t="shared" ref="C36:D36" si="0">SUM(C7:C35)</f>
        <v>33577.669439999998</v>
      </c>
      <c r="D36" s="136">
        <f t="shared" si="0"/>
        <v>92551.80643844619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39" t="s">
        <v>65</v>
      </c>
      <c r="B37" s="130">
        <v>0.5</v>
      </c>
      <c r="C37" s="130">
        <v>0.5</v>
      </c>
      <c r="D37" s="130">
        <v>0.5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80368.548718880469</v>
      </c>
      <c r="C39" s="24">
        <f t="shared" ref="C39:D39" si="1">C36*(1+C37)</f>
        <v>50366.504159999997</v>
      </c>
      <c r="D39" s="74">
        <f t="shared" si="1"/>
        <v>138827.7096576693</v>
      </c>
      <c r="E39" s="39"/>
      <c r="F39" s="39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89298.38746542274</v>
      </c>
      <c r="C40" s="81">
        <f t="shared" ref="C40:D40" si="2">C39/0.9</f>
        <v>55962.782399999996</v>
      </c>
      <c r="D40" s="81">
        <f t="shared" si="2"/>
        <v>154253.01073074367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5.9947897063253723</v>
      </c>
      <c r="C41" s="24">
        <f t="shared" ref="C41:D41" si="3">+C40/C5</f>
        <v>3.7568999999999999</v>
      </c>
      <c r="D41" s="74">
        <f t="shared" si="3"/>
        <v>10.355331010388269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0.33509165490918791</v>
      </c>
      <c r="C43" s="32">
        <f t="shared" ref="C43:D43" si="4">+C41/C42</f>
        <v>0.21</v>
      </c>
      <c r="D43" s="79">
        <f t="shared" si="4"/>
        <v>0.57883348297307258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335.09165490918792</v>
      </c>
      <c r="C44" s="83">
        <f t="shared" ref="C44:D44" si="5">+C43*1000</f>
        <v>210</v>
      </c>
      <c r="D44" s="84">
        <f t="shared" si="5"/>
        <v>578.83348297307259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/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6">+B44-B45</f>
        <v>335.09165490918792</v>
      </c>
      <c r="C46" s="33"/>
      <c r="D46" s="132"/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89298.38746542274</v>
      </c>
      <c r="C47" s="48">
        <f t="shared" ref="C47:D47" si="7">+C41*C5</f>
        <v>55962.782399999996</v>
      </c>
      <c r="D47" s="133">
        <f t="shared" si="7"/>
        <v>154253.01073074367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53579.032479253648</v>
      </c>
      <c r="C48" s="48">
        <f t="shared" ref="C48:D48" si="8">C36</f>
        <v>33577.669439999998</v>
      </c>
      <c r="D48" s="133">
        <f t="shared" si="8"/>
        <v>92551.80643844619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35719.354986169092</v>
      </c>
      <c r="C49" s="49">
        <f t="shared" ref="C49:D49" si="9">+C47-C36</f>
        <v>22385.112959999999</v>
      </c>
      <c r="D49" s="134">
        <f t="shared" si="9"/>
        <v>61701.20429229748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10">+B49/B47</f>
        <v>0.39999999999999997</v>
      </c>
      <c r="C50" s="50">
        <f t="shared" si="10"/>
        <v>0.4</v>
      </c>
      <c r="D50" s="135">
        <f t="shared" si="10"/>
        <v>0.40000000000000008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11">B48/B47</f>
        <v>0.60000000000000009</v>
      </c>
      <c r="C51" s="50">
        <f t="shared" si="11"/>
        <v>0.6</v>
      </c>
      <c r="D51" s="135">
        <f t="shared" si="11"/>
        <v>0.6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1785</v>
      </c>
      <c r="C54" s="34"/>
      <c r="D54" s="20"/>
      <c r="E54" s="20"/>
      <c r="F54" s="18"/>
      <c r="I54" s="28"/>
      <c r="J54" s="28"/>
      <c r="K54" s="28"/>
      <c r="L54" s="28"/>
      <c r="M54" s="18"/>
      <c r="N54" s="18"/>
    </row>
    <row r="55" spans="1:20" x14ac:dyDescent="0.25">
      <c r="A55" s="70" t="s">
        <v>151</v>
      </c>
      <c r="B55" s="34">
        <f>B54/1000</f>
        <v>1.7849999999999999</v>
      </c>
      <c r="C55" s="18"/>
      <c r="D55" s="18"/>
      <c r="E55" s="18"/>
      <c r="F55" s="18"/>
      <c r="I55" s="28"/>
      <c r="J55" s="28"/>
      <c r="K55" s="28"/>
      <c r="L55" s="28"/>
      <c r="M55" s="18"/>
      <c r="N55" s="18"/>
    </row>
    <row r="56" spans="1:20" x14ac:dyDescent="0.25">
      <c r="A56" s="70" t="s">
        <v>82</v>
      </c>
      <c r="B56" s="53">
        <f>ROUNDUP(B5*$I$17,0)</f>
        <v>21517</v>
      </c>
      <c r="C56" s="18"/>
      <c r="D56" s="18"/>
      <c r="E56" s="18"/>
      <c r="F56" s="18"/>
      <c r="I56" s="28"/>
      <c r="J56" s="28"/>
      <c r="K56" s="28"/>
      <c r="L56" s="28"/>
      <c r="M56" s="18"/>
      <c r="N56" s="18"/>
    </row>
    <row r="57" spans="1:20" ht="14.4" customHeight="1" x14ac:dyDescent="0.25">
      <c r="A57" s="70" t="s">
        <v>83</v>
      </c>
      <c r="B57" s="53">
        <f>ROUNDUP(B5/$I$23,0)*$I$22</f>
        <v>300</v>
      </c>
      <c r="C57" s="18"/>
      <c r="D57" s="18"/>
      <c r="E57" s="18"/>
      <c r="F57" s="18"/>
      <c r="I57" s="28"/>
      <c r="J57" s="28"/>
      <c r="K57" s="28"/>
      <c r="L57" s="28"/>
      <c r="M57" s="18"/>
      <c r="N57" s="18"/>
    </row>
    <row r="58" spans="1:20" x14ac:dyDescent="0.25">
      <c r="A58" s="70" t="s">
        <v>84</v>
      </c>
      <c r="B58" s="53">
        <f>SUM(B56:B57)</f>
        <v>21817</v>
      </c>
      <c r="C58" s="18"/>
      <c r="D58" s="18"/>
      <c r="E58" s="18"/>
      <c r="F58" s="18"/>
      <c r="I58" s="28"/>
      <c r="J58" s="28"/>
      <c r="K58" s="28"/>
      <c r="L58" s="28"/>
      <c r="M58" s="18"/>
      <c r="N58" s="18"/>
    </row>
    <row r="59" spans="1:20" x14ac:dyDescent="0.3">
      <c r="A59" s="70" t="s">
        <v>85</v>
      </c>
      <c r="B59" s="34">
        <f>+B55*B58</f>
        <v>38943.345000000001</v>
      </c>
      <c r="C59" s="39"/>
      <c r="D59" s="18"/>
      <c r="E59" s="18"/>
      <c r="F59" s="18"/>
      <c r="I59" s="10"/>
      <c r="J59" s="10"/>
      <c r="M59" s="18"/>
      <c r="N59" s="18"/>
    </row>
    <row r="60" spans="1:20" x14ac:dyDescent="0.3">
      <c r="A60" s="70" t="s">
        <v>154</v>
      </c>
      <c r="B60" s="54">
        <f>B57/B56</f>
        <v>1.3942464098154948E-2</v>
      </c>
      <c r="C60" s="53"/>
      <c r="D60" s="39"/>
      <c r="E60" s="18"/>
      <c r="F60" s="18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8929.8387465422711</v>
      </c>
      <c r="C62" s="35">
        <f t="shared" ref="C62:D62" si="12">C40-C39</f>
        <v>5596.2782399999996</v>
      </c>
      <c r="D62" s="35">
        <f t="shared" si="12"/>
        <v>15425.30107307437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62508.87122579592</v>
      </c>
      <c r="C63" s="35">
        <f t="shared" ref="C63:D63" si="13">C36+C62</f>
        <v>39173.947679999997</v>
      </c>
      <c r="D63" s="35">
        <f t="shared" si="13"/>
        <v>107977.10751152056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89298.38746542274</v>
      </c>
      <c r="C64" s="35">
        <f t="shared" ref="C64:D64" si="14">C40</f>
        <v>55962.782399999996</v>
      </c>
      <c r="D64" s="35">
        <f t="shared" si="14"/>
        <v>154253.01073074367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71">
        <f t="shared" ref="C65:D65" si="15">(C64-C63)/C64</f>
        <v>0.3</v>
      </c>
      <c r="D65" s="71">
        <f t="shared" si="15"/>
        <v>0.30000000000000004</v>
      </c>
      <c r="F65" s="18"/>
    </row>
  </sheetData>
  <mergeCells count="1">
    <mergeCell ref="F1:H3"/>
  </mergeCells>
  <dataValidations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3">
    <tabColor theme="5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J4" s="183" t="s">
        <v>92</v>
      </c>
      <c r="K4" s="183"/>
      <c r="L4" s="183"/>
      <c r="M4" s="183"/>
      <c r="N4" s="183"/>
      <c r="O4" s="183"/>
      <c r="P4" s="183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6" t="s">
        <v>305</v>
      </c>
      <c r="J5" s="3">
        <v>870</v>
      </c>
      <c r="K5" s="3" t="s">
        <v>95</v>
      </c>
      <c r="L5" s="2">
        <v>570</v>
      </c>
      <c r="M5" s="2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6"/>
      <c r="J6" s="2">
        <f>J5/$D$2</f>
        <v>3.8057742782152233</v>
      </c>
      <c r="K6" s="3" t="s">
        <v>95</v>
      </c>
      <c r="L6" s="2">
        <f>L5/$D$3</f>
        <v>3.7401574803149606</v>
      </c>
      <c r="M6" s="2">
        <f>J6*L6</f>
        <v>14.234195135056938</v>
      </c>
      <c r="N6" s="1" t="s">
        <v>96</v>
      </c>
      <c r="R6" s="2">
        <f>R5/$D$2</f>
        <v>1.9028871391076116</v>
      </c>
      <c r="S6" s="3" t="s">
        <v>95</v>
      </c>
      <c r="T6" s="2">
        <f>T5/$D$3</f>
        <v>3.7401574803149606</v>
      </c>
      <c r="U6" s="2">
        <f>R6*T6</f>
        <v>7.1170975675284689</v>
      </c>
      <c r="V6" s="1" t="s">
        <v>96</v>
      </c>
    </row>
    <row r="7" spans="4:24" x14ac:dyDescent="0.25">
      <c r="I7" s="186"/>
      <c r="J7" s="2">
        <f>ROUNDDOWN(J6,0)</f>
        <v>3</v>
      </c>
      <c r="K7" s="3" t="s">
        <v>95</v>
      </c>
      <c r="L7" s="2">
        <f>ROUNDDOWN(L6,0)</f>
        <v>3</v>
      </c>
      <c r="M7" s="2">
        <f>J7*L7</f>
        <v>9</v>
      </c>
      <c r="N7" s="1" t="s">
        <v>97</v>
      </c>
      <c r="O7" s="5">
        <f>M7/M6</f>
        <v>0.63228021778584387</v>
      </c>
      <c r="P7" s="1" t="s">
        <v>98</v>
      </c>
      <c r="R7" s="2">
        <f>ROUNDDOWN(R6,0)</f>
        <v>1</v>
      </c>
      <c r="S7" s="3" t="s">
        <v>95</v>
      </c>
      <c r="T7" s="2">
        <f>ROUNDDOWN(T6,0)</f>
        <v>3</v>
      </c>
      <c r="U7" s="2">
        <f>R7*T7</f>
        <v>3</v>
      </c>
      <c r="V7" s="1" t="s">
        <v>97</v>
      </c>
      <c r="W7" s="5">
        <f>U7/U6</f>
        <v>0.42152014519056258</v>
      </c>
      <c r="X7" s="1" t="s">
        <v>98</v>
      </c>
    </row>
    <row r="8" spans="4:24" x14ac:dyDescent="0.25">
      <c r="I8" s="186"/>
      <c r="J8" s="2"/>
      <c r="K8" s="2"/>
      <c r="L8" s="2"/>
      <c r="R8" s="2"/>
      <c r="S8" s="2"/>
      <c r="T8" s="2"/>
    </row>
    <row r="9" spans="4:24" x14ac:dyDescent="0.25">
      <c r="I9" s="186"/>
      <c r="J9" s="2">
        <f>J5/$D$3</f>
        <v>5.7086614173228343</v>
      </c>
      <c r="K9" s="3" t="s">
        <v>95</v>
      </c>
      <c r="L9" s="2">
        <f>L5/$D$2</f>
        <v>2.4934383202099739</v>
      </c>
      <c r="M9" s="2">
        <f>J9*L9</f>
        <v>14.234195135056936</v>
      </c>
      <c r="N9" s="1" t="s">
        <v>96</v>
      </c>
      <c r="R9" s="2">
        <f>R5/$D$3</f>
        <v>2.8543307086614171</v>
      </c>
      <c r="S9" s="3" t="s">
        <v>95</v>
      </c>
      <c r="T9" s="2">
        <f>T5/$D$2</f>
        <v>2.4934383202099739</v>
      </c>
      <c r="U9" s="2">
        <f>R9*T9</f>
        <v>7.117097567528468</v>
      </c>
      <c r="V9" s="1" t="s">
        <v>96</v>
      </c>
    </row>
    <row r="10" spans="4:24" x14ac:dyDescent="0.25">
      <c r="I10" s="186"/>
      <c r="J10" s="2">
        <f>ROUNDDOWN(J9,0)</f>
        <v>5</v>
      </c>
      <c r="K10" s="3" t="s">
        <v>95</v>
      </c>
      <c r="L10" s="2">
        <f>ROUNDDOWN(L9,0)</f>
        <v>2</v>
      </c>
      <c r="M10" s="2">
        <f>J10*L10</f>
        <v>10</v>
      </c>
      <c r="N10" s="1" t="s">
        <v>97</v>
      </c>
      <c r="O10" s="5">
        <f>M10/M9</f>
        <v>0.70253357531760441</v>
      </c>
      <c r="P10" s="1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0.56202686025408355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685.8</v>
      </c>
      <c r="L12" s="1">
        <f>L7*D3</f>
        <v>457.20000000000005</v>
      </c>
      <c r="O12" s="7">
        <f>J5*L5</f>
        <v>495900</v>
      </c>
      <c r="P12" s="1" t="s">
        <v>99</v>
      </c>
      <c r="R12" s="6">
        <f>$D$3*1</f>
        <v>152.4</v>
      </c>
      <c r="T12" s="6">
        <f>$D$2*1</f>
        <v>228.6</v>
      </c>
    </row>
    <row r="13" spans="4:24" x14ac:dyDescent="0.25">
      <c r="O13" s="7">
        <f>(J16*L5)+(L16*J5)</f>
        <v>180030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</f>
        <v>184.20000000000005</v>
      </c>
      <c r="L14" s="6">
        <f>L5-L12</f>
        <v>112.79999999999995</v>
      </c>
      <c r="O14" s="62">
        <f>O13/O12</f>
        <v>0.36303690260133092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0.63696309739866908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174.20000000000005</v>
      </c>
      <c r="L16" s="1">
        <f>L14-L15</f>
        <v>92.799999999999955</v>
      </c>
      <c r="O16" s="7"/>
      <c r="R16" s="6"/>
      <c r="T16" s="6"/>
    </row>
    <row r="17" spans="10:20" x14ac:dyDescent="0.25">
      <c r="J17" s="6"/>
      <c r="L17" s="6"/>
      <c r="R17" s="6">
        <f>$D$3*2</f>
        <v>304.8</v>
      </c>
      <c r="T17" s="6">
        <f>$D$2*2</f>
        <v>457.2</v>
      </c>
    </row>
    <row r="18" spans="10:20" x14ac:dyDescent="0.25">
      <c r="R18" s="6">
        <f>$D$3*3</f>
        <v>457.20000000000005</v>
      </c>
      <c r="T18" s="6">
        <f>$D$2*3</f>
        <v>685.8</v>
      </c>
    </row>
    <row r="19" spans="10:20" x14ac:dyDescent="0.25">
      <c r="R19" s="6">
        <f>$D$3*4</f>
        <v>609.6</v>
      </c>
      <c r="T19" s="6">
        <f>$D$2*4</f>
        <v>914.4</v>
      </c>
    </row>
    <row r="20" spans="10:20" x14ac:dyDescent="0.25">
      <c r="R20" s="6">
        <f>R5-R19</f>
        <v>-174.60000000000002</v>
      </c>
      <c r="T20" s="6">
        <f>T5-T19</f>
        <v>-344.4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6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90"/>
      <c r="J57" s="184" t="s">
        <v>92</v>
      </c>
      <c r="K57" s="184"/>
      <c r="L57" s="184"/>
      <c r="M57" s="184"/>
      <c r="N57" s="184"/>
      <c r="O57" s="184"/>
      <c r="P57" s="184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5" t="s">
        <v>94</v>
      </c>
      <c r="J58" s="123">
        <v>950</v>
      </c>
      <c r="K58" s="123" t="s">
        <v>95</v>
      </c>
      <c r="L58" s="124">
        <v>700</v>
      </c>
      <c r="M58" s="124"/>
      <c r="N58" s="90"/>
      <c r="O58" s="90"/>
      <c r="P58" s="90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124">
        <f>J58/$D$2</f>
        <v>4.1557305336832897</v>
      </c>
      <c r="K59" s="123" t="s">
        <v>95</v>
      </c>
      <c r="L59" s="124">
        <f>L58/$D$3</f>
        <v>4.5931758530183728</v>
      </c>
      <c r="M59" s="124">
        <f>J59*L59</f>
        <v>19.088001138965243</v>
      </c>
      <c r="N59" s="90" t="s">
        <v>96</v>
      </c>
      <c r="O59" s="90"/>
      <c r="P59" s="90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124">
        <f>ROUNDDOWN(J59,0)</f>
        <v>4</v>
      </c>
      <c r="K60" s="123" t="s">
        <v>95</v>
      </c>
      <c r="L60" s="124">
        <f>ROUNDDOWN(L59,0)</f>
        <v>4</v>
      </c>
      <c r="M60" s="124">
        <f>J60*L60</f>
        <v>16</v>
      </c>
      <c r="N60" s="90" t="s">
        <v>97</v>
      </c>
      <c r="O60" s="137">
        <f>M60/M59</f>
        <v>0.83822291729323295</v>
      </c>
      <c r="P60" s="90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124"/>
      <c r="K61" s="124"/>
      <c r="L61" s="124"/>
      <c r="M61" s="90"/>
      <c r="N61" s="90"/>
      <c r="O61" s="90"/>
      <c r="P61" s="90"/>
      <c r="R61" s="2"/>
      <c r="S61" s="2"/>
      <c r="T61" s="2"/>
      <c r="Z61" s="2"/>
      <c r="AA61" s="2"/>
      <c r="AB61" s="2"/>
    </row>
    <row r="62" spans="9:32" x14ac:dyDescent="0.25">
      <c r="I62" s="185"/>
      <c r="J62" s="124">
        <f>J58/$D$3</f>
        <v>6.2335958005249346</v>
      </c>
      <c r="K62" s="123" t="s">
        <v>95</v>
      </c>
      <c r="L62" s="124">
        <f>L58/$D$2</f>
        <v>3.0621172353455819</v>
      </c>
      <c r="M62" s="124">
        <f>J62*L62</f>
        <v>19.088001138965243</v>
      </c>
      <c r="N62" s="90" t="s">
        <v>96</v>
      </c>
      <c r="O62" s="90"/>
      <c r="P62" s="90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124">
        <f>ROUNDDOWN(J62,0)</f>
        <v>6</v>
      </c>
      <c r="K63" s="123" t="s">
        <v>95</v>
      </c>
      <c r="L63" s="124">
        <f>ROUNDDOWN(L62,0)</f>
        <v>3</v>
      </c>
      <c r="M63" s="124">
        <f>J63*L63</f>
        <v>18</v>
      </c>
      <c r="N63" s="90" t="s">
        <v>97</v>
      </c>
      <c r="O63" s="137">
        <f>M63/M62</f>
        <v>0.94300078195488712</v>
      </c>
      <c r="P63" s="90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90"/>
      <c r="J64" s="90"/>
      <c r="K64" s="90"/>
      <c r="L64" s="90"/>
      <c r="M64" s="90"/>
      <c r="N64" s="90"/>
      <c r="O64" s="90"/>
      <c r="P64" s="90"/>
    </row>
    <row r="65" spans="9:31" x14ac:dyDescent="0.25">
      <c r="I65" s="90"/>
      <c r="J65" s="90"/>
      <c r="K65" s="90"/>
      <c r="L65" s="90"/>
      <c r="M65" s="90"/>
      <c r="N65" s="90"/>
      <c r="O65" s="91">
        <f>J58*L58</f>
        <v>665000</v>
      </c>
      <c r="P65" s="90" t="s">
        <v>99</v>
      </c>
    </row>
    <row r="66" spans="9:31" x14ac:dyDescent="0.25">
      <c r="I66" s="90"/>
      <c r="J66" s="126"/>
      <c r="K66" s="90"/>
      <c r="L66" s="126"/>
      <c r="M66" s="90"/>
      <c r="N66" s="90"/>
      <c r="O66" s="91">
        <f>J68*L68</f>
        <v>557418.23999999999</v>
      </c>
      <c r="P66" s="90" t="s">
        <v>100</v>
      </c>
      <c r="R66" s="6"/>
      <c r="T66" s="6"/>
      <c r="Z66" s="6"/>
      <c r="AB66" s="6"/>
      <c r="AE66" s="7"/>
    </row>
    <row r="67" spans="9:31" x14ac:dyDescent="0.25">
      <c r="I67" s="90"/>
      <c r="J67" s="126"/>
      <c r="K67" s="90"/>
      <c r="L67" s="126"/>
      <c r="M67" s="90"/>
      <c r="N67" s="90"/>
      <c r="O67" s="138">
        <f>O66/O65</f>
        <v>0.83822291729323306</v>
      </c>
      <c r="P67" s="90" t="s">
        <v>101</v>
      </c>
      <c r="R67" s="6"/>
      <c r="T67" s="6"/>
      <c r="Z67" s="6"/>
      <c r="AB67" s="6"/>
      <c r="AE67" s="7"/>
    </row>
    <row r="68" spans="9:31" x14ac:dyDescent="0.25">
      <c r="I68" s="90"/>
      <c r="J68" s="126">
        <f>D2*J60</f>
        <v>914.4</v>
      </c>
      <c r="K68" s="90"/>
      <c r="L68" s="126">
        <f>D3*L60</f>
        <v>609.6</v>
      </c>
      <c r="M68" s="90"/>
      <c r="N68" s="90"/>
      <c r="O68" s="127">
        <f>100%-O67</f>
        <v>0.16177708270676694</v>
      </c>
      <c r="P68" s="90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90"/>
      <c r="J69" s="126"/>
      <c r="K69" s="90"/>
      <c r="L69" s="126"/>
      <c r="M69" s="90"/>
      <c r="N69" s="90"/>
      <c r="O69" s="90"/>
      <c r="P69" s="90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90"/>
      <c r="J70" s="126"/>
      <c r="K70" s="90"/>
      <c r="L70" s="126"/>
      <c r="M70" s="90"/>
      <c r="N70" s="90"/>
      <c r="O70" s="90"/>
      <c r="P70" s="90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90"/>
      <c r="J71" s="126"/>
      <c r="K71" s="90"/>
      <c r="L71" s="126"/>
      <c r="M71" s="90"/>
      <c r="N71" s="90"/>
      <c r="O71" s="90"/>
      <c r="P71" s="90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90"/>
      <c r="J72" s="126"/>
      <c r="K72" s="90"/>
      <c r="L72" s="126"/>
      <c r="M72" s="90"/>
      <c r="N72" s="90"/>
      <c r="O72" s="90"/>
      <c r="P72" s="90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4">
    <tabColor theme="5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1.9444444444444444</v>
      </c>
      <c r="D2" s="100">
        <f t="shared" ref="D2" si="0">D$4/$B$3</f>
        <v>1.2777777777777779</v>
      </c>
      <c r="E2" s="11">
        <f>E$4/$B$3</f>
        <v>1.1111111111111112</v>
      </c>
      <c r="H2" s="12">
        <f>H$4/$B$3</f>
        <v>-5.5555555555555504E-2</v>
      </c>
      <c r="I2" s="11">
        <f>I$4/$B$3</f>
        <v>1.2777777777777779</v>
      </c>
      <c r="J2" s="11">
        <f>J$4/$B$3</f>
        <v>0.44444444444444442</v>
      </c>
    </row>
    <row r="3" spans="2:13" x14ac:dyDescent="0.3">
      <c r="B3" s="13">
        <f>'Acomodo Familia B3'!F2</f>
        <v>228.6</v>
      </c>
      <c r="C3" s="10" t="s">
        <v>106</v>
      </c>
      <c r="D3" s="10" t="s">
        <v>107</v>
      </c>
      <c r="E3" s="10" t="s">
        <v>108</v>
      </c>
      <c r="G3" s="13">
        <f>B3</f>
        <v>228.6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-12.699999999999989</v>
      </c>
      <c r="I4" s="14">
        <v>292.10000000000002</v>
      </c>
      <c r="J4" s="14">
        <f>254-B5</f>
        <v>101.6</v>
      </c>
    </row>
    <row r="5" spans="2:13" x14ac:dyDescent="0.3">
      <c r="B5" s="13">
        <f>'Acomodo Familia B3'!F3</f>
        <v>152.4</v>
      </c>
      <c r="C5" s="10" t="s">
        <v>106</v>
      </c>
      <c r="D5" s="10" t="s">
        <v>107</v>
      </c>
      <c r="E5" s="10" t="s">
        <v>108</v>
      </c>
      <c r="G5" s="13">
        <f>B5</f>
        <v>152.4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2.9166666666666665</v>
      </c>
      <c r="D6" s="11">
        <f>D$4/$B$5</f>
        <v>1.9166666666666667</v>
      </c>
      <c r="E6" s="12">
        <f>E$4/$B$5</f>
        <v>1.6666666666666665</v>
      </c>
      <c r="H6" s="11">
        <f>H$4/$B$5</f>
        <v>-8.3333333333333259E-2</v>
      </c>
      <c r="I6" s="11">
        <f>I$4/$B$5</f>
        <v>1.9166666666666667</v>
      </c>
      <c r="J6" s="12">
        <f>J$4/$B$5</f>
        <v>0.66666666666666663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ROUNDDOWN(E4*10/('002-2372-000'!I14/2),0)</f>
        <v>97</v>
      </c>
      <c r="F8" s="16">
        <f>PRODUCT(C8:E8)</f>
        <v>194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194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5">
    <tabColor theme="5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J4" s="183" t="s">
        <v>92</v>
      </c>
      <c r="K4" s="183"/>
      <c r="L4" s="183"/>
      <c r="M4" s="183"/>
      <c r="N4" s="183"/>
      <c r="O4" s="183"/>
      <c r="P4" s="183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6" t="s">
        <v>305</v>
      </c>
      <c r="J5" s="3">
        <v>870</v>
      </c>
      <c r="K5" s="3" t="s">
        <v>95</v>
      </c>
      <c r="L5" s="2">
        <v>570</v>
      </c>
      <c r="M5" s="2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6"/>
      <c r="J6" s="2">
        <f>J5/$D$2</f>
        <v>3.8057742782152233</v>
      </c>
      <c r="K6" s="3" t="s">
        <v>95</v>
      </c>
      <c r="L6" s="2">
        <f>L5/$D$3</f>
        <v>3.7401574803149606</v>
      </c>
      <c r="M6" s="2">
        <f>J6*L6</f>
        <v>14.234195135056938</v>
      </c>
      <c r="N6" s="1" t="s">
        <v>96</v>
      </c>
      <c r="R6" s="2">
        <f>R5/$D$2</f>
        <v>1.9028871391076116</v>
      </c>
      <c r="S6" s="3" t="s">
        <v>95</v>
      </c>
      <c r="T6" s="2">
        <f>T5/$D$3</f>
        <v>3.7401574803149606</v>
      </c>
      <c r="U6" s="2">
        <f>R6*T6</f>
        <v>7.1170975675284689</v>
      </c>
      <c r="V6" s="1" t="s">
        <v>96</v>
      </c>
    </row>
    <row r="7" spans="4:24" x14ac:dyDescent="0.25">
      <c r="I7" s="186"/>
      <c r="J7" s="2">
        <f>ROUNDDOWN(J6,0)</f>
        <v>3</v>
      </c>
      <c r="K7" s="3" t="s">
        <v>95</v>
      </c>
      <c r="L7" s="2">
        <f>ROUNDDOWN(L6,0)</f>
        <v>3</v>
      </c>
      <c r="M7" s="2">
        <f>J7*L7</f>
        <v>9</v>
      </c>
      <c r="N7" s="1" t="s">
        <v>97</v>
      </c>
      <c r="O7" s="5">
        <f>M7/M6</f>
        <v>0.63228021778584387</v>
      </c>
      <c r="P7" s="1" t="s">
        <v>98</v>
      </c>
      <c r="R7" s="2">
        <f>ROUNDDOWN(R6,0)</f>
        <v>1</v>
      </c>
      <c r="S7" s="3" t="s">
        <v>95</v>
      </c>
      <c r="T7" s="2">
        <f>ROUNDDOWN(T6,0)</f>
        <v>3</v>
      </c>
      <c r="U7" s="2">
        <f>R7*T7</f>
        <v>3</v>
      </c>
      <c r="V7" s="1" t="s">
        <v>97</v>
      </c>
      <c r="W7" s="5">
        <f>U7/U6</f>
        <v>0.42152014519056258</v>
      </c>
      <c r="X7" s="1" t="s">
        <v>98</v>
      </c>
    </row>
    <row r="8" spans="4:24" x14ac:dyDescent="0.25">
      <c r="I8" s="186"/>
      <c r="J8" s="2"/>
      <c r="K8" s="2"/>
      <c r="L8" s="2"/>
      <c r="R8" s="2"/>
      <c r="S8" s="2"/>
      <c r="T8" s="2"/>
    </row>
    <row r="9" spans="4:24" x14ac:dyDescent="0.25">
      <c r="I9" s="186"/>
      <c r="J9" s="2">
        <f>J5/$D$3</f>
        <v>5.7086614173228343</v>
      </c>
      <c r="K9" s="3" t="s">
        <v>95</v>
      </c>
      <c r="L9" s="2">
        <f>L5/$D$2</f>
        <v>2.4934383202099739</v>
      </c>
      <c r="M9" s="2">
        <f>J9*L9</f>
        <v>14.234195135056936</v>
      </c>
      <c r="N9" s="1" t="s">
        <v>96</v>
      </c>
      <c r="R9" s="2">
        <f>R5/$D$3</f>
        <v>2.8543307086614171</v>
      </c>
      <c r="S9" s="3" t="s">
        <v>95</v>
      </c>
      <c r="T9" s="2">
        <f>T5/$D$2</f>
        <v>2.4934383202099739</v>
      </c>
      <c r="U9" s="2">
        <f>R9*T9</f>
        <v>7.117097567528468</v>
      </c>
      <c r="V9" s="1" t="s">
        <v>96</v>
      </c>
    </row>
    <row r="10" spans="4:24" x14ac:dyDescent="0.25">
      <c r="I10" s="186"/>
      <c r="J10" s="2">
        <f>ROUNDDOWN(J9,0)</f>
        <v>5</v>
      </c>
      <c r="K10" s="3" t="s">
        <v>95</v>
      </c>
      <c r="L10" s="2">
        <f>ROUNDDOWN(L9,0)</f>
        <v>2</v>
      </c>
      <c r="M10" s="2">
        <f>J10*L10</f>
        <v>10</v>
      </c>
      <c r="N10" s="1" t="s">
        <v>97</v>
      </c>
      <c r="O10" s="5">
        <f>M10/M9</f>
        <v>0.70253357531760441</v>
      </c>
      <c r="P10" s="1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0.56202686025408355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685.8</v>
      </c>
      <c r="L12" s="1">
        <f>L7*D3</f>
        <v>457.20000000000005</v>
      </c>
      <c r="O12" s="7">
        <f>J5*L5</f>
        <v>495900</v>
      </c>
      <c r="P12" s="1" t="s">
        <v>99</v>
      </c>
      <c r="R12" s="6">
        <f>$D$3*1</f>
        <v>152.4</v>
      </c>
      <c r="T12" s="6">
        <f>$D$2*1</f>
        <v>228.6</v>
      </c>
    </row>
    <row r="13" spans="4:24" x14ac:dyDescent="0.25">
      <c r="O13" s="7">
        <f>(J16*L5)+(L16*J5)</f>
        <v>180030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</f>
        <v>184.20000000000005</v>
      </c>
      <c r="L14" s="6">
        <f>L5-L12</f>
        <v>112.79999999999995</v>
      </c>
      <c r="O14" s="62">
        <f>O13/O12</f>
        <v>0.36303690260133092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0.63696309739866908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174.20000000000005</v>
      </c>
      <c r="L16" s="1">
        <f>L14-L15</f>
        <v>92.799999999999955</v>
      </c>
      <c r="O16" s="7"/>
      <c r="R16" s="6"/>
      <c r="T16" s="6"/>
    </row>
    <row r="17" spans="10:20" x14ac:dyDescent="0.25">
      <c r="J17" s="6"/>
      <c r="L17" s="6"/>
      <c r="R17" s="6">
        <f>$D$3*2</f>
        <v>304.8</v>
      </c>
      <c r="T17" s="6">
        <f>$D$2*2</f>
        <v>457.2</v>
      </c>
    </row>
    <row r="18" spans="10:20" x14ac:dyDescent="0.25">
      <c r="R18" s="6">
        <f>$D$3*3</f>
        <v>457.20000000000005</v>
      </c>
      <c r="T18" s="6">
        <f>$D$2*3</f>
        <v>685.8</v>
      </c>
    </row>
    <row r="19" spans="10:20" x14ac:dyDescent="0.25">
      <c r="R19" s="6">
        <f>$D$3*4</f>
        <v>609.6</v>
      </c>
      <c r="T19" s="6">
        <f>$D$2*4</f>
        <v>914.4</v>
      </c>
    </row>
    <row r="20" spans="10:20" x14ac:dyDescent="0.25">
      <c r="R20" s="6">
        <f>R5-R19</f>
        <v>-174.60000000000002</v>
      </c>
      <c r="T20" s="6">
        <f>T5-T19</f>
        <v>-344.4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6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90"/>
      <c r="J57" s="184" t="s">
        <v>92</v>
      </c>
      <c r="K57" s="184"/>
      <c r="L57" s="184"/>
      <c r="M57" s="184"/>
      <c r="N57" s="184"/>
      <c r="O57" s="184"/>
      <c r="P57" s="184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5" t="s">
        <v>94</v>
      </c>
      <c r="J58" s="123">
        <v>950</v>
      </c>
      <c r="K58" s="123" t="s">
        <v>95</v>
      </c>
      <c r="L58" s="124">
        <v>700</v>
      </c>
      <c r="M58" s="124"/>
      <c r="N58" s="90"/>
      <c r="O58" s="90"/>
      <c r="P58" s="90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124">
        <f>J58/$D$2</f>
        <v>4.1557305336832897</v>
      </c>
      <c r="K59" s="123" t="s">
        <v>95</v>
      </c>
      <c r="L59" s="124">
        <f>L58/$D$3</f>
        <v>4.5931758530183728</v>
      </c>
      <c r="M59" s="124">
        <f>J59*L59</f>
        <v>19.088001138965243</v>
      </c>
      <c r="N59" s="90" t="s">
        <v>96</v>
      </c>
      <c r="O59" s="90"/>
      <c r="P59" s="90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124">
        <f>ROUNDDOWN(J59,0)</f>
        <v>4</v>
      </c>
      <c r="K60" s="123" t="s">
        <v>95</v>
      </c>
      <c r="L60" s="124">
        <f>ROUNDDOWN(L59,0)</f>
        <v>4</v>
      </c>
      <c r="M60" s="124">
        <f>J60*L60</f>
        <v>16</v>
      </c>
      <c r="N60" s="90" t="s">
        <v>97</v>
      </c>
      <c r="O60" s="137">
        <f>M60/M59</f>
        <v>0.83822291729323295</v>
      </c>
      <c r="P60" s="90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124"/>
      <c r="K61" s="124"/>
      <c r="L61" s="124"/>
      <c r="M61" s="90"/>
      <c r="N61" s="90"/>
      <c r="O61" s="90"/>
      <c r="P61" s="90"/>
      <c r="R61" s="2"/>
      <c r="S61" s="2"/>
      <c r="T61" s="2"/>
      <c r="Z61" s="2"/>
      <c r="AA61" s="2"/>
      <c r="AB61" s="2"/>
    </row>
    <row r="62" spans="9:32" x14ac:dyDescent="0.25">
      <c r="I62" s="185"/>
      <c r="J62" s="124">
        <f>J58/$D$3</f>
        <v>6.2335958005249346</v>
      </c>
      <c r="K62" s="123" t="s">
        <v>95</v>
      </c>
      <c r="L62" s="124">
        <f>L58/$D$2</f>
        <v>3.0621172353455819</v>
      </c>
      <c r="M62" s="124">
        <f>J62*L62</f>
        <v>19.088001138965243</v>
      </c>
      <c r="N62" s="90" t="s">
        <v>96</v>
      </c>
      <c r="O62" s="90"/>
      <c r="P62" s="90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124">
        <f>ROUNDDOWN(J62,0)</f>
        <v>6</v>
      </c>
      <c r="K63" s="123" t="s">
        <v>95</v>
      </c>
      <c r="L63" s="124">
        <f>ROUNDDOWN(L62,0)</f>
        <v>3</v>
      </c>
      <c r="M63" s="124">
        <f>J63*L63</f>
        <v>18</v>
      </c>
      <c r="N63" s="90" t="s">
        <v>97</v>
      </c>
      <c r="O63" s="137">
        <f>M63/M62</f>
        <v>0.94300078195488712</v>
      </c>
      <c r="P63" s="90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90"/>
      <c r="J64" s="90"/>
      <c r="K64" s="90"/>
      <c r="L64" s="90"/>
      <c r="M64" s="90"/>
      <c r="N64" s="90"/>
      <c r="O64" s="90"/>
      <c r="P64" s="90"/>
    </row>
    <row r="65" spans="9:31" x14ac:dyDescent="0.25">
      <c r="I65" s="90"/>
      <c r="J65" s="90"/>
      <c r="K65" s="90"/>
      <c r="L65" s="90"/>
      <c r="M65" s="90"/>
      <c r="N65" s="90"/>
      <c r="O65" s="91">
        <f>J58*L58</f>
        <v>665000</v>
      </c>
      <c r="P65" s="90" t="s">
        <v>99</v>
      </c>
    </row>
    <row r="66" spans="9:31" x14ac:dyDescent="0.25">
      <c r="I66" s="90"/>
      <c r="J66" s="126"/>
      <c r="K66" s="90"/>
      <c r="L66" s="126"/>
      <c r="M66" s="90"/>
      <c r="N66" s="90"/>
      <c r="O66" s="91">
        <f>J68*L68</f>
        <v>557418.23999999999</v>
      </c>
      <c r="P66" s="90" t="s">
        <v>100</v>
      </c>
      <c r="R66" s="6"/>
      <c r="T66" s="6"/>
      <c r="Z66" s="6"/>
      <c r="AB66" s="6"/>
      <c r="AE66" s="7"/>
    </row>
    <row r="67" spans="9:31" x14ac:dyDescent="0.25">
      <c r="I67" s="90"/>
      <c r="J67" s="126"/>
      <c r="K67" s="90"/>
      <c r="L67" s="126"/>
      <c r="M67" s="90"/>
      <c r="N67" s="90"/>
      <c r="O67" s="138">
        <f>O66/O65</f>
        <v>0.83822291729323306</v>
      </c>
      <c r="P67" s="90" t="s">
        <v>101</v>
      </c>
      <c r="R67" s="6"/>
      <c r="T67" s="6"/>
      <c r="Z67" s="6"/>
      <c r="AB67" s="6"/>
      <c r="AE67" s="7"/>
    </row>
    <row r="68" spans="9:31" x14ac:dyDescent="0.25">
      <c r="I68" s="90"/>
      <c r="J68" s="126">
        <f>D2*J60</f>
        <v>914.4</v>
      </c>
      <c r="K68" s="90"/>
      <c r="L68" s="126">
        <f>D3*L60</f>
        <v>609.6</v>
      </c>
      <c r="M68" s="90"/>
      <c r="N68" s="90"/>
      <c r="O68" s="127">
        <f>100%-O67</f>
        <v>0.16177708270676694</v>
      </c>
      <c r="P68" s="90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90"/>
      <c r="J69" s="126"/>
      <c r="K69" s="90"/>
      <c r="L69" s="126"/>
      <c r="M69" s="90"/>
      <c r="N69" s="90"/>
      <c r="O69" s="90"/>
      <c r="P69" s="90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90"/>
      <c r="J70" s="126"/>
      <c r="K70" s="90"/>
      <c r="L70" s="126"/>
      <c r="M70" s="90"/>
      <c r="N70" s="90"/>
      <c r="O70" s="90"/>
      <c r="P70" s="90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90"/>
      <c r="J71" s="126"/>
      <c r="K71" s="90"/>
      <c r="L71" s="126"/>
      <c r="M71" s="90"/>
      <c r="N71" s="90"/>
      <c r="O71" s="90"/>
      <c r="P71" s="90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90"/>
      <c r="J72" s="126"/>
      <c r="K72" s="90"/>
      <c r="L72" s="126"/>
      <c r="M72" s="90"/>
      <c r="N72" s="90"/>
      <c r="O72" s="90"/>
      <c r="P72" s="90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6">
    <tabColor theme="5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1.9444444444444444</v>
      </c>
      <c r="D2" s="100">
        <f t="shared" ref="D2" si="0">D$4/$B$3</f>
        <v>1.2777777777777779</v>
      </c>
      <c r="E2" s="11">
        <f>E$4/$B$3</f>
        <v>1.1111111111111112</v>
      </c>
      <c r="H2" s="12">
        <f>H$4/$B$3</f>
        <v>-5.5555555555555504E-2</v>
      </c>
      <c r="I2" s="11">
        <f>I$4/$B$3</f>
        <v>1.2777777777777779</v>
      </c>
      <c r="J2" s="11">
        <f>J$4/$B$3</f>
        <v>0.44444444444444442</v>
      </c>
    </row>
    <row r="3" spans="2:13" x14ac:dyDescent="0.3">
      <c r="B3" s="13">
        <f>'Acomodo Familia B3'!F2</f>
        <v>228.6</v>
      </c>
      <c r="C3" s="10" t="s">
        <v>106</v>
      </c>
      <c r="D3" s="10" t="s">
        <v>107</v>
      </c>
      <c r="E3" s="10" t="s">
        <v>108</v>
      </c>
      <c r="G3" s="13">
        <f>B3</f>
        <v>228.6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-12.699999999999989</v>
      </c>
      <c r="I4" s="14">
        <v>292.10000000000002</v>
      </c>
      <c r="J4" s="14">
        <f>254-B5</f>
        <v>101.6</v>
      </c>
    </row>
    <row r="5" spans="2:13" x14ac:dyDescent="0.3">
      <c r="B5" s="13">
        <f>'Acomodo Familia B3'!F3</f>
        <v>152.4</v>
      </c>
      <c r="C5" s="10" t="s">
        <v>106</v>
      </c>
      <c r="D5" s="10" t="s">
        <v>107</v>
      </c>
      <c r="E5" s="10" t="s">
        <v>108</v>
      </c>
      <c r="G5" s="13">
        <f>B5</f>
        <v>152.4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2.9166666666666665</v>
      </c>
      <c r="D6" s="11">
        <f>D$4/$B$5</f>
        <v>1.9166666666666667</v>
      </c>
      <c r="E6" s="12">
        <f>E$4/$B$5</f>
        <v>1.6666666666666665</v>
      </c>
      <c r="H6" s="11">
        <f>H$4/$B$5</f>
        <v>-8.3333333333333259E-2</v>
      </c>
      <c r="I6" s="11">
        <f>I$4/$B$5</f>
        <v>1.9166666666666667</v>
      </c>
      <c r="J6" s="12">
        <f>J$4/$B$5</f>
        <v>0.66666666666666663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 t="e">
        <f>ROUNDDOWN(E4*10/(#REF!/2),0)</f>
        <v>#REF!</v>
      </c>
      <c r="F8" s="16" t="e">
        <f>PRODUCT(C8:E8)</f>
        <v>#REF!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 t="e">
        <f>F8</f>
        <v>#REF!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7">
    <tabColor theme="5" tint="0.39997558519241921"/>
  </sheetPr>
  <dimension ref="A1:XEW65"/>
  <sheetViews>
    <sheetView workbookViewId="0">
      <selection sqref="A1:D3"/>
    </sheetView>
  </sheetViews>
  <sheetFormatPr baseColWidth="10" defaultColWidth="11.5546875" defaultRowHeight="13.8" x14ac:dyDescent="0.3"/>
  <cols>
    <col min="1" max="1" width="41.33203125" style="18" customWidth="1"/>
    <col min="2" max="2" width="16.6640625" style="120" customWidth="1"/>
    <col min="3" max="3" width="11.88671875" style="120" customWidth="1"/>
    <col min="4" max="4" width="73.5546875" style="120" customWidth="1"/>
    <col min="5" max="5" width="16.44140625" style="120" customWidth="1"/>
    <col min="6" max="6" width="27.88671875" style="120" bestFit="1" customWidth="1"/>
    <col min="7" max="7" width="14.21875" style="18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A1" s="189" t="s">
        <v>350</v>
      </c>
      <c r="B1" s="189"/>
      <c r="C1" s="189"/>
      <c r="D1" s="189"/>
      <c r="E1" s="19"/>
      <c r="F1" s="182" t="s">
        <v>321</v>
      </c>
      <c r="G1" s="182"/>
      <c r="H1" s="182"/>
    </row>
    <row r="2" spans="1:17 16374:16377" ht="20.399999999999999" customHeight="1" x14ac:dyDescent="0.3">
      <c r="A2" s="189"/>
      <c r="B2" s="189"/>
      <c r="C2" s="189"/>
      <c r="D2" s="189"/>
      <c r="E2" s="19"/>
      <c r="F2" s="182"/>
      <c r="G2" s="182"/>
      <c r="H2" s="182"/>
      <c r="I2" s="20"/>
      <c r="J2" s="20"/>
      <c r="K2" s="20"/>
      <c r="L2" s="20"/>
    </row>
    <row r="3" spans="1:17 16374:16377" x14ac:dyDescent="0.3">
      <c r="A3" s="189"/>
      <c r="B3" s="189"/>
      <c r="C3" s="189"/>
      <c r="D3" s="189"/>
      <c r="E3" s="19"/>
      <c r="F3" s="182"/>
      <c r="G3" s="182"/>
      <c r="H3" s="182"/>
    </row>
    <row r="4" spans="1:17 16374:16377" s="22" customFormat="1" x14ac:dyDescent="0.3">
      <c r="A4" s="38" t="s">
        <v>0</v>
      </c>
      <c r="B4" s="21" t="s">
        <v>224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64">
        <v>1136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74"/>
      <c r="C6" s="34"/>
      <c r="D6" s="39"/>
      <c r="E6" s="18"/>
      <c r="F6" s="18" t="s">
        <v>86</v>
      </c>
      <c r="G6" s="18">
        <v>1</v>
      </c>
      <c r="I6" s="39" t="s">
        <v>53</v>
      </c>
      <c r="J6" s="129" t="e">
        <f>#REF!/$B$36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74">
        <f>ROUNDUP(B58*$G$13/$G$26,0)*$G$19*($G$6+$G$7)*$G$18/2</f>
        <v>8800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1.0260276501334367E-2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74">
        <f>B59</f>
        <v>16741.724999999999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6</v>
      </c>
      <c r="J8" s="129">
        <f>$B$7/$B$36</f>
        <v>0.26556009768159539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74">
        <f>ROUNDUP(B58*$G$13/1000,0)*$G$6*$G$20+ROUNDUP(B58*$G$13/1000,0)*$G$7*$G$20</f>
        <v>3900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60</v>
      </c>
      <c r="J9" s="129">
        <f>$B$32/$B$36</f>
        <v>2.4896259157649567E-2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ht="15" customHeight="1" x14ac:dyDescent="0.3">
      <c r="A10" s="39" t="s">
        <v>14</v>
      </c>
      <c r="B10" s="74">
        <f>ROUNDUP(B58/1000,0)*$G$33</f>
        <v>390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14</v>
      </c>
      <c r="J10" s="129">
        <f>$B$10/$B$36</f>
        <v>1.1769140692707068E-2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ht="15" customHeight="1" x14ac:dyDescent="0.3">
      <c r="A11" s="39" t="s">
        <v>18</v>
      </c>
      <c r="B11" s="74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39" t="s">
        <v>62</v>
      </c>
      <c r="J11" s="129">
        <f>$B$34/$B$36</f>
        <v>4.6473017094279187E-2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ht="15" customHeight="1" x14ac:dyDescent="0.3">
      <c r="A12" s="39" t="s">
        <v>18</v>
      </c>
      <c r="B12" s="74"/>
      <c r="C12" s="34">
        <v>80</v>
      </c>
      <c r="D12" s="39" t="s">
        <v>21</v>
      </c>
      <c r="E12" s="18"/>
      <c r="F12" s="18" t="s">
        <v>148</v>
      </c>
      <c r="G12" s="69">
        <f>1.3*1000</f>
        <v>1300</v>
      </c>
      <c r="I12" s="42" t="s">
        <v>113</v>
      </c>
      <c r="J12" s="129">
        <f>$B$15/$B$36</f>
        <v>8.2290247601713006E-3</v>
      </c>
      <c r="K12" s="120"/>
      <c r="L12" s="120"/>
      <c r="M12" s="120"/>
      <c r="N12" s="120"/>
      <c r="XET12" s="18">
        <v>150</v>
      </c>
    </row>
    <row r="13" spans="1:17 16374:16377" ht="15" customHeight="1" x14ac:dyDescent="0.3">
      <c r="A13" s="39" t="s">
        <v>23</v>
      </c>
      <c r="B13" s="74"/>
      <c r="C13" s="34">
        <v>5</v>
      </c>
      <c r="D13" s="39" t="s">
        <v>24</v>
      </c>
      <c r="E13" s="18"/>
      <c r="F13" s="18" t="s">
        <v>125</v>
      </c>
      <c r="G13" s="18">
        <v>1</v>
      </c>
      <c r="I13" s="39" t="s">
        <v>11</v>
      </c>
      <c r="J13" s="129">
        <f>$B$9/$B$36</f>
        <v>0.11769140692707067</v>
      </c>
      <c r="K13" s="120"/>
      <c r="L13" s="120"/>
      <c r="M13" s="120"/>
      <c r="N13" s="120"/>
      <c r="XET13" s="18">
        <v>200</v>
      </c>
    </row>
    <row r="14" spans="1:17 16374:16377" ht="15" customHeight="1" x14ac:dyDescent="0.25">
      <c r="A14" s="39" t="s">
        <v>23</v>
      </c>
      <c r="B14" s="74"/>
      <c r="C14" s="34">
        <v>100</v>
      </c>
      <c r="D14" s="39" t="s">
        <v>26</v>
      </c>
      <c r="F14" s="18" t="s">
        <v>137</v>
      </c>
      <c r="G14" s="18">
        <v>376</v>
      </c>
      <c r="I14" s="39" t="s">
        <v>8</v>
      </c>
      <c r="J14" s="129">
        <f>$B$8/$B$36</f>
        <v>0.50521978708618265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74">
        <f>B5*$G$21</f>
        <v>272.68937811708821</v>
      </c>
      <c r="C15" s="34">
        <v>90</v>
      </c>
      <c r="D15" s="43" t="s">
        <v>28</v>
      </c>
      <c r="F15" s="18" t="s">
        <v>138</v>
      </c>
      <c r="G15" s="36">
        <f>'Acomodo Familia B5'!M63*2</f>
        <v>36</v>
      </c>
      <c r="H15" s="20"/>
      <c r="I15" s="22" t="s">
        <v>38</v>
      </c>
      <c r="J15" s="128" t="e">
        <f>SUBTOTAL(109,Tabla134153050707590175235[Contribución])</f>
        <v>#REF!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74"/>
      <c r="C16" s="41" t="s">
        <v>30</v>
      </c>
      <c r="D16" s="39" t="s">
        <v>31</v>
      </c>
      <c r="E16" s="18"/>
      <c r="F16" s="18" t="s">
        <v>139</v>
      </c>
      <c r="G16" s="66">
        <f>EVEN(G15/G13)</f>
        <v>36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74"/>
      <c r="C17" s="41">
        <v>800</v>
      </c>
      <c r="D17" s="39" t="s">
        <v>33</v>
      </c>
      <c r="E17" s="18"/>
      <c r="F17" s="18" t="s">
        <v>140</v>
      </c>
      <c r="G17" s="67">
        <f>G14/G16</f>
        <v>10.444444444444445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74"/>
      <c r="C18" s="34">
        <v>600</v>
      </c>
      <c r="D18" s="39" t="s">
        <v>35</v>
      </c>
      <c r="E18" s="18"/>
      <c r="F18" s="20" t="s">
        <v>17</v>
      </c>
      <c r="G18" s="68">
        <f>EVEN(G14/(G16/2))</f>
        <v>22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74" t="s">
        <v>349</v>
      </c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74"/>
      <c r="C20" s="34">
        <v>400</v>
      </c>
      <c r="D20" s="39" t="s">
        <v>35</v>
      </c>
      <c r="E20" s="18"/>
      <c r="F20" s="18" t="s">
        <v>149</v>
      </c>
      <c r="G20" s="156">
        <v>150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74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74"/>
      <c r="C22" s="34"/>
      <c r="D22" s="39" t="s">
        <v>41</v>
      </c>
      <c r="E22" s="18"/>
      <c r="F22" s="18" t="s">
        <v>152</v>
      </c>
      <c r="G22" s="18">
        <v>400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74"/>
      <c r="C23" s="34" t="s">
        <v>43</v>
      </c>
      <c r="D23" s="39" t="s">
        <v>44</v>
      </c>
      <c r="E23" s="18"/>
      <c r="F23" s="18" t="s">
        <v>153</v>
      </c>
      <c r="G23" s="158">
        <v>13000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74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74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74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74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74">
        <f>SUM(B6:B27,B29:B35)*$G$27</f>
        <v>328.09414378117089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74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74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74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74">
        <f>ROUNDUP(B34/$G$28,0)/$G$29*$G$30</f>
        <v>825.00000000000011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74">
        <f>ROUNDUP(B34/$G$28/$G$32,0)*$G$31</f>
        <v>340</v>
      </c>
      <c r="C33" s="39"/>
      <c r="D33" s="39"/>
      <c r="E33" s="18"/>
      <c r="F33" s="120" t="s">
        <v>304</v>
      </c>
      <c r="G33" s="157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74">
        <f>ROUNDUP(B5/'Embalaje Familia B5'!$M$8,0)*$G$28</f>
        <v>1540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74"/>
      <c r="C35" s="39">
        <v>0.12727272727272726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36">
        <f>SUM(B7:B35)</f>
        <v>33137.508521898257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39" t="s">
        <v>65</v>
      </c>
      <c r="B37" s="166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78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74">
        <f>B36*(1+B37)</f>
        <v>49706.262782847385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36">
        <f>B39/0.9</f>
        <v>55229.180869830423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74">
        <f>+B40/B5</f>
        <v>48.61723668118875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74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79">
        <f>+B41/B42</f>
        <v>2.7175649346667829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84">
        <f>+B43*1000</f>
        <v>2717.5649346667828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31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32">
        <f t="shared" ref="B46" si="0">+B44-B45</f>
        <v>2717.5649346667828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33">
        <f>+B41*B5</f>
        <v>55229.180869830423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33">
        <f>B36</f>
        <v>33137.508521898257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34">
        <f>+B47-B36</f>
        <v>22091.672347932166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35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35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1365</v>
      </c>
      <c r="C54" s="34"/>
      <c r="D54" s="20"/>
      <c r="E54" s="20"/>
      <c r="F54" s="18"/>
      <c r="I54" s="28"/>
      <c r="J54" s="28"/>
      <c r="K54" s="28"/>
      <c r="L54" s="28"/>
      <c r="M54" s="18"/>
      <c r="N54" s="18"/>
    </row>
    <row r="55" spans="1:18" x14ac:dyDescent="0.25">
      <c r="A55" s="70" t="s">
        <v>151</v>
      </c>
      <c r="B55" s="34">
        <f>B54/1000</f>
        <v>1.365</v>
      </c>
      <c r="C55" s="18"/>
      <c r="D55" s="18"/>
      <c r="E55" s="18"/>
      <c r="F55" s="18"/>
      <c r="I55" s="28"/>
      <c r="J55" s="28"/>
      <c r="K55" s="28"/>
      <c r="L55" s="28"/>
      <c r="M55" s="18"/>
      <c r="N55" s="18"/>
    </row>
    <row r="56" spans="1:18" x14ac:dyDescent="0.25">
      <c r="A56" s="70" t="s">
        <v>82</v>
      </c>
      <c r="B56" s="53">
        <f>ROUNDUP(B5*$G$17,0)</f>
        <v>11865</v>
      </c>
      <c r="C56" s="18"/>
      <c r="D56" s="18"/>
      <c r="E56" s="18"/>
      <c r="F56" s="18"/>
      <c r="I56" s="28"/>
      <c r="J56" s="28"/>
      <c r="K56" s="28"/>
      <c r="L56" s="28"/>
      <c r="M56" s="18"/>
      <c r="N56" s="18"/>
    </row>
    <row r="57" spans="1:18" ht="14.4" customHeight="1" x14ac:dyDescent="0.25">
      <c r="A57" s="70" t="s">
        <v>83</v>
      </c>
      <c r="B57" s="53">
        <f>ROUNDUP(B5/$G$23,0)*$G$22</f>
        <v>400</v>
      </c>
      <c r="C57" s="18"/>
      <c r="D57" s="18"/>
      <c r="E57" s="18"/>
      <c r="F57" s="18"/>
      <c r="I57" s="28"/>
      <c r="J57" s="28"/>
      <c r="K57" s="28"/>
      <c r="L57" s="28"/>
      <c r="M57" s="18"/>
      <c r="N57" s="18"/>
    </row>
    <row r="58" spans="1:18" x14ac:dyDescent="0.25">
      <c r="A58" s="70" t="s">
        <v>84</v>
      </c>
      <c r="B58" s="53">
        <f>SUM(B56:B57)</f>
        <v>12265</v>
      </c>
      <c r="C58" s="18"/>
      <c r="D58" s="18"/>
      <c r="E58" s="18"/>
      <c r="F58" s="18"/>
      <c r="I58" s="28"/>
      <c r="J58" s="28"/>
      <c r="K58" s="28"/>
      <c r="L58" s="28"/>
      <c r="M58" s="18"/>
      <c r="N58" s="18"/>
    </row>
    <row r="59" spans="1:18" x14ac:dyDescent="0.3">
      <c r="A59" s="70" t="s">
        <v>85</v>
      </c>
      <c r="B59" s="34">
        <f>+B55*B58</f>
        <v>16741.724999999999</v>
      </c>
      <c r="C59" s="39"/>
      <c r="D59" s="18"/>
      <c r="E59" s="18"/>
      <c r="F59" s="18"/>
      <c r="I59" s="10"/>
      <c r="J59" s="10"/>
      <c r="M59" s="18"/>
      <c r="N59" s="18"/>
    </row>
    <row r="60" spans="1:18" x14ac:dyDescent="0.3">
      <c r="A60" s="70" t="s">
        <v>154</v>
      </c>
      <c r="B60" s="54">
        <f>B57/B56</f>
        <v>3.3712600084281501E-2</v>
      </c>
      <c r="C60" s="53"/>
      <c r="D60" s="39"/>
      <c r="E60" s="18"/>
      <c r="F60" s="18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5522.9180869830379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38660.426608881295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55229.180869830423</v>
      </c>
      <c r="C64" s="18"/>
      <c r="D64" s="18"/>
      <c r="E64" s="18"/>
      <c r="F64" s="18"/>
      <c r="I64" s="10"/>
      <c r="J64" s="10"/>
      <c r="M64" s="18"/>
      <c r="N64" s="18"/>
    </row>
    <row r="65" spans="1:14" x14ac:dyDescent="0.3">
      <c r="A65" s="35" t="s">
        <v>75</v>
      </c>
      <c r="B65" s="71">
        <f>(B64-B63)/B64</f>
        <v>0.30000000000000004</v>
      </c>
      <c r="D65" s="18"/>
      <c r="E65" s="18"/>
      <c r="F65" s="18"/>
      <c r="K65" s="10"/>
      <c r="L65" s="10"/>
      <c r="M65" s="18"/>
      <c r="N65" s="18"/>
    </row>
  </sheetData>
  <mergeCells count="2">
    <mergeCell ref="F1:H3"/>
    <mergeCell ref="A1:D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8">
    <tabColor theme="5" tint="0.3999755851924192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J4" s="183" t="s">
        <v>92</v>
      </c>
      <c r="K4" s="183"/>
      <c r="L4" s="183"/>
      <c r="M4" s="183"/>
      <c r="N4" s="183"/>
      <c r="O4" s="183"/>
      <c r="P4" s="183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6" t="s">
        <v>305</v>
      </c>
      <c r="J5" s="3">
        <v>870</v>
      </c>
      <c r="K5" s="3" t="s">
        <v>95</v>
      </c>
      <c r="L5" s="2">
        <v>570</v>
      </c>
      <c r="M5" s="2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6"/>
      <c r="J6" s="2">
        <f>J5/$D$2</f>
        <v>3.8057742782152233</v>
      </c>
      <c r="K6" s="3" t="s">
        <v>95</v>
      </c>
      <c r="L6" s="2">
        <f>L5/$D$3</f>
        <v>3.7401574803149606</v>
      </c>
      <c r="M6" s="2">
        <f>J6*L6</f>
        <v>14.234195135056938</v>
      </c>
      <c r="N6" s="1" t="s">
        <v>96</v>
      </c>
      <c r="R6" s="2">
        <f>R5/$D$2</f>
        <v>1.9028871391076116</v>
      </c>
      <c r="S6" s="3" t="s">
        <v>95</v>
      </c>
      <c r="T6" s="2">
        <f>T5/$D$3</f>
        <v>3.7401574803149606</v>
      </c>
      <c r="U6" s="2">
        <f>R6*T6</f>
        <v>7.1170975675284689</v>
      </c>
      <c r="V6" s="1" t="s">
        <v>96</v>
      </c>
    </row>
    <row r="7" spans="4:24" x14ac:dyDescent="0.25">
      <c r="I7" s="186"/>
      <c r="J7" s="2">
        <f>ROUNDDOWN(J6,0)</f>
        <v>3</v>
      </c>
      <c r="K7" s="3" t="s">
        <v>95</v>
      </c>
      <c r="L7" s="2">
        <f>ROUNDDOWN(L6,0)</f>
        <v>3</v>
      </c>
      <c r="M7" s="2">
        <f>J7*L7</f>
        <v>9</v>
      </c>
      <c r="N7" s="1" t="s">
        <v>97</v>
      </c>
      <c r="O7" s="5">
        <f>M7/M6</f>
        <v>0.63228021778584387</v>
      </c>
      <c r="P7" s="1" t="s">
        <v>98</v>
      </c>
      <c r="R7" s="2">
        <f>ROUNDDOWN(R6,0)</f>
        <v>1</v>
      </c>
      <c r="S7" s="3" t="s">
        <v>95</v>
      </c>
      <c r="T7" s="2">
        <f>ROUNDDOWN(T6,0)</f>
        <v>3</v>
      </c>
      <c r="U7" s="2">
        <f>R7*T7</f>
        <v>3</v>
      </c>
      <c r="V7" s="1" t="s">
        <v>97</v>
      </c>
      <c r="W7" s="5">
        <f>U7/U6</f>
        <v>0.42152014519056258</v>
      </c>
      <c r="X7" s="1" t="s">
        <v>98</v>
      </c>
    </row>
    <row r="8" spans="4:24" x14ac:dyDescent="0.25">
      <c r="I8" s="186"/>
      <c r="J8" s="2"/>
      <c r="K8" s="2"/>
      <c r="L8" s="2"/>
      <c r="R8" s="2"/>
      <c r="S8" s="2"/>
      <c r="T8" s="2"/>
    </row>
    <row r="9" spans="4:24" x14ac:dyDescent="0.25">
      <c r="I9" s="186"/>
      <c r="J9" s="2">
        <f>J5/$D$3</f>
        <v>5.7086614173228343</v>
      </c>
      <c r="K9" s="3" t="s">
        <v>95</v>
      </c>
      <c r="L9" s="2">
        <f>L5/$D$2</f>
        <v>2.4934383202099739</v>
      </c>
      <c r="M9" s="2">
        <f>J9*L9</f>
        <v>14.234195135056936</v>
      </c>
      <c r="N9" s="1" t="s">
        <v>96</v>
      </c>
      <c r="R9" s="2">
        <f>R5/$D$3</f>
        <v>2.8543307086614171</v>
      </c>
      <c r="S9" s="3" t="s">
        <v>95</v>
      </c>
      <c r="T9" s="2">
        <f>T5/$D$2</f>
        <v>2.4934383202099739</v>
      </c>
      <c r="U9" s="2">
        <f>R9*T9</f>
        <v>7.117097567528468</v>
      </c>
      <c r="V9" s="1" t="s">
        <v>96</v>
      </c>
    </row>
    <row r="10" spans="4:24" x14ac:dyDescent="0.25">
      <c r="I10" s="186"/>
      <c r="J10" s="2">
        <f>ROUNDDOWN(J9,0)</f>
        <v>5</v>
      </c>
      <c r="K10" s="3" t="s">
        <v>95</v>
      </c>
      <c r="L10" s="2">
        <f>ROUNDDOWN(L9,0)</f>
        <v>2</v>
      </c>
      <c r="M10" s="2">
        <f>J10*L10</f>
        <v>10</v>
      </c>
      <c r="N10" s="1" t="s">
        <v>97</v>
      </c>
      <c r="O10" s="5">
        <f>M10/M9</f>
        <v>0.70253357531760441</v>
      </c>
      <c r="P10" s="1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0.56202686025408355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685.8</v>
      </c>
      <c r="L12" s="1">
        <f>L7*D3</f>
        <v>457.20000000000005</v>
      </c>
      <c r="O12" s="7">
        <f>J5*L5</f>
        <v>495900</v>
      </c>
      <c r="P12" s="1" t="s">
        <v>99</v>
      </c>
      <c r="R12" s="6">
        <f>$D$3*1</f>
        <v>152.4</v>
      </c>
      <c r="T12" s="6">
        <f>$D$2*1</f>
        <v>228.6</v>
      </c>
    </row>
    <row r="13" spans="4:24" x14ac:dyDescent="0.25">
      <c r="O13" s="7">
        <f>(J16*L5)+(L16*J5)</f>
        <v>180030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</f>
        <v>184.20000000000005</v>
      </c>
      <c r="L14" s="6">
        <f>L5-L12</f>
        <v>112.79999999999995</v>
      </c>
      <c r="O14" s="62">
        <f>O13/O12</f>
        <v>0.36303690260133092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0.63696309739866908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174.20000000000005</v>
      </c>
      <c r="L16" s="1">
        <f>L14-L15</f>
        <v>92.799999999999955</v>
      </c>
      <c r="O16" s="7"/>
      <c r="R16" s="6"/>
      <c r="T16" s="6"/>
    </row>
    <row r="17" spans="10:20" x14ac:dyDescent="0.25">
      <c r="J17" s="6"/>
      <c r="L17" s="6"/>
      <c r="R17" s="6">
        <f>$D$3*2</f>
        <v>304.8</v>
      </c>
      <c r="T17" s="6">
        <f>$D$2*2</f>
        <v>457.2</v>
      </c>
    </row>
    <row r="18" spans="10:20" x14ac:dyDescent="0.25">
      <c r="R18" s="6">
        <f>$D$3*3</f>
        <v>457.20000000000005</v>
      </c>
      <c r="T18" s="6">
        <f>$D$2*3</f>
        <v>685.8</v>
      </c>
    </row>
    <row r="19" spans="10:20" x14ac:dyDescent="0.25">
      <c r="R19" s="6">
        <f>$D$3*4</f>
        <v>609.6</v>
      </c>
      <c r="T19" s="6">
        <f>$D$2*4</f>
        <v>914.4</v>
      </c>
    </row>
    <row r="20" spans="10:20" x14ac:dyDescent="0.25">
      <c r="R20" s="6">
        <f>R5-R19</f>
        <v>-174.60000000000002</v>
      </c>
      <c r="T20" s="6">
        <f>T5-T19</f>
        <v>-344.4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6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90"/>
      <c r="J57" s="184" t="s">
        <v>92</v>
      </c>
      <c r="K57" s="184"/>
      <c r="L57" s="184"/>
      <c r="M57" s="184"/>
      <c r="N57" s="184"/>
      <c r="O57" s="184"/>
      <c r="P57" s="184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5" t="s">
        <v>94</v>
      </c>
      <c r="J58" s="123">
        <v>950</v>
      </c>
      <c r="K58" s="123" t="s">
        <v>95</v>
      </c>
      <c r="L58" s="124">
        <v>700</v>
      </c>
      <c r="M58" s="124"/>
      <c r="N58" s="90"/>
      <c r="O58" s="90"/>
      <c r="P58" s="90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124">
        <f>J58/$D$2</f>
        <v>4.1557305336832897</v>
      </c>
      <c r="K59" s="123" t="s">
        <v>95</v>
      </c>
      <c r="L59" s="124">
        <f>L58/$D$3</f>
        <v>4.5931758530183728</v>
      </c>
      <c r="M59" s="124">
        <f>J59*L59</f>
        <v>19.088001138965243</v>
      </c>
      <c r="N59" s="90" t="s">
        <v>96</v>
      </c>
      <c r="O59" s="90"/>
      <c r="P59" s="90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124">
        <f>ROUNDDOWN(J59,0)</f>
        <v>4</v>
      </c>
      <c r="K60" s="123" t="s">
        <v>95</v>
      </c>
      <c r="L60" s="124">
        <f>ROUNDDOWN(L59,0)</f>
        <v>4</v>
      </c>
      <c r="M60" s="124">
        <f>J60*L60</f>
        <v>16</v>
      </c>
      <c r="N60" s="90" t="s">
        <v>97</v>
      </c>
      <c r="O60" s="137">
        <f>M60/M59</f>
        <v>0.83822291729323295</v>
      </c>
      <c r="P60" s="90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124"/>
      <c r="K61" s="124"/>
      <c r="L61" s="124"/>
      <c r="M61" s="90"/>
      <c r="N61" s="90"/>
      <c r="O61" s="90"/>
      <c r="P61" s="90"/>
      <c r="R61" s="2"/>
      <c r="S61" s="2"/>
      <c r="T61" s="2"/>
      <c r="Z61" s="2"/>
      <c r="AA61" s="2"/>
      <c r="AB61" s="2"/>
    </row>
    <row r="62" spans="9:32" x14ac:dyDescent="0.25">
      <c r="I62" s="185"/>
      <c r="J62" s="124">
        <f>J58/$D$3</f>
        <v>6.2335958005249346</v>
      </c>
      <c r="K62" s="123" t="s">
        <v>95</v>
      </c>
      <c r="L62" s="124">
        <f>L58/$D$2</f>
        <v>3.0621172353455819</v>
      </c>
      <c r="M62" s="124">
        <f>J62*L62</f>
        <v>19.088001138965243</v>
      </c>
      <c r="N62" s="90" t="s">
        <v>96</v>
      </c>
      <c r="O62" s="90"/>
      <c r="P62" s="90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124">
        <f>ROUNDDOWN(J62,0)</f>
        <v>6</v>
      </c>
      <c r="K63" s="123" t="s">
        <v>95</v>
      </c>
      <c r="L63" s="124">
        <f>ROUNDDOWN(L62,0)</f>
        <v>3</v>
      </c>
      <c r="M63" s="124">
        <f>J63*L63</f>
        <v>18</v>
      </c>
      <c r="N63" s="90" t="s">
        <v>97</v>
      </c>
      <c r="O63" s="137">
        <f>M63/M62</f>
        <v>0.94300078195488712</v>
      </c>
      <c r="P63" s="90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90"/>
      <c r="J64" s="90"/>
      <c r="K64" s="90"/>
      <c r="L64" s="90"/>
      <c r="M64" s="90"/>
      <c r="N64" s="90"/>
      <c r="O64" s="90"/>
      <c r="P64" s="90"/>
    </row>
    <row r="65" spans="9:31" x14ac:dyDescent="0.25">
      <c r="I65" s="90"/>
      <c r="J65" s="90"/>
      <c r="K65" s="90"/>
      <c r="L65" s="90"/>
      <c r="M65" s="90"/>
      <c r="N65" s="90"/>
      <c r="O65" s="91">
        <f>J58*L58</f>
        <v>665000</v>
      </c>
      <c r="P65" s="90" t="s">
        <v>99</v>
      </c>
    </row>
    <row r="66" spans="9:31" x14ac:dyDescent="0.25">
      <c r="I66" s="90"/>
      <c r="J66" s="126"/>
      <c r="K66" s="90"/>
      <c r="L66" s="126"/>
      <c r="M66" s="90"/>
      <c r="N66" s="90"/>
      <c r="O66" s="91">
        <f>J68*L68</f>
        <v>557418.23999999999</v>
      </c>
      <c r="P66" s="90" t="s">
        <v>100</v>
      </c>
      <c r="R66" s="6"/>
      <c r="T66" s="6"/>
      <c r="Z66" s="6"/>
      <c r="AB66" s="6"/>
      <c r="AE66" s="7"/>
    </row>
    <row r="67" spans="9:31" x14ac:dyDescent="0.25">
      <c r="I67" s="90"/>
      <c r="J67" s="126"/>
      <c r="K67" s="90"/>
      <c r="L67" s="126"/>
      <c r="M67" s="90"/>
      <c r="N67" s="90"/>
      <c r="O67" s="138">
        <f>O66/O65</f>
        <v>0.83822291729323306</v>
      </c>
      <c r="P67" s="90" t="s">
        <v>101</v>
      </c>
      <c r="R67" s="6"/>
      <c r="T67" s="6"/>
      <c r="Z67" s="6"/>
      <c r="AB67" s="6"/>
      <c r="AE67" s="7"/>
    </row>
    <row r="68" spans="9:31" x14ac:dyDescent="0.25">
      <c r="I68" s="90"/>
      <c r="J68" s="126">
        <f>D2*J60</f>
        <v>914.4</v>
      </c>
      <c r="K68" s="90"/>
      <c r="L68" s="126">
        <f>D3*L60</f>
        <v>609.6</v>
      </c>
      <c r="M68" s="90"/>
      <c r="N68" s="90"/>
      <c r="O68" s="127">
        <f>100%-O67</f>
        <v>0.16177708270676694</v>
      </c>
      <c r="P68" s="90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90"/>
      <c r="J69" s="126"/>
      <c r="K69" s="90"/>
      <c r="L69" s="126"/>
      <c r="M69" s="90"/>
      <c r="N69" s="90"/>
      <c r="O69" s="90"/>
      <c r="P69" s="90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90"/>
      <c r="J70" s="126"/>
      <c r="K70" s="90"/>
      <c r="L70" s="126"/>
      <c r="M70" s="90"/>
      <c r="N70" s="90"/>
      <c r="O70" s="90"/>
      <c r="P70" s="90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90"/>
      <c r="J71" s="126"/>
      <c r="K71" s="90"/>
      <c r="L71" s="126"/>
      <c r="M71" s="90"/>
      <c r="N71" s="90"/>
      <c r="O71" s="90"/>
      <c r="P71" s="90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90"/>
      <c r="J72" s="126"/>
      <c r="K72" s="90"/>
      <c r="L72" s="126"/>
      <c r="M72" s="90"/>
      <c r="N72" s="90"/>
      <c r="O72" s="90"/>
      <c r="P72" s="90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9">
    <tabColor theme="5" tint="0.3999755851924192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1.9444444444444444</v>
      </c>
      <c r="D2" s="100">
        <f t="shared" ref="D2" si="0">D$4/$B$3</f>
        <v>1.2777777777777779</v>
      </c>
      <c r="E2" s="11">
        <f>E$4/$B$3</f>
        <v>1.1111111111111112</v>
      </c>
      <c r="H2" s="12">
        <f>H$4/$B$3</f>
        <v>-5.5555555555555504E-2</v>
      </c>
      <c r="I2" s="11">
        <f>I$4/$B$3</f>
        <v>1.2777777777777779</v>
      </c>
      <c r="J2" s="11">
        <f>J$4/$B$3</f>
        <v>0.44444444444444442</v>
      </c>
    </row>
    <row r="3" spans="2:13" x14ac:dyDescent="0.3">
      <c r="B3" s="13">
        <f>'Acomodo Familia B3'!F2</f>
        <v>228.6</v>
      </c>
      <c r="C3" s="10" t="s">
        <v>106</v>
      </c>
      <c r="D3" s="10" t="s">
        <v>107</v>
      </c>
      <c r="E3" s="10" t="s">
        <v>108</v>
      </c>
      <c r="G3" s="13">
        <f>B3</f>
        <v>228.6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-12.699999999999989</v>
      </c>
      <c r="I4" s="14">
        <v>292.10000000000002</v>
      </c>
      <c r="J4" s="14">
        <f>254-B5</f>
        <v>101.6</v>
      </c>
    </row>
    <row r="5" spans="2:13" x14ac:dyDescent="0.3">
      <c r="B5" s="13">
        <f>'Acomodo Familia B3'!F3</f>
        <v>152.4</v>
      </c>
      <c r="C5" s="10" t="s">
        <v>106</v>
      </c>
      <c r="D5" s="10" t="s">
        <v>107</v>
      </c>
      <c r="E5" s="10" t="s">
        <v>108</v>
      </c>
      <c r="G5" s="13">
        <f>B5</f>
        <v>152.4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2.9166666666666665</v>
      </c>
      <c r="D6" s="11">
        <f>D$4/$B$5</f>
        <v>1.9166666666666667</v>
      </c>
      <c r="E6" s="12">
        <f>E$4/$B$5</f>
        <v>1.6666666666666665</v>
      </c>
      <c r="H6" s="11">
        <f>H$4/$B$5</f>
        <v>-8.3333333333333259E-2</v>
      </c>
      <c r="I6" s="11">
        <f>I$4/$B$5</f>
        <v>1.9166666666666667</v>
      </c>
      <c r="J6" s="12">
        <f>J$4/$B$5</f>
        <v>0.66666666666666663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ROUNDDOWN(E4*10/('114-5589-000'!G14/2),0)</f>
        <v>13</v>
      </c>
      <c r="F8" s="16">
        <f>PRODUCT(C8:E8)</f>
        <v>26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26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0">
    <tabColor theme="5" tint="-0.499984740745262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4" width="16.6640625" style="120" customWidth="1"/>
    <col min="5" max="5" width="16.44140625" style="120" customWidth="1"/>
    <col min="6" max="6" width="77.88671875" style="120" customWidth="1"/>
    <col min="7" max="7" width="83" style="18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C1" s="19"/>
      <c r="D1" s="19"/>
      <c r="E1" s="19"/>
      <c r="F1" s="182" t="s">
        <v>352</v>
      </c>
      <c r="G1" s="182"/>
      <c r="H1" s="182"/>
    </row>
    <row r="2" spans="1:19 16376:16379" ht="20.399999999999999" customHeight="1" x14ac:dyDescent="0.3">
      <c r="A2" s="92"/>
      <c r="B2" s="19"/>
      <c r="C2" s="19"/>
      <c r="D2" s="19"/>
      <c r="E2" s="19"/>
      <c r="F2" s="182"/>
      <c r="G2" s="182"/>
      <c r="H2" s="182"/>
      <c r="I2" s="20"/>
      <c r="J2" s="20"/>
      <c r="K2" s="20"/>
      <c r="L2" s="20"/>
    </row>
    <row r="3" spans="1:19 16376:16379" x14ac:dyDescent="0.3">
      <c r="B3" s="19"/>
      <c r="C3" s="19"/>
      <c r="D3" s="19"/>
      <c r="E3" s="19"/>
      <c r="F3" s="182"/>
      <c r="G3" s="182"/>
      <c r="H3" s="182"/>
    </row>
    <row r="4" spans="1:19 16376:16379" s="22" customFormat="1" x14ac:dyDescent="0.3">
      <c r="A4" s="38" t="s">
        <v>0</v>
      </c>
      <c r="B4" s="21" t="s">
        <v>341</v>
      </c>
      <c r="C4" s="21" t="s">
        <v>340</v>
      </c>
      <c r="D4" s="21" t="s">
        <v>228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41900</v>
      </c>
      <c r="C5" s="40">
        <v>41900</v>
      </c>
      <c r="D5" s="40">
        <v>41900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53</v>
      </c>
      <c r="L6" s="129">
        <f>$B$28/$B$36</f>
        <v>0</v>
      </c>
      <c r="M6" s="120"/>
      <c r="N6" s="120"/>
      <c r="O6" s="120"/>
      <c r="P6" s="120"/>
      <c r="Q6" s="120"/>
      <c r="S6" s="27"/>
      <c r="XEV6" s="18">
        <v>80</v>
      </c>
      <c r="XEW6" s="18" t="s">
        <v>297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1600</v>
      </c>
      <c r="C7" s="24"/>
      <c r="D7" s="74">
        <f>SUM(Tabla612173252727792177247252[[#This Row],[MANUAL]:[Etiquetas]])</f>
        <v>1600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301</v>
      </c>
      <c r="L7" s="129">
        <f>$D$33/$B$36</f>
        <v>6.8445867625320208E-3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134152.20000000001</v>
      </c>
      <c r="C8" s="24"/>
      <c r="D8" s="74">
        <f>SUM(Tabla612173252727792177247252[[#This Row],[MANUAL]:[Etiquetas]])</f>
        <v>134152.20000000001</v>
      </c>
      <c r="E8" s="34"/>
      <c r="F8" s="39" t="s">
        <v>9</v>
      </c>
      <c r="H8" s="18" t="s">
        <v>124</v>
      </c>
      <c r="I8" s="18" t="s">
        <v>118</v>
      </c>
      <c r="K8" s="39" t="s">
        <v>6</v>
      </c>
      <c r="L8" s="129">
        <f>$B$7/$B$36</f>
        <v>9.2028057311354904E-3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25500</v>
      </c>
      <c r="C9" s="24"/>
      <c r="D9" s="74">
        <f>SUM(Tabla612173252727792177247252[[#This Row],[MANUAL]:[Etiquetas]])</f>
        <v>25500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60</v>
      </c>
      <c r="L9" s="129">
        <f>$D$32/$B$36</f>
        <v>2.868687099002391E-2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ht="15" customHeight="1" x14ac:dyDescent="0.3">
      <c r="A10" s="39" t="s">
        <v>14</v>
      </c>
      <c r="B10" s="24">
        <f>ROUNDUP(B58/1000,0)*$I$33</f>
        <v>2550</v>
      </c>
      <c r="C10" s="24"/>
      <c r="D10" s="74">
        <f>SUM(Tabla612173252727792177247252[[#This Row],[MANUAL]:[Etiquetas]])</f>
        <v>2550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14</v>
      </c>
      <c r="L10" s="129">
        <f>$B$10/$B$36</f>
        <v>1.4666971633997187E-2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ht="15" customHeight="1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177</v>
      </c>
      <c r="K11" s="39" t="s">
        <v>62</v>
      </c>
      <c r="L11" s="129">
        <f>$D$34/$B$36</f>
        <v>5.3548825848044636E-2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ht="15" customHeight="1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1512</v>
      </c>
      <c r="K12" s="42" t="s">
        <v>113</v>
      </c>
      <c r="L12" s="129">
        <f>$B$15/$B$36</f>
        <v>5.7850109417123867E-2</v>
      </c>
      <c r="M12" s="120"/>
      <c r="N12" s="120"/>
      <c r="O12" s="120"/>
      <c r="P12" s="120"/>
      <c r="XEV12" s="18">
        <v>150</v>
      </c>
    </row>
    <row r="13" spans="1:19 16376:16379" ht="15" customHeight="1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39" t="s">
        <v>11</v>
      </c>
      <c r="L13" s="129">
        <f>$B$9/$B$36</f>
        <v>0.14666971633997189</v>
      </c>
      <c r="M13" s="120"/>
      <c r="N13" s="120"/>
      <c r="O13" s="120"/>
      <c r="P13" s="120"/>
      <c r="XEV13" s="18">
        <v>200</v>
      </c>
    </row>
    <row r="14" spans="1:19 16376:16379" ht="15" customHeight="1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64</v>
      </c>
      <c r="K14" s="39" t="s">
        <v>8</v>
      </c>
      <c r="L14" s="129">
        <f>$B$8/$B$36</f>
        <v>0.77161039687777166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10057.821252734151</v>
      </c>
      <c r="C15" s="24"/>
      <c r="D15" s="74">
        <f>SUM(Tabla612173252727792177247252[[#This Row],[MANUAL]:[Etiquetas]])</f>
        <v>10057.821252734151</v>
      </c>
      <c r="E15" s="34">
        <v>90</v>
      </c>
      <c r="F15" s="43" t="s">
        <v>28</v>
      </c>
      <c r="G15" s="120"/>
      <c r="H15" s="18" t="s">
        <v>138</v>
      </c>
      <c r="I15" s="36">
        <f>'Acomodo Familia B6'!M7*2</f>
        <v>32</v>
      </c>
      <c r="J15" s="20"/>
      <c r="K15" s="22" t="s">
        <v>38</v>
      </c>
      <c r="L15" s="128">
        <f>SUBTOTAL(109,Tabla134153050707590175245250[Contribución])</f>
        <v>1.0890802836006006</v>
      </c>
      <c r="M15" s="28"/>
      <c r="N15" s="28"/>
      <c r="O15" s="28"/>
      <c r="P15" s="28"/>
      <c r="XEV15" s="18" t="s">
        <v>298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32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2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4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156">
        <v>150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303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350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158">
        <v>28000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SUM(D6:D27,D29:D35)*$I$27</f>
        <v>2837.9598725273408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301</v>
      </c>
      <c r="I31" s="18">
        <v>170</v>
      </c>
      <c r="M31" s="18"/>
      <c r="N31" s="18"/>
    </row>
    <row r="32" spans="1:20" x14ac:dyDescent="0.25">
      <c r="A32" s="39" t="s">
        <v>60</v>
      </c>
      <c r="B32" s="139"/>
      <c r="C32" s="24"/>
      <c r="D32" s="74">
        <f>ROUNDUP(D34/$I$28,0)/$I$29*$I$30</f>
        <v>4987.5</v>
      </c>
      <c r="E32" s="39">
        <v>100</v>
      </c>
      <c r="F32" s="39" t="s">
        <v>61</v>
      </c>
      <c r="H32" s="18" t="s">
        <v>302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301</v>
      </c>
      <c r="B33" s="139"/>
      <c r="C33" s="24"/>
      <c r="D33" s="74">
        <f>ROUNDUP(D34/$I$28/$I$32,0)*$I$31</f>
        <v>1190</v>
      </c>
      <c r="E33" s="39"/>
      <c r="F33" s="39"/>
      <c r="H33" s="120" t="s">
        <v>304</v>
      </c>
      <c r="I33" s="157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139"/>
      <c r="C34" s="24"/>
      <c r="D34" s="74">
        <f>ROUNDUP(B5/'Embalaje Familia B6'!$M$8,0)*$I$28</f>
        <v>9310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24"/>
      <c r="C35" s="24">
        <f>Tabla612173252727792177247252[[#This Row],[Parametro]]*20*C5</f>
        <v>94448.465999999913</v>
      </c>
      <c r="D35" s="74">
        <f>SUM(Tabla612173252727792177247252[[#This Row],[MANUAL]:[Etiquetas]])</f>
        <v>94448.465999999913</v>
      </c>
      <c r="E35" s="39">
        <v>0.11270699999999989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173860.02125273415</v>
      </c>
      <c r="C36" s="81">
        <f t="shared" ref="C36:D36" si="0">SUM(C7:C35)</f>
        <v>94448.465999999913</v>
      </c>
      <c r="D36" s="136">
        <f t="shared" si="0"/>
        <v>286633.94712526142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39" t="s">
        <v>65</v>
      </c>
      <c r="B37" s="130">
        <v>0.5</v>
      </c>
      <c r="C37" s="130">
        <v>0.5</v>
      </c>
      <c r="D37" s="77">
        <v>0.5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260790.03187910124</v>
      </c>
      <c r="C39" s="24">
        <f t="shared" ref="C39:D39" si="1">C36*(1+C37)</f>
        <v>141672.69899999988</v>
      </c>
      <c r="D39" s="74">
        <f t="shared" si="1"/>
        <v>429950.92068789212</v>
      </c>
      <c r="E39" s="39"/>
      <c r="F39" s="39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289766.70208789024</v>
      </c>
      <c r="C40" s="81">
        <f t="shared" ref="C40:D40" si="2">C39/0.9</f>
        <v>157414.10999999987</v>
      </c>
      <c r="D40" s="81">
        <f t="shared" si="2"/>
        <v>477723.24520876899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6.9156730808565694</v>
      </c>
      <c r="C41" s="24">
        <f t="shared" ref="C41:D41" si="3">+C40/C5</f>
        <v>3.7568999999999968</v>
      </c>
      <c r="D41" s="74">
        <f t="shared" si="3"/>
        <v>11.40150943219019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0.38656641033295525</v>
      </c>
      <c r="C43" s="32">
        <f t="shared" ref="C43:D43" si="4">+C41/C42</f>
        <v>0.20999999999999983</v>
      </c>
      <c r="D43" s="79">
        <f t="shared" si="4"/>
        <v>0.63731187435383951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386.56641033295523</v>
      </c>
      <c r="C44" s="83">
        <f t="shared" ref="C44:D44" si="5">+C43*1000</f>
        <v>209.99999999999983</v>
      </c>
      <c r="D44" s="84">
        <f t="shared" si="5"/>
        <v>637.31187435383947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/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6">+B44-B45</f>
        <v>386.56641033295523</v>
      </c>
      <c r="C46" s="33"/>
      <c r="D46" s="132"/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289766.70208789024</v>
      </c>
      <c r="C47" s="48">
        <f t="shared" ref="C47:D47" si="7">+C41*C5</f>
        <v>157414.10999999987</v>
      </c>
      <c r="D47" s="133">
        <f t="shared" si="7"/>
        <v>477723.24520876899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173860.02125273415</v>
      </c>
      <c r="C48" s="48">
        <f t="shared" ref="C48:D48" si="8">C36</f>
        <v>94448.465999999913</v>
      </c>
      <c r="D48" s="133">
        <f t="shared" si="8"/>
        <v>286633.94712526142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115906.68083515609</v>
      </c>
      <c r="C49" s="49">
        <f t="shared" ref="C49:D49" si="9">+C47-C36</f>
        <v>62965.643999999957</v>
      </c>
      <c r="D49" s="134">
        <f t="shared" si="9"/>
        <v>191089.29808350757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10">+B49/B47</f>
        <v>0.39999999999999997</v>
      </c>
      <c r="C50" s="50">
        <f t="shared" si="10"/>
        <v>0.40000000000000008</v>
      </c>
      <c r="D50" s="135">
        <f t="shared" si="10"/>
        <v>0.39999999999999997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11">B48/B47</f>
        <v>0.6</v>
      </c>
      <c r="C51" s="50">
        <f t="shared" si="11"/>
        <v>0.6</v>
      </c>
      <c r="D51" s="135">
        <f t="shared" si="11"/>
        <v>0.60000000000000009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1587.6000000000001</v>
      </c>
      <c r="C54" s="34"/>
      <c r="D54" s="20"/>
      <c r="E54" s="20"/>
      <c r="F54" s="18"/>
      <c r="I54" s="28"/>
      <c r="J54" s="28"/>
      <c r="K54" s="28"/>
      <c r="L54" s="28"/>
      <c r="M54" s="18"/>
      <c r="N54" s="18"/>
    </row>
    <row r="55" spans="1:20" x14ac:dyDescent="0.25">
      <c r="A55" s="70" t="s">
        <v>151</v>
      </c>
      <c r="B55" s="34">
        <f>B54/1000</f>
        <v>1.5876000000000001</v>
      </c>
      <c r="C55" s="18"/>
      <c r="D55" s="18"/>
      <c r="E55" s="18"/>
      <c r="F55" s="18"/>
      <c r="I55" s="28"/>
      <c r="J55" s="28"/>
      <c r="K55" s="28"/>
      <c r="L55" s="28"/>
      <c r="M55" s="18"/>
      <c r="N55" s="18"/>
    </row>
    <row r="56" spans="1:20" x14ac:dyDescent="0.25">
      <c r="A56" s="70" t="s">
        <v>82</v>
      </c>
      <c r="B56" s="53">
        <f>ROUNDUP(B5*$I$17,0)</f>
        <v>83800</v>
      </c>
      <c r="C56" s="18"/>
      <c r="D56" s="18"/>
      <c r="E56" s="18"/>
      <c r="F56" s="18"/>
      <c r="I56" s="28"/>
      <c r="J56" s="28"/>
      <c r="K56" s="28"/>
      <c r="L56" s="28"/>
      <c r="M56" s="18"/>
      <c r="N56" s="18"/>
    </row>
    <row r="57" spans="1:20" ht="14.4" customHeight="1" x14ac:dyDescent="0.25">
      <c r="A57" s="70" t="s">
        <v>83</v>
      </c>
      <c r="B57" s="53">
        <f>ROUNDUP(B5/$I$23,0)*$I$22</f>
        <v>700</v>
      </c>
      <c r="C57" s="18"/>
      <c r="D57" s="18"/>
      <c r="E57" s="18"/>
      <c r="F57" s="18"/>
      <c r="I57" s="28"/>
      <c r="J57" s="28"/>
      <c r="K57" s="28"/>
      <c r="L57" s="28"/>
      <c r="M57" s="18"/>
      <c r="N57" s="18"/>
    </row>
    <row r="58" spans="1:20" x14ac:dyDescent="0.25">
      <c r="A58" s="70" t="s">
        <v>84</v>
      </c>
      <c r="B58" s="53">
        <f>SUM(B56:B57)</f>
        <v>84500</v>
      </c>
      <c r="C58" s="18"/>
      <c r="D58" s="18"/>
      <c r="E58" s="18"/>
      <c r="F58" s="18"/>
      <c r="I58" s="28"/>
      <c r="J58" s="28"/>
      <c r="K58" s="28"/>
      <c r="L58" s="28"/>
      <c r="M58" s="18"/>
      <c r="N58" s="18"/>
    </row>
    <row r="59" spans="1:20" x14ac:dyDescent="0.3">
      <c r="A59" s="70" t="s">
        <v>85</v>
      </c>
      <c r="B59" s="34">
        <f>+B55*B58</f>
        <v>134152.20000000001</v>
      </c>
      <c r="C59" s="39"/>
      <c r="D59" s="18"/>
      <c r="E59" s="18"/>
      <c r="F59" s="18"/>
      <c r="I59" s="10"/>
      <c r="J59" s="10"/>
      <c r="M59" s="18"/>
      <c r="N59" s="18"/>
    </row>
    <row r="60" spans="1:20" x14ac:dyDescent="0.3">
      <c r="A60" s="70" t="s">
        <v>154</v>
      </c>
      <c r="B60" s="54">
        <f>B57/B56</f>
        <v>8.3532219570405727E-3</v>
      </c>
      <c r="C60" s="53"/>
      <c r="D60" s="39"/>
      <c r="E60" s="18"/>
      <c r="F60" s="18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 t="shared" ref="B62:C62" si="12">B40-B39</f>
        <v>28976.670208789001</v>
      </c>
      <c r="C62" s="35">
        <f t="shared" si="12"/>
        <v>15741.410999999993</v>
      </c>
      <c r="D62" s="35">
        <f>D40-D39</f>
        <v>47772.324520876864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202836.69146152315</v>
      </c>
      <c r="C63" s="35">
        <f t="shared" ref="C63" si="13">C36+C62</f>
        <v>110189.87699999991</v>
      </c>
      <c r="D63" s="35">
        <f>D36+D62</f>
        <v>334406.27164613828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289766.70208789024</v>
      </c>
      <c r="C64" s="35">
        <f t="shared" ref="C64" si="14">C40</f>
        <v>157414.10999999987</v>
      </c>
      <c r="D64" s="35">
        <f>D40</f>
        <v>477723.24520876899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71">
        <f t="shared" ref="C65:D65" si="15">(C64-C63)/C64</f>
        <v>0.30000000000000004</v>
      </c>
      <c r="D65" s="71">
        <f t="shared" si="15"/>
        <v>0.30000000000000004</v>
      </c>
      <c r="F65" s="18"/>
    </row>
  </sheetData>
  <mergeCells count="1">
    <mergeCell ref="F1:H3"/>
  </mergeCells>
  <dataValidations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>
    <tabColor theme="5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J4" s="183" t="s">
        <v>92</v>
      </c>
      <c r="K4" s="183"/>
      <c r="L4" s="183"/>
      <c r="M4" s="183"/>
      <c r="N4" s="183"/>
      <c r="O4" s="183"/>
      <c r="P4" s="183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6"/>
      <c r="J5" s="3">
        <v>940</v>
      </c>
      <c r="K5" s="3" t="s">
        <v>95</v>
      </c>
      <c r="L5" s="2">
        <v>640</v>
      </c>
      <c r="M5" s="2"/>
      <c r="R5" s="3">
        <f>J5/2</f>
        <v>470</v>
      </c>
      <c r="S5" s="3" t="s">
        <v>95</v>
      </c>
      <c r="T5" s="2">
        <f>L5</f>
        <v>640</v>
      </c>
      <c r="U5" s="2"/>
    </row>
    <row r="6" spans="4:24" x14ac:dyDescent="0.25">
      <c r="I6" s="186"/>
      <c r="J6" s="2">
        <f>J5/$D$2</f>
        <v>4.1119860017497816</v>
      </c>
      <c r="K6" s="3" t="s">
        <v>95</v>
      </c>
      <c r="L6" s="2">
        <f>L5/$D$3</f>
        <v>4.1994750656167978</v>
      </c>
      <c r="M6" s="2">
        <f>J6*L6</f>
        <v>17.268182684513519</v>
      </c>
      <c r="N6" s="1" t="s">
        <v>96</v>
      </c>
      <c r="R6" s="2">
        <f>R5/$D$2</f>
        <v>2.0559930008748908</v>
      </c>
      <c r="S6" s="3" t="s">
        <v>95</v>
      </c>
      <c r="T6" s="2">
        <f>T5/$D$3</f>
        <v>4.1994750656167978</v>
      </c>
      <c r="U6" s="2">
        <f>R6*T6</f>
        <v>8.6340913422567596</v>
      </c>
      <c r="V6" s="1" t="s">
        <v>96</v>
      </c>
    </row>
    <row r="7" spans="4:24" x14ac:dyDescent="0.25">
      <c r="I7" s="186"/>
      <c r="J7" s="2">
        <f>ROUNDDOWN(J6,0)</f>
        <v>4</v>
      </c>
      <c r="K7" s="3" t="s">
        <v>95</v>
      </c>
      <c r="L7" s="2">
        <f>ROUNDDOWN(L6,0)</f>
        <v>4</v>
      </c>
      <c r="M7" s="2">
        <f>J7*L7</f>
        <v>16</v>
      </c>
      <c r="N7" s="1" t="s">
        <v>97</v>
      </c>
      <c r="O7" s="5">
        <f>M7/M6</f>
        <v>0.92655957446808501</v>
      </c>
      <c r="P7" s="1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0.92655957446808501</v>
      </c>
      <c r="X7" s="1" t="s">
        <v>98</v>
      </c>
    </row>
    <row r="8" spans="4:24" x14ac:dyDescent="0.25">
      <c r="I8" s="186"/>
      <c r="J8" s="2"/>
      <c r="K8" s="2"/>
      <c r="L8" s="2"/>
      <c r="R8" s="2"/>
      <c r="S8" s="2"/>
      <c r="T8" s="2"/>
    </row>
    <row r="9" spans="4:24" x14ac:dyDescent="0.25">
      <c r="I9" s="186"/>
      <c r="J9" s="2">
        <f>J5/$D$3</f>
        <v>6.1679790026246719</v>
      </c>
      <c r="K9" s="3" t="s">
        <v>95</v>
      </c>
      <c r="L9" s="2">
        <f>L5/$D$2</f>
        <v>2.7996500437445322</v>
      </c>
      <c r="M9" s="2">
        <f>J9*L9</f>
        <v>17.268182684513519</v>
      </c>
      <c r="N9" s="1" t="s">
        <v>96</v>
      </c>
      <c r="R9" s="2">
        <f>R5/$D$3</f>
        <v>3.083989501312336</v>
      </c>
      <c r="S9" s="3" t="s">
        <v>95</v>
      </c>
      <c r="T9" s="2">
        <f>T5/$D$2</f>
        <v>2.7996500437445322</v>
      </c>
      <c r="U9" s="2">
        <f>R9*T9</f>
        <v>8.6340913422567596</v>
      </c>
      <c r="V9" s="1" t="s">
        <v>96</v>
      </c>
    </row>
    <row r="10" spans="4:24" x14ac:dyDescent="0.25">
      <c r="I10" s="186"/>
      <c r="J10" s="2">
        <f>ROUNDDOWN(J9,0)</f>
        <v>6</v>
      </c>
      <c r="K10" s="3" t="s">
        <v>95</v>
      </c>
      <c r="L10" s="2">
        <f>ROUNDDOWN(L9,0)</f>
        <v>2</v>
      </c>
      <c r="M10" s="2">
        <f>J10*L10</f>
        <v>12</v>
      </c>
      <c r="N10" s="1" t="s">
        <v>97</v>
      </c>
      <c r="O10" s="5">
        <f>M10/M9</f>
        <v>0.6949196808510637</v>
      </c>
      <c r="P10" s="1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0.6949196808510637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914.4</v>
      </c>
      <c r="L12" s="1">
        <f>L7*D3</f>
        <v>609.6</v>
      </c>
      <c r="O12" s="7">
        <f>J5*L5</f>
        <v>601600</v>
      </c>
      <c r="P12" s="1" t="s">
        <v>99</v>
      </c>
      <c r="R12" s="6">
        <f>$D$3*1</f>
        <v>152.4</v>
      </c>
      <c r="T12" s="6">
        <f>$D$2*1</f>
        <v>228.6</v>
      </c>
    </row>
    <row r="13" spans="4:24" x14ac:dyDescent="0.25">
      <c r="O13" s="7">
        <f>(J16*L5)+(L16*J5)</f>
        <v>19759.999999999993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</f>
        <v>25.600000000000023</v>
      </c>
      <c r="L14" s="6">
        <f>L5-L12</f>
        <v>30.399999999999977</v>
      </c>
      <c r="O14" s="62">
        <f>O13/O12</f>
        <v>3.2845744680851052E-2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0.967154255319149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15.600000000000023</v>
      </c>
      <c r="L16" s="1">
        <f>L14-L15</f>
        <v>10.399999999999977</v>
      </c>
      <c r="O16" s="7"/>
      <c r="R16" s="6"/>
      <c r="T16" s="6"/>
    </row>
    <row r="17" spans="10:20" x14ac:dyDescent="0.25">
      <c r="J17" s="6"/>
      <c r="L17" s="6"/>
      <c r="R17" s="6">
        <f>$D$3*2</f>
        <v>304.8</v>
      </c>
      <c r="T17" s="6">
        <f>$D$2*2</f>
        <v>457.2</v>
      </c>
    </row>
    <row r="18" spans="10:20" x14ac:dyDescent="0.25">
      <c r="R18" s="6">
        <f>$D$3*3</f>
        <v>457.20000000000005</v>
      </c>
      <c r="T18" s="6">
        <f>$D$2*3</f>
        <v>685.8</v>
      </c>
    </row>
    <row r="19" spans="10:20" x14ac:dyDescent="0.25">
      <c r="R19" s="6">
        <f>$D$3*4</f>
        <v>609.6</v>
      </c>
      <c r="T19" s="6">
        <f>$D$2*4</f>
        <v>914.4</v>
      </c>
    </row>
    <row r="20" spans="10:20" x14ac:dyDescent="0.25">
      <c r="R20" s="6">
        <f>R5-R19</f>
        <v>-139.60000000000002</v>
      </c>
      <c r="T20" s="6">
        <f>T5-T19</f>
        <v>-274.39999999999998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6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4.1557305336832897</v>
      </c>
      <c r="K59" s="3" t="s">
        <v>95</v>
      </c>
      <c r="L59" s="2">
        <f>L58/$D$3</f>
        <v>4.5931758530183728</v>
      </c>
      <c r="M59" s="2">
        <f>J59*L59</f>
        <v>19.088001138965243</v>
      </c>
      <c r="N59" s="1" t="s">
        <v>96</v>
      </c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4</v>
      </c>
      <c r="K60" s="3" t="s">
        <v>95</v>
      </c>
      <c r="L60" s="2">
        <f>ROUNDDOWN(L59,0)</f>
        <v>4</v>
      </c>
      <c r="M60" s="2">
        <f>J60*L60</f>
        <v>16</v>
      </c>
      <c r="N60" s="1" t="s">
        <v>97</v>
      </c>
      <c r="O60" s="9">
        <f>M60/M59</f>
        <v>0.83822291729323295</v>
      </c>
      <c r="P60" s="1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6.2335958005249346</v>
      </c>
      <c r="K62" s="3" t="s">
        <v>95</v>
      </c>
      <c r="L62" s="2">
        <f>L58/$D$2</f>
        <v>3.0621172353455819</v>
      </c>
      <c r="M62" s="2">
        <f>J62*L62</f>
        <v>19.088001138965243</v>
      </c>
      <c r="N62" s="1" t="s">
        <v>96</v>
      </c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6</v>
      </c>
      <c r="K63" s="3" t="s">
        <v>95</v>
      </c>
      <c r="L63" s="2">
        <f>ROUNDDOWN(L62,0)</f>
        <v>3</v>
      </c>
      <c r="M63" s="2">
        <f>J63*L63</f>
        <v>18</v>
      </c>
      <c r="N63" s="1" t="s">
        <v>97</v>
      </c>
      <c r="O63" s="9">
        <f>M63/M62</f>
        <v>0.94300078195488712</v>
      </c>
      <c r="P63" s="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557418.23999999999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0.83822291729323306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914.4</v>
      </c>
      <c r="L68" s="6">
        <f>D3*L60</f>
        <v>609.6</v>
      </c>
      <c r="O68" s="62">
        <f>100%-O67</f>
        <v>0.16177708270676694</v>
      </c>
      <c r="P68" s="1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>
    <tabColor theme="5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1.9444444444444444</v>
      </c>
      <c r="D2" s="100">
        <f t="shared" ref="D2" si="0">D$4/$B$3</f>
        <v>1.2777777777777779</v>
      </c>
      <c r="E2" s="11">
        <f>E$4/$B$3</f>
        <v>1.1111111111111112</v>
      </c>
      <c r="H2" s="12">
        <f>H$4/$B$3</f>
        <v>-5.5555555555555504E-2</v>
      </c>
      <c r="I2" s="11">
        <f>I$4/$B$3</f>
        <v>1.2777777777777779</v>
      </c>
      <c r="J2" s="11">
        <f>J$4/$B$3</f>
        <v>0.44444444444444442</v>
      </c>
    </row>
    <row r="3" spans="2:13" x14ac:dyDescent="0.3">
      <c r="B3" s="13">
        <f>'Acomodo Familia B3'!F2</f>
        <v>228.6</v>
      </c>
      <c r="C3" s="10" t="s">
        <v>106</v>
      </c>
      <c r="D3" s="10" t="s">
        <v>107</v>
      </c>
      <c r="E3" s="10" t="s">
        <v>108</v>
      </c>
      <c r="G3" s="13">
        <f>B3</f>
        <v>228.6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-12.699999999999989</v>
      </c>
      <c r="I4" s="14">
        <v>292.10000000000002</v>
      </c>
      <c r="J4" s="14">
        <f>254-B5</f>
        <v>101.6</v>
      </c>
    </row>
    <row r="5" spans="2:13" x14ac:dyDescent="0.3">
      <c r="B5" s="13">
        <f>'Acomodo Familia B3'!F3</f>
        <v>152.4</v>
      </c>
      <c r="C5" s="10" t="s">
        <v>106</v>
      </c>
      <c r="D5" s="10" t="s">
        <v>107</v>
      </c>
      <c r="E5" s="10" t="s">
        <v>108</v>
      </c>
      <c r="G5" s="13">
        <f>B5</f>
        <v>152.4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2.9166666666666665</v>
      </c>
      <c r="D6" s="11">
        <f>D$4/$B$5</f>
        <v>1.9166666666666667</v>
      </c>
      <c r="E6" s="12">
        <f>E$4/$B$5</f>
        <v>1.6666666666666665</v>
      </c>
      <c r="H6" s="11">
        <f>H$4/$B$5</f>
        <v>-8.3333333333333259E-2</v>
      </c>
      <c r="I6" s="11">
        <f>I$4/$B$5</f>
        <v>1.9166666666666667</v>
      </c>
      <c r="J6" s="12">
        <f>J$4/$B$5</f>
        <v>0.66666666666666663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ROUNDDOWN(E4*10/('002-2373-000'!I14/2),0)</f>
        <v>79</v>
      </c>
      <c r="F8" s="16">
        <f>PRODUCT(C8:E8)</f>
        <v>158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158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3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26" customWidth="1"/>
    <col min="3" max="3" width="11.88671875" style="26" customWidth="1"/>
    <col min="4" max="4" width="69.44140625" style="26" customWidth="1"/>
    <col min="5" max="5" width="10.44140625" style="26" customWidth="1"/>
    <col min="6" max="6" width="39.5546875" style="26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296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214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23798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26"/>
      <c r="L6" s="26"/>
      <c r="M6" s="26"/>
      <c r="N6" s="26"/>
      <c r="O6" s="26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26"/>
      <c r="L7" s="26"/>
      <c r="M7" s="26"/>
      <c r="N7" s="26"/>
      <c r="O7" s="26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284568.48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26"/>
      <c r="L8" s="26"/>
      <c r="M8" s="26"/>
      <c r="N8" s="26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20800</v>
      </c>
      <c r="C9" s="34">
        <v>200</v>
      </c>
      <c r="D9" s="39" t="s">
        <v>12</v>
      </c>
      <c r="E9" s="18"/>
      <c r="F9" s="64" t="s">
        <v>144</v>
      </c>
      <c r="G9" s="18" t="s">
        <v>297</v>
      </c>
      <c r="I9" s="22" t="s">
        <v>20</v>
      </c>
      <c r="J9" s="25" t="e">
        <f>#REF!/#REF!</f>
        <v>#REF!</v>
      </c>
      <c r="K9" s="26"/>
      <c r="L9" s="26"/>
      <c r="M9" s="26"/>
      <c r="N9" s="26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390</v>
      </c>
      <c r="C10" s="41" t="s">
        <v>15</v>
      </c>
      <c r="D10" s="39" t="s">
        <v>16</v>
      </c>
      <c r="E10" s="18"/>
      <c r="F10" s="64" t="s">
        <v>145</v>
      </c>
      <c r="G10" s="64" t="s">
        <v>298</v>
      </c>
      <c r="I10" s="22" t="s">
        <v>25</v>
      </c>
      <c r="J10" s="25" t="e">
        <f>#REF!/#REF!</f>
        <v>#REF!</v>
      </c>
      <c r="K10" s="26"/>
      <c r="L10" s="26"/>
      <c r="M10" s="26"/>
      <c r="N10" s="26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26"/>
      <c r="L11" s="26"/>
      <c r="M11" s="26"/>
      <c r="N11" s="26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26"/>
      <c r="L12" s="26"/>
      <c r="M12" s="26"/>
      <c r="N12" s="26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26"/>
      <c r="L13" s="26"/>
      <c r="M13" s="26"/>
      <c r="N13" s="26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SUBTOTAL(109,Tabla134[Contribución])</f>
        <v>#REF!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26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26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26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26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26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23798</v>
      </c>
      <c r="I22" s="10"/>
      <c r="J22" s="10"/>
      <c r="K22" s="28"/>
      <c r="L22" s="28"/>
      <c r="M22" s="28"/>
      <c r="N22" s="28"/>
      <c r="R22" s="26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26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3125.2347999999997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301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302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1125</v>
      </c>
      <c r="C32" s="39">
        <v>100</v>
      </c>
      <c r="D32" s="39" t="s">
        <v>61</v>
      </c>
      <c r="E32" s="18"/>
      <c r="F32" s="120" t="s">
        <v>1211</v>
      </c>
      <c r="G32" s="120">
        <v>30</v>
      </c>
      <c r="H32" s="26"/>
      <c r="I32" s="10"/>
      <c r="J32" s="10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ROUNDUP(B34/$G$27/$G$31,0)*$G$30</f>
        <v>340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2100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315648.71479999996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725992.04403999983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806657.82671111089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33.896034402517479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1.8946916938243419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1894.6916938243419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1894.6916938243419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806657.826711111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315648.71479999996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491009.11191111105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0.60869565217391308</v>
      </c>
      <c r="C50" s="39"/>
      <c r="D50" s="44"/>
      <c r="E50" s="39"/>
      <c r="F50" s="44"/>
      <c r="G50" s="26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0.39130434782608697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11899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12099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284568.48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1.6808135137406505E-2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80665.782671111054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396314.49747111101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806657.82671111089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disablePrompts="1"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4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296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218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16216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195404.16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14400</v>
      </c>
      <c r="C9" s="34">
        <v>200</v>
      </c>
      <c r="D9" s="39" t="s">
        <v>12</v>
      </c>
      <c r="E9" s="18"/>
      <c r="F9" s="64" t="s">
        <v>144</v>
      </c>
      <c r="G9" s="18" t="s">
        <v>297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270</v>
      </c>
      <c r="C10" s="41" t="s">
        <v>15</v>
      </c>
      <c r="D10" s="39" t="s">
        <v>16</v>
      </c>
      <c r="E10" s="18"/>
      <c r="F10" s="64" t="s">
        <v>145</v>
      </c>
      <c r="G10" s="64" t="s">
        <v>298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SUBTOTAL(109,Tabla1341525[Contribución])</f>
        <v>#REF!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16216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2158.1791000000003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301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302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768.74999999999989</v>
      </c>
      <c r="C32" s="39">
        <v>100</v>
      </c>
      <c r="D32" s="39" t="s">
        <v>61</v>
      </c>
      <c r="E32" s="18"/>
      <c r="F32" s="120" t="s">
        <v>1211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ROUNDUP(B34/$G$27/$G$31,0)*$G$30</f>
        <v>340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1435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217976.08910000001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501345.00493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557050.0054777778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34.351875029463358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1.9201718853808472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1920.1718853808472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1920.1718853808472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557050.0054777778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217976.08910000001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339073.91637777782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0.60869565217391308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0.39130434782608697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8108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8308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195404.16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2.4666995559940799E-2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55705.000547777803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273681.08964777784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557050.0054777778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5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296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232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20663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247712.63999999998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17600</v>
      </c>
      <c r="C9" s="34">
        <v>200</v>
      </c>
      <c r="D9" s="39" t="s">
        <v>12</v>
      </c>
      <c r="E9" s="18"/>
      <c r="F9" s="64" t="s">
        <v>144</v>
      </c>
      <c r="G9" s="18" t="s">
        <v>297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330</v>
      </c>
      <c r="C10" s="41" t="s">
        <v>15</v>
      </c>
      <c r="D10" s="39" t="s">
        <v>16</v>
      </c>
      <c r="E10" s="18"/>
      <c r="F10" s="64" t="s">
        <v>145</v>
      </c>
      <c r="G10" s="64" t="s">
        <v>298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SUBTOTAL(109,Tabla1341520[Contribución])</f>
        <v>#REF!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20663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2719.7764000000002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301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302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975</v>
      </c>
      <c r="C32" s="39">
        <v>100</v>
      </c>
      <c r="D32" s="39" t="s">
        <v>61</v>
      </c>
      <c r="E32" s="18"/>
      <c r="F32" s="120" t="s">
        <v>1211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ROUNDUP(B34/$G$27/$G$31,0)*$G$30</f>
        <v>340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1820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274697.41639999999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631804.05771999992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702004.50857777765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33.973987735458437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1.8990490629099182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1899.0490629099181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1899.0490629099181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702004.50857777765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274697.41639999999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427307.09217777767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0.60869565217391297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0.39130434782608703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10332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10532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247712.63999999998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1.9357336430507164E-2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70200.450857777731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344897.86725777772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702004.50857777765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6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296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234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14768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178375.67999999999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12800</v>
      </c>
      <c r="C9" s="34">
        <v>200</v>
      </c>
      <c r="D9" s="39" t="s">
        <v>12</v>
      </c>
      <c r="E9" s="18"/>
      <c r="F9" s="64" t="s">
        <v>144</v>
      </c>
      <c r="G9" s="18" t="s">
        <v>297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240</v>
      </c>
      <c r="C10" s="41" t="s">
        <v>15</v>
      </c>
      <c r="D10" s="39" t="s">
        <v>16</v>
      </c>
      <c r="E10" s="18"/>
      <c r="F10" s="64" t="s">
        <v>145</v>
      </c>
      <c r="G10" s="64" t="s">
        <v>298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SUBTOTAL(109,Tabla13415[Contribución])</f>
        <v>#REF!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14768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1967.7443000000001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301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302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693.75</v>
      </c>
      <c r="C32" s="39">
        <v>100</v>
      </c>
      <c r="D32" s="39" t="s">
        <v>61</v>
      </c>
      <c r="E32" s="18"/>
      <c r="F32" s="120" t="s">
        <v>1211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ROUNDUP(B34/$G$27/$G$31,0)*$G$30</f>
        <v>170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1295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198742.17429999998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457107.00088999991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507896.66765555541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34.391702847748874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1.9223981468836708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1922.3981468836707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1922.3981468836707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507896.66765555536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198742.17429999998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309154.49335555534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0.60869565217391286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0.39130434782608708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7384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7584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178375.67999999999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2.7085590465872156E-2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50789.666765555507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249531.84106555549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507896.66765555541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7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296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241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7552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93515.520000000004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6400</v>
      </c>
      <c r="C9" s="34">
        <v>200</v>
      </c>
      <c r="D9" s="39" t="s">
        <v>12</v>
      </c>
      <c r="E9" s="18"/>
      <c r="F9" s="64" t="s">
        <v>144</v>
      </c>
      <c r="G9" s="18" t="s">
        <v>297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120</v>
      </c>
      <c r="C10" s="41" t="s">
        <v>15</v>
      </c>
      <c r="D10" s="39" t="s">
        <v>16</v>
      </c>
      <c r="E10" s="18"/>
      <c r="F10" s="64" t="s">
        <v>145</v>
      </c>
      <c r="G10" s="64" t="s">
        <v>298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SUBTOTAL(109,Tabla134152040[Contribución])</f>
        <v>#REF!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7552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1044.2677000000001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301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302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356.25</v>
      </c>
      <c r="C32" s="39">
        <v>100</v>
      </c>
      <c r="D32" s="39" t="s">
        <v>61</v>
      </c>
      <c r="E32" s="18"/>
      <c r="F32" s="120" t="s">
        <v>1211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ROUNDUP(B34/$G$27/$G$31,0)*$G$30</f>
        <v>170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665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105471.0377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242583.38670999999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269537.09634444444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35.690823138830034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1.995015267681947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1995.0152676819471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1995.0152676819471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269537.09634444444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105471.0377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164066.05864444445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0.60869565217391308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0.39130434782608697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3776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3976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93515.520000000004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5.2966101694915252E-2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26953.709634444444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132424.74733444443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269537.09634444444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0.5086956521739131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8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296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283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7665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94856.16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8000</v>
      </c>
      <c r="C9" s="34">
        <v>200</v>
      </c>
      <c r="D9" s="39" t="s">
        <v>12</v>
      </c>
      <c r="E9" s="18"/>
      <c r="F9" s="64" t="s">
        <v>144</v>
      </c>
      <c r="G9" s="18" t="s">
        <v>297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150</v>
      </c>
      <c r="C10" s="41" t="s">
        <v>15</v>
      </c>
      <c r="D10" s="39" t="s">
        <v>16</v>
      </c>
      <c r="E10" s="18"/>
      <c r="F10" s="64" t="s">
        <v>145</v>
      </c>
      <c r="G10" s="64" t="s">
        <v>298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SUBTOTAL(109,Tabla1341535[Contribución])</f>
        <v>#REF!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7665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1074.5116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301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302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375</v>
      </c>
      <c r="C32" s="39">
        <v>100</v>
      </c>
      <c r="D32" s="39" t="s">
        <v>61</v>
      </c>
      <c r="E32" s="18"/>
      <c r="F32" s="120" t="s">
        <v>1211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ROUNDUP(B34/$G$27/$G$31,0)*$G$30</f>
        <v>170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700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108525.6716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249609.04467999999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277343.38297777774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36.183089755744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2.0225315682361096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2022.5315682361095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2022.5315682361095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277343.38297777774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108525.6716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168817.71137777774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0.60869565217391297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0.39130434782608703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3833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4033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94856.16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5.2178450300026089E-2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27734.338297777751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136260.00989777775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277343.38297777774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0.5086956521739131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9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296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247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7364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91304.639999999999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6400</v>
      </c>
      <c r="C9" s="34">
        <v>200</v>
      </c>
      <c r="D9" s="39" t="s">
        <v>12</v>
      </c>
      <c r="E9" s="18"/>
      <c r="F9" s="64" t="s">
        <v>144</v>
      </c>
      <c r="G9" s="18" t="s">
        <v>297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120</v>
      </c>
      <c r="C10" s="41" t="s">
        <v>15</v>
      </c>
      <c r="D10" s="39" t="s">
        <v>16</v>
      </c>
      <c r="E10" s="18"/>
      <c r="F10" s="64" t="s">
        <v>145</v>
      </c>
      <c r="G10" s="64" t="s">
        <v>298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SUBTOTAL(109,Tabla1341530[Contribución])</f>
        <v>#REF!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7364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1022.1589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301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302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356.25</v>
      </c>
      <c r="C32" s="39">
        <v>100</v>
      </c>
      <c r="D32" s="39" t="s">
        <v>61</v>
      </c>
      <c r="E32" s="18"/>
      <c r="F32" s="120" t="s">
        <v>1211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ROUNDUP(B34/$G$27/$G$31,0)*$G$30</f>
        <v>170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665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103238.04889999999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237447.51246999996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263830.56941111106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35.827073521335016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2.0026312756475693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2002.6312756475693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2002.6312756475693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263830.56941111106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103238.04889999999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160592.52051111107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0.60869565217391297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0.39130434782608703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3682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3882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91304.639999999999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5.4318305268875614E-2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26383.056941111106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129621.1058411111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263830.56941111106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disablePrompts="1"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0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F2+2</f>
        <v>611.6</v>
      </c>
      <c r="E2" s="1" t="s">
        <v>89</v>
      </c>
      <c r="F2" s="2">
        <v>609.6</v>
      </c>
      <c r="G2" s="1" t="s">
        <v>89</v>
      </c>
      <c r="H2" s="1" t="s">
        <v>90</v>
      </c>
    </row>
    <row r="3" spans="4:24" x14ac:dyDescent="0.25">
      <c r="D3" s="2">
        <f>F3+2</f>
        <v>510</v>
      </c>
      <c r="E3" s="1" t="s">
        <v>89</v>
      </c>
      <c r="F3" s="2">
        <v>508</v>
      </c>
      <c r="G3" s="1" t="s">
        <v>89</v>
      </c>
      <c r="H3" s="1" t="s">
        <v>91</v>
      </c>
    </row>
    <row r="4" spans="4:24" x14ac:dyDescent="0.25">
      <c r="E4" s="2"/>
      <c r="J4" s="183" t="s">
        <v>92</v>
      </c>
      <c r="K4" s="183"/>
      <c r="L4" s="183"/>
      <c r="M4" s="183"/>
      <c r="N4" s="183"/>
      <c r="O4" s="183"/>
      <c r="P4" s="183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6" t="s">
        <v>299</v>
      </c>
      <c r="J5" s="3">
        <v>1020</v>
      </c>
      <c r="K5" s="3" t="s">
        <v>95</v>
      </c>
      <c r="L5" s="2">
        <v>720</v>
      </c>
      <c r="M5" s="2"/>
      <c r="R5" s="3">
        <f>J5/2</f>
        <v>510</v>
      </c>
      <c r="S5" s="3" t="s">
        <v>95</v>
      </c>
      <c r="T5" s="2">
        <f>L5</f>
        <v>720</v>
      </c>
      <c r="U5" s="2"/>
    </row>
    <row r="6" spans="4:24" x14ac:dyDescent="0.25">
      <c r="I6" s="186"/>
      <c r="J6" s="2">
        <f>J5/$D$2</f>
        <v>1.6677567037279266</v>
      </c>
      <c r="K6" s="3" t="s">
        <v>95</v>
      </c>
      <c r="L6" s="2">
        <f>L5/$D$3</f>
        <v>1.411764705882353</v>
      </c>
      <c r="M6" s="2">
        <f>J6*L6</f>
        <v>2.354480052321779</v>
      </c>
      <c r="N6" s="1" t="s">
        <v>96</v>
      </c>
      <c r="R6" s="2">
        <f>R5/$D$2</f>
        <v>0.83387835186396331</v>
      </c>
      <c r="S6" s="3" t="s">
        <v>95</v>
      </c>
      <c r="T6" s="2">
        <f>T5/$D$3</f>
        <v>1.411764705882353</v>
      </c>
      <c r="U6" s="2">
        <f>R6*T6</f>
        <v>1.1772400261608895</v>
      </c>
      <c r="V6" s="1" t="s">
        <v>96</v>
      </c>
    </row>
    <row r="7" spans="4:24" x14ac:dyDescent="0.25">
      <c r="I7" s="186"/>
      <c r="J7" s="2">
        <f>ROUNDDOWN(J6,0)</f>
        <v>1</v>
      </c>
      <c r="K7" s="3" t="s">
        <v>95</v>
      </c>
      <c r="L7" s="2">
        <f>ROUNDDOWN(L6,0)</f>
        <v>1</v>
      </c>
      <c r="M7" s="107">
        <f>J7*L7</f>
        <v>1</v>
      </c>
      <c r="N7" s="1" t="s">
        <v>97</v>
      </c>
      <c r="O7" s="5">
        <f>M7/M6</f>
        <v>0.42472222222222222</v>
      </c>
      <c r="P7" s="1" t="s">
        <v>98</v>
      </c>
      <c r="R7" s="2">
        <f>ROUNDDOWN(R6,0)</f>
        <v>0</v>
      </c>
      <c r="S7" s="3" t="s">
        <v>95</v>
      </c>
      <c r="T7" s="2">
        <f>ROUNDDOWN(T6,0)</f>
        <v>1</v>
      </c>
      <c r="U7" s="2">
        <f>R7*T7</f>
        <v>0</v>
      </c>
      <c r="V7" s="1" t="s">
        <v>97</v>
      </c>
      <c r="W7" s="5">
        <f>U7/U6</f>
        <v>0</v>
      </c>
      <c r="X7" s="1" t="s">
        <v>98</v>
      </c>
    </row>
    <row r="8" spans="4:24" x14ac:dyDescent="0.25">
      <c r="I8" s="186"/>
      <c r="J8" s="2"/>
      <c r="K8" s="2"/>
      <c r="L8" s="2"/>
      <c r="R8" s="2"/>
      <c r="S8" s="2"/>
      <c r="T8" s="2"/>
    </row>
    <row r="9" spans="4:24" x14ac:dyDescent="0.25">
      <c r="I9" s="186"/>
      <c r="J9" s="2">
        <f>J5/$D$3</f>
        <v>2</v>
      </c>
      <c r="K9" s="3" t="s">
        <v>95</v>
      </c>
      <c r="L9" s="2">
        <f>L5/$D$2</f>
        <v>1.1772400261608895</v>
      </c>
      <c r="M9" s="2">
        <f>J9*L9</f>
        <v>2.354480052321779</v>
      </c>
      <c r="N9" s="1" t="s">
        <v>96</v>
      </c>
      <c r="R9" s="2">
        <f>R5/$D$3</f>
        <v>1</v>
      </c>
      <c r="S9" s="3" t="s">
        <v>95</v>
      </c>
      <c r="T9" s="2">
        <f>T5/$D$2</f>
        <v>1.1772400261608895</v>
      </c>
      <c r="U9" s="2">
        <f>R9*T9</f>
        <v>1.1772400261608895</v>
      </c>
      <c r="V9" s="1" t="s">
        <v>96</v>
      </c>
    </row>
    <row r="10" spans="4:24" x14ac:dyDescent="0.25">
      <c r="I10" s="186"/>
      <c r="J10" s="2">
        <f>ROUNDDOWN(J9,0)</f>
        <v>2</v>
      </c>
      <c r="K10" s="3" t="s">
        <v>95</v>
      </c>
      <c r="L10" s="2">
        <f>ROUNDDOWN(L9,0)</f>
        <v>1</v>
      </c>
      <c r="M10" s="4">
        <f>J10*L10</f>
        <v>2</v>
      </c>
      <c r="N10" s="1" t="s">
        <v>97</v>
      </c>
      <c r="O10" s="5">
        <f>M10/M9</f>
        <v>0.84944444444444445</v>
      </c>
      <c r="P10" s="1" t="s">
        <v>98</v>
      </c>
      <c r="R10" s="2">
        <f>ROUNDDOWN(R9,0)</f>
        <v>1</v>
      </c>
      <c r="S10" s="3" t="s">
        <v>95</v>
      </c>
      <c r="T10" s="2">
        <f>ROUNDDOWN(T9,0)</f>
        <v>1</v>
      </c>
      <c r="U10" s="2">
        <f>R10*T10</f>
        <v>1</v>
      </c>
      <c r="V10" s="1" t="s">
        <v>97</v>
      </c>
      <c r="W10" s="5">
        <f>U10/U9</f>
        <v>0.84944444444444445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611.6</v>
      </c>
      <c r="L12" s="1">
        <f>L7*D3</f>
        <v>510</v>
      </c>
      <c r="O12" s="7">
        <f>J5*L5</f>
        <v>734400</v>
      </c>
      <c r="P12" s="1" t="s">
        <v>99</v>
      </c>
      <c r="R12" s="6">
        <f>$D$3*1</f>
        <v>510</v>
      </c>
      <c r="T12" s="6">
        <f>$D$2*1</f>
        <v>611.6</v>
      </c>
    </row>
    <row r="13" spans="4:24" x14ac:dyDescent="0.25">
      <c r="O13" s="7">
        <f>(J16*L5)+(L16*J5)</f>
        <v>484128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J5-J12+2</f>
        <v>410.4</v>
      </c>
      <c r="L14" s="6">
        <f>L5-L12+2</f>
        <v>212</v>
      </c>
      <c r="O14" s="62">
        <f>O13/O12</f>
        <v>0.65921568627450977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0.34078431372549023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400.4</v>
      </c>
      <c r="L16" s="1">
        <f>L14-L15</f>
        <v>192</v>
      </c>
      <c r="O16" s="7"/>
      <c r="R16" s="6"/>
      <c r="T16" s="6"/>
    </row>
    <row r="17" spans="10:20" x14ac:dyDescent="0.25">
      <c r="J17" s="6"/>
      <c r="L17" s="6"/>
      <c r="R17" s="6">
        <f>$D$3*2</f>
        <v>1020</v>
      </c>
      <c r="T17" s="6">
        <f>$D$2*2</f>
        <v>1223.2</v>
      </c>
    </row>
    <row r="18" spans="10:20" x14ac:dyDescent="0.25">
      <c r="R18" s="6">
        <f>$D$3*3</f>
        <v>1530</v>
      </c>
      <c r="T18" s="6">
        <f>$D$2*3</f>
        <v>1834.8000000000002</v>
      </c>
    </row>
    <row r="19" spans="10:20" x14ac:dyDescent="0.25">
      <c r="R19" s="6">
        <f>$D$3*4</f>
        <v>2040</v>
      </c>
      <c r="T19" s="6">
        <f>$D$2*4</f>
        <v>2446.4</v>
      </c>
    </row>
    <row r="20" spans="10:20" x14ac:dyDescent="0.25">
      <c r="R20" s="6">
        <f>R5-R19</f>
        <v>-1530</v>
      </c>
      <c r="T20" s="6">
        <f>T5-T19</f>
        <v>-1726.4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1.4715500327011117</v>
      </c>
      <c r="K36" s="3" t="s">
        <v>95</v>
      </c>
      <c r="L36" s="2">
        <f>L35/$D$3</f>
        <v>1.196078431372549</v>
      </c>
      <c r="M36" s="2">
        <f>J36*L36</f>
        <v>1.760089254799369</v>
      </c>
      <c r="N36" s="1" t="s">
        <v>96</v>
      </c>
      <c r="R36" s="2">
        <f>R35/$D$2</f>
        <v>0.73577501635055587</v>
      </c>
      <c r="S36" s="3" t="s">
        <v>95</v>
      </c>
      <c r="T36" s="2">
        <f>T35/$D$3</f>
        <v>1.196078431372549</v>
      </c>
      <c r="U36" s="2">
        <f>R36*T36</f>
        <v>0.88004462739968448</v>
      </c>
      <c r="V36" s="1" t="s">
        <v>96</v>
      </c>
    </row>
    <row r="37" spans="9:24" x14ac:dyDescent="0.25">
      <c r="I37" s="186"/>
      <c r="J37" s="2">
        <f>ROUNDDOWN(J36,0)</f>
        <v>1</v>
      </c>
      <c r="K37" s="3" t="s">
        <v>95</v>
      </c>
      <c r="L37" s="2">
        <f>ROUNDDOWN(L36,0)</f>
        <v>1</v>
      </c>
      <c r="M37" s="2">
        <f>J37*L37</f>
        <v>1</v>
      </c>
      <c r="N37" s="1" t="s">
        <v>97</v>
      </c>
      <c r="O37" s="5">
        <f>M37/M36</f>
        <v>0.56815300546448089</v>
      </c>
      <c r="P37" s="1" t="s">
        <v>98</v>
      </c>
      <c r="R37" s="2">
        <f>ROUNDDOWN(R36,0)</f>
        <v>0</v>
      </c>
      <c r="S37" s="3" t="s">
        <v>95</v>
      </c>
      <c r="T37" s="2">
        <f>ROUNDDOWN(T36,0)</f>
        <v>1</v>
      </c>
      <c r="U37" s="2">
        <f>R37*T37</f>
        <v>0</v>
      </c>
      <c r="V37" s="1" t="s">
        <v>97</v>
      </c>
      <c r="W37" s="5">
        <f>U37/U36</f>
        <v>0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1.7647058823529411</v>
      </c>
      <c r="K39" s="3" t="s">
        <v>95</v>
      </c>
      <c r="L39" s="2">
        <f>L35/$D$2</f>
        <v>0.99738391105297575</v>
      </c>
      <c r="M39" s="2">
        <f>J39*L39</f>
        <v>1.760089254799369</v>
      </c>
      <c r="N39" s="1" t="s">
        <v>96</v>
      </c>
      <c r="R39" s="2">
        <f>R35/$D$3</f>
        <v>0.88235294117647056</v>
      </c>
      <c r="S39" s="3" t="s">
        <v>95</v>
      </c>
      <c r="T39" s="2">
        <f>T35/$D$2</f>
        <v>0.99738391105297575</v>
      </c>
      <c r="U39" s="2">
        <f>R39*T39</f>
        <v>0.88004462739968448</v>
      </c>
      <c r="V39" s="1" t="s">
        <v>96</v>
      </c>
    </row>
    <row r="40" spans="9:24" x14ac:dyDescent="0.25">
      <c r="I40" s="186"/>
      <c r="J40" s="2">
        <f>ROUNDDOWN(J39,0)</f>
        <v>1</v>
      </c>
      <c r="K40" s="3" t="s">
        <v>95</v>
      </c>
      <c r="L40" s="2">
        <f>ROUNDDOWN(L39,0)</f>
        <v>0</v>
      </c>
      <c r="M40" s="2">
        <f>J40*L40</f>
        <v>0</v>
      </c>
      <c r="N40" s="1" t="s">
        <v>97</v>
      </c>
      <c r="O40" s="5">
        <f>M40/M39</f>
        <v>0</v>
      </c>
      <c r="P40" s="1" t="s">
        <v>98</v>
      </c>
      <c r="R40" s="2">
        <f>ROUNDDOWN(R39,0)</f>
        <v>0</v>
      </c>
      <c r="S40" s="3" t="s">
        <v>95</v>
      </c>
      <c r="T40" s="2">
        <f>ROUNDDOWN(T39,0)</f>
        <v>0</v>
      </c>
      <c r="U40" s="2">
        <f>R40*T40</f>
        <v>0</v>
      </c>
      <c r="V40" s="1" t="s">
        <v>97</v>
      </c>
      <c r="W40" s="5">
        <f>U40/U39</f>
        <v>0</v>
      </c>
      <c r="X40" s="1" t="s">
        <v>98</v>
      </c>
    </row>
    <row r="42" spans="9:24" x14ac:dyDescent="0.25">
      <c r="J42" s="6">
        <f>$D$2*1</f>
        <v>611.6</v>
      </c>
      <c r="L42" s="6">
        <f>$D$3*1</f>
        <v>510</v>
      </c>
      <c r="O42" s="7"/>
      <c r="R42" s="6">
        <f>$D$3*1</f>
        <v>510</v>
      </c>
      <c r="T42" s="6">
        <f>$D$2*1</f>
        <v>611.6</v>
      </c>
    </row>
    <row r="43" spans="9:24" x14ac:dyDescent="0.25">
      <c r="J43" s="6">
        <f>$D$2*2</f>
        <v>1223.2</v>
      </c>
      <c r="L43" s="6">
        <f>$D$3*2</f>
        <v>1020</v>
      </c>
      <c r="O43" s="7"/>
      <c r="R43" s="6"/>
      <c r="T43" s="6">
        <f>$D$2*2</f>
        <v>1223.2</v>
      </c>
    </row>
    <row r="44" spans="9:24" x14ac:dyDescent="0.25">
      <c r="J44" s="6">
        <f>$D$2*3</f>
        <v>1834.8000000000002</v>
      </c>
      <c r="L44" s="6">
        <f>$D$3*3</f>
        <v>1530</v>
      </c>
      <c r="O44" s="8"/>
    </row>
    <row r="45" spans="9:24" x14ac:dyDescent="0.25">
      <c r="J45" s="6">
        <f>$D$2*4</f>
        <v>2446.4</v>
      </c>
      <c r="L45" s="6">
        <f>$D$3*4</f>
        <v>2040</v>
      </c>
      <c r="O45" s="8"/>
      <c r="R45" s="6">
        <f>R35-R42</f>
        <v>-60</v>
      </c>
      <c r="T45" s="6">
        <f>T35-T43</f>
        <v>-613.20000000000005</v>
      </c>
    </row>
    <row r="46" spans="9:24" x14ac:dyDescent="0.25">
      <c r="J46" s="6">
        <f>$D$2*5</f>
        <v>3058</v>
      </c>
      <c r="L46" s="6">
        <f>$D$3*5</f>
        <v>2550</v>
      </c>
    </row>
    <row r="47" spans="9:24" x14ac:dyDescent="0.25">
      <c r="J47" s="6"/>
      <c r="L47" s="6">
        <f>$D$3*6</f>
        <v>3060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-2158</v>
      </c>
      <c r="L50" s="6">
        <f>L35-L47</f>
        <v>-2450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-2168</v>
      </c>
      <c r="L52" s="6">
        <f>L50-L51</f>
        <v>-2475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7" t="s">
        <v>92</v>
      </c>
      <c r="K57" s="187"/>
      <c r="L57" s="187"/>
      <c r="M57" s="187"/>
      <c r="N57" s="187"/>
      <c r="O57" s="187"/>
      <c r="P57" s="187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8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8"/>
      <c r="J59" s="4">
        <f>J58/$D$2</f>
        <v>1.5533028122956181</v>
      </c>
      <c r="K59" s="102" t="s">
        <v>95</v>
      </c>
      <c r="L59" s="4">
        <f>L58/$D$3</f>
        <v>1.3725490196078431</v>
      </c>
      <c r="M59" s="4">
        <f>J59*L59</f>
        <v>2.1319842521704562</v>
      </c>
      <c r="N59" s="101" t="s">
        <v>96</v>
      </c>
      <c r="O59" s="101"/>
      <c r="P59" s="101"/>
      <c r="R59" s="2">
        <f>R58/$D$2</f>
        <v>0.77665140614780903</v>
      </c>
      <c r="S59" s="3" t="s">
        <v>95</v>
      </c>
      <c r="T59" s="2">
        <f>T58/$D$3</f>
        <v>1.3725490196078431</v>
      </c>
      <c r="U59" s="2">
        <f>R59*T59</f>
        <v>1.0659921260852281</v>
      </c>
      <c r="V59" s="1" t="s">
        <v>96</v>
      </c>
      <c r="Z59" s="2"/>
      <c r="AA59" s="3"/>
      <c r="AB59" s="2"/>
      <c r="AC59" s="2"/>
    </row>
    <row r="60" spans="9:32" x14ac:dyDescent="0.25">
      <c r="I60" s="188"/>
      <c r="J60" s="4">
        <f>ROUNDDOWN(J59,0)</f>
        <v>1</v>
      </c>
      <c r="K60" s="102" t="s">
        <v>95</v>
      </c>
      <c r="L60" s="4">
        <f>ROUNDDOWN(L59,0)</f>
        <v>1</v>
      </c>
      <c r="M60" s="4">
        <f>J60*L60</f>
        <v>1</v>
      </c>
      <c r="N60" s="101" t="s">
        <v>97</v>
      </c>
      <c r="O60" s="103">
        <f>M60/M59</f>
        <v>0.46904661654135338</v>
      </c>
      <c r="P60" s="101" t="s">
        <v>98</v>
      </c>
      <c r="R60" s="2">
        <f>ROUNDDOWN(R59,0)</f>
        <v>0</v>
      </c>
      <c r="S60" s="3" t="s">
        <v>95</v>
      </c>
      <c r="T60" s="2">
        <f>ROUNDDOWN(T59,0)</f>
        <v>1</v>
      </c>
      <c r="U60" s="2">
        <f>R60*T60</f>
        <v>0</v>
      </c>
      <c r="V60" s="1" t="s">
        <v>97</v>
      </c>
      <c r="W60" s="9">
        <f>U60/U59</f>
        <v>0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8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8"/>
      <c r="J62" s="4">
        <f>J58/$D$3</f>
        <v>1.8627450980392157</v>
      </c>
      <c r="K62" s="102" t="s">
        <v>95</v>
      </c>
      <c r="L62" s="4">
        <f>L58/$D$2</f>
        <v>1.1445389143230869</v>
      </c>
      <c r="M62" s="4">
        <f>J62*L62</f>
        <v>2.1319842521704562</v>
      </c>
      <c r="N62" s="101" t="s">
        <v>96</v>
      </c>
      <c r="O62" s="101"/>
      <c r="P62" s="101"/>
      <c r="R62" s="2">
        <f>R58/$D$3</f>
        <v>0.93137254901960786</v>
      </c>
      <c r="S62" s="3" t="s">
        <v>95</v>
      </c>
      <c r="T62" s="2">
        <f>T58/$D$2</f>
        <v>1.1445389143230869</v>
      </c>
      <c r="U62" s="2">
        <f>R62*T62</f>
        <v>1.0659921260852281</v>
      </c>
      <c r="V62" s="1" t="s">
        <v>96</v>
      </c>
      <c r="Z62" s="2"/>
      <c r="AA62" s="3"/>
      <c r="AB62" s="2"/>
      <c r="AC62" s="2"/>
    </row>
    <row r="63" spans="9:32" x14ac:dyDescent="0.25">
      <c r="I63" s="188"/>
      <c r="J63" s="4">
        <f>ROUNDDOWN(J62,0)</f>
        <v>1</v>
      </c>
      <c r="K63" s="102" t="s">
        <v>95</v>
      </c>
      <c r="L63" s="4">
        <f>ROUNDDOWN(L62,0)</f>
        <v>1</v>
      </c>
      <c r="M63" s="4">
        <f>J63*L63</f>
        <v>1</v>
      </c>
      <c r="N63" s="101" t="s">
        <v>97</v>
      </c>
      <c r="O63" s="103">
        <f>M63/M62</f>
        <v>0.46904661654135338</v>
      </c>
      <c r="P63" s="101" t="s">
        <v>98</v>
      </c>
      <c r="R63" s="2">
        <f>ROUNDDOWN(R62,0)</f>
        <v>0</v>
      </c>
      <c r="S63" s="3" t="s">
        <v>95</v>
      </c>
      <c r="T63" s="2">
        <f>ROUNDDOWN(T62,0)</f>
        <v>1</v>
      </c>
      <c r="U63" s="2">
        <f>R63*T63</f>
        <v>0</v>
      </c>
      <c r="V63" s="1" t="s">
        <v>97</v>
      </c>
      <c r="W63" s="9">
        <f>U63/U62</f>
        <v>0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311916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0.46904661654135338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611.6</v>
      </c>
      <c r="K68" s="101"/>
      <c r="L68" s="105">
        <f>D3*L60</f>
        <v>510</v>
      </c>
      <c r="M68" s="101"/>
      <c r="N68" s="101"/>
      <c r="O68" s="63">
        <f>100%-O67</f>
        <v>0.53095338345864662</v>
      </c>
      <c r="P68" s="101" t="s">
        <v>98</v>
      </c>
      <c r="R68" s="6">
        <f>$D$3*1</f>
        <v>510</v>
      </c>
      <c r="T68" s="6">
        <f>$D$2*1</f>
        <v>611.6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1020</v>
      </c>
      <c r="T69" s="6">
        <f>$D$2*2</f>
        <v>1223.2</v>
      </c>
      <c r="W69" s="7">
        <f>(R78*T58)+(T78*R58)</f>
        <v>-2591300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1530</v>
      </c>
      <c r="T70" s="1">
        <f>$D$2*3</f>
        <v>1834.8000000000002</v>
      </c>
      <c r="W70" s="62">
        <f>W69/W68</f>
        <v>-7.7933834586466162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2040</v>
      </c>
      <c r="T71" s="1">
        <f>$D$2*4</f>
        <v>2446.4</v>
      </c>
      <c r="W71" s="62">
        <f>100%-W70</f>
        <v>8.7933834586466162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2550</v>
      </c>
      <c r="T72" s="1">
        <f>$D$2*5</f>
        <v>3058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-2075</v>
      </c>
      <c r="T76" s="6">
        <f>T58-T72</f>
        <v>-2358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-2095</v>
      </c>
      <c r="T78" s="6">
        <f>T76-T77</f>
        <v>-2368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1.5369522563767168</v>
      </c>
      <c r="K88" s="3" t="s">
        <v>95</v>
      </c>
      <c r="L88" s="2">
        <f>L87/$D$3</f>
        <v>1.2549019607843137</v>
      </c>
      <c r="M88" s="2">
        <f>J88*L88</f>
        <v>1.9287244001590171</v>
      </c>
      <c r="N88" s="1" t="s">
        <v>96</v>
      </c>
      <c r="R88" s="2">
        <f>R87/$D$2</f>
        <v>0.76847612818835842</v>
      </c>
      <c r="S88" s="3" t="s">
        <v>95</v>
      </c>
      <c r="T88" s="2">
        <f>T87/$D$3</f>
        <v>1.2549019607843137</v>
      </c>
      <c r="U88" s="2">
        <f>R88*T88</f>
        <v>0.96436220007950857</v>
      </c>
      <c r="V88" s="1" t="s">
        <v>96</v>
      </c>
    </row>
    <row r="89" spans="9:32" x14ac:dyDescent="0.25">
      <c r="J89" s="2">
        <f>ROUNDDOWN(J88,0)</f>
        <v>1</v>
      </c>
      <c r="K89" s="3" t="s">
        <v>95</v>
      </c>
      <c r="L89" s="2">
        <f>ROUNDDOWN(L88,0)</f>
        <v>1</v>
      </c>
      <c r="M89" s="2">
        <f>J89*L89</f>
        <v>1</v>
      </c>
      <c r="N89" s="1" t="s">
        <v>97</v>
      </c>
      <c r="O89" s="9">
        <f>M89/M88</f>
        <v>0.51847739361702128</v>
      </c>
      <c r="P89" s="1" t="s">
        <v>98</v>
      </c>
      <c r="R89" s="2">
        <f>ROUNDDOWN(R88,0)</f>
        <v>0</v>
      </c>
      <c r="S89" s="3" t="s">
        <v>95</v>
      </c>
      <c r="T89" s="2">
        <f>ROUNDDOWN(T88,0)</f>
        <v>1</v>
      </c>
      <c r="U89" s="2">
        <f>R89*T89</f>
        <v>0</v>
      </c>
      <c r="V89" s="1" t="s">
        <v>97</v>
      </c>
      <c r="W89" s="9">
        <f>U89/U88</f>
        <v>0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1.8431372549019607</v>
      </c>
      <c r="K91" s="3" t="s">
        <v>95</v>
      </c>
      <c r="L91" s="2">
        <f>L87/$D$2</f>
        <v>1.0464355788096795</v>
      </c>
      <c r="M91" s="2">
        <f>J91*L91</f>
        <v>1.9287244001590171</v>
      </c>
      <c r="N91" s="1" t="s">
        <v>96</v>
      </c>
      <c r="R91" s="2">
        <f>R87/$D$3</f>
        <v>0.92156862745098034</v>
      </c>
      <c r="S91" s="3" t="s">
        <v>95</v>
      </c>
      <c r="T91" s="2">
        <f>T87/$D$2</f>
        <v>1.0464355788096795</v>
      </c>
      <c r="U91" s="2">
        <f>R91*T91</f>
        <v>0.96436220007950857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1</v>
      </c>
      <c r="K92" s="3" t="s">
        <v>95</v>
      </c>
      <c r="L92" s="2">
        <f>ROUNDDOWN(L91,0)</f>
        <v>1</v>
      </c>
      <c r="M92" s="2">
        <f>J92*L92</f>
        <v>1</v>
      </c>
      <c r="N92" s="1" t="s">
        <v>97</v>
      </c>
      <c r="O92" s="9">
        <f>M92/M91</f>
        <v>0.51847739361702128</v>
      </c>
      <c r="P92" s="1" t="s">
        <v>98</v>
      </c>
      <c r="R92" s="2">
        <f>ROUNDDOWN(R91,0)</f>
        <v>0</v>
      </c>
      <c r="S92" s="3" t="s">
        <v>95</v>
      </c>
      <c r="T92" s="2">
        <f>ROUNDDOWN(T91,0)</f>
        <v>1</v>
      </c>
      <c r="U92" s="2">
        <f>R92*T92</f>
        <v>0</v>
      </c>
      <c r="V92" s="1" t="s">
        <v>97</v>
      </c>
      <c r="W92" s="9">
        <f>U92/U91</f>
        <v>0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510</v>
      </c>
      <c r="L97" s="6">
        <f>$D$2*1</f>
        <v>611.6</v>
      </c>
      <c r="O97" s="7">
        <f>J87*L87</f>
        <v>601600</v>
      </c>
      <c r="P97" s="1" t="s">
        <v>99</v>
      </c>
      <c r="R97" s="6">
        <f>$D$3*1</f>
        <v>510</v>
      </c>
      <c r="T97" s="6">
        <f>$D$2*1</f>
        <v>611.6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1020</v>
      </c>
      <c r="L98" s="6">
        <f>$D$2*2</f>
        <v>1223.2</v>
      </c>
      <c r="O98" s="7">
        <f>(J107*L87)+(L107*J87)</f>
        <v>-2402016</v>
      </c>
      <c r="P98" s="1" t="s">
        <v>100</v>
      </c>
      <c r="R98" s="6">
        <f>$D$3*2</f>
        <v>1020</v>
      </c>
      <c r="T98" s="6">
        <f>$D$2*2</f>
        <v>1223.2</v>
      </c>
      <c r="W98" s="7">
        <f>(R107*T87)+(T107*R87)</f>
        <v>-2485160</v>
      </c>
      <c r="X98" s="1" t="s">
        <v>100</v>
      </c>
      <c r="Z98" s="6"/>
      <c r="AB98" s="6"/>
    </row>
    <row r="99" spans="9:28" x14ac:dyDescent="0.25">
      <c r="J99" s="6">
        <f>$D$3*3</f>
        <v>1530</v>
      </c>
      <c r="L99" s="6">
        <f>$D$2*3</f>
        <v>1834.8000000000002</v>
      </c>
      <c r="O99" s="62">
        <f>O98/O97</f>
        <v>-3.9927127659574468</v>
      </c>
      <c r="P99" s="1" t="s">
        <v>101</v>
      </c>
      <c r="R99" s="6">
        <f>$D$3*3</f>
        <v>1530</v>
      </c>
      <c r="T99" s="6">
        <f>$D$2*3</f>
        <v>1834.8000000000002</v>
      </c>
      <c r="W99" s="62">
        <f>W98/W97</f>
        <v>-8.2618351063829785</v>
      </c>
      <c r="X99" s="1" t="s">
        <v>101</v>
      </c>
      <c r="Z99" s="6"/>
      <c r="AB99" s="6"/>
    </row>
    <row r="100" spans="9:28" x14ac:dyDescent="0.25">
      <c r="J100" s="6">
        <f>$D$3*4</f>
        <v>2040</v>
      </c>
      <c r="L100" s="6">
        <f>$D$2*4</f>
        <v>2446.4</v>
      </c>
      <c r="O100" s="62">
        <f>100%-O99</f>
        <v>4.9927127659574468</v>
      </c>
      <c r="P100" s="1" t="s">
        <v>98</v>
      </c>
      <c r="R100" s="6">
        <f>$D$3*4</f>
        <v>2040</v>
      </c>
      <c r="T100" s="6">
        <f>$D$2*4</f>
        <v>2446.4</v>
      </c>
      <c r="W100" s="62">
        <f>100%-W99</f>
        <v>9.2618351063829785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2550</v>
      </c>
      <c r="T101" s="6">
        <f>$D$2*5</f>
        <v>3058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-1100</v>
      </c>
      <c r="L105" s="6">
        <f>L87-L100</f>
        <v>-1806.4</v>
      </c>
      <c r="Q105" s="1" t="s">
        <v>102</v>
      </c>
      <c r="R105" s="1">
        <f>R87-R101</f>
        <v>-2080</v>
      </c>
      <c r="T105" s="1">
        <f>T87-T101</f>
        <v>-2418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-1100</v>
      </c>
      <c r="L107" s="1">
        <f>L105-L106</f>
        <v>-1806.4</v>
      </c>
      <c r="Q107" s="1" t="s">
        <v>104</v>
      </c>
      <c r="R107" s="1">
        <f>R105-R106</f>
        <v>-2100</v>
      </c>
      <c r="T107" s="1">
        <f>T105-T106</f>
        <v>-2428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J86:P86"/>
    <mergeCell ref="J81:P81"/>
    <mergeCell ref="R81:X81"/>
    <mergeCell ref="Z81:AF81"/>
    <mergeCell ref="R86:X86"/>
    <mergeCell ref="I82:I87"/>
    <mergeCell ref="J108:P108"/>
    <mergeCell ref="I109:I114"/>
    <mergeCell ref="J132:P132"/>
    <mergeCell ref="D1:E1"/>
    <mergeCell ref="F1:G1"/>
    <mergeCell ref="J4:P4"/>
    <mergeCell ref="R4:X4"/>
    <mergeCell ref="I5:I10"/>
    <mergeCell ref="Z57:AF57"/>
    <mergeCell ref="I58:I63"/>
    <mergeCell ref="J34:P34"/>
    <mergeCell ref="R34:X34"/>
    <mergeCell ref="I35:I40"/>
    <mergeCell ref="J57:P57"/>
    <mergeCell ref="R57:X57"/>
  </mergeCells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1.4583333333333333</v>
      </c>
      <c r="D2" s="100">
        <f t="shared" ref="D2" si="0">D$4/$B$3</f>
        <v>0.95833333333333337</v>
      </c>
      <c r="E2" s="11">
        <f>E$4/$B$3</f>
        <v>0.83333333333333326</v>
      </c>
      <c r="H2" s="12">
        <f>H$4/$B$3</f>
        <v>-0.54166666666666674</v>
      </c>
      <c r="I2" s="11">
        <f>I$4/$B$3</f>
        <v>0.95833333333333337</v>
      </c>
      <c r="J2" s="11">
        <f>J$4/$B$3</f>
        <v>-0.83333333333333326</v>
      </c>
    </row>
    <row r="3" spans="2:13" x14ac:dyDescent="0.3">
      <c r="B3" s="13">
        <f>'Acomodo Familia C1'!F2/2</f>
        <v>304.8</v>
      </c>
      <c r="C3" s="10" t="s">
        <v>106</v>
      </c>
      <c r="D3" s="10" t="s">
        <v>107</v>
      </c>
      <c r="E3" s="10" t="s">
        <v>108</v>
      </c>
      <c r="G3" s="13">
        <f>B3</f>
        <v>304.8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-165.10000000000002</v>
      </c>
      <c r="I4" s="14">
        <v>292.10000000000002</v>
      </c>
      <c r="J4" s="14">
        <f>254-B5</f>
        <v>-254</v>
      </c>
    </row>
    <row r="5" spans="2:13" x14ac:dyDescent="0.3">
      <c r="B5" s="13">
        <f>'Acomodo Familia C1'!F3</f>
        <v>508</v>
      </c>
      <c r="C5" s="10" t="s">
        <v>106</v>
      </c>
      <c r="D5" s="10" t="s">
        <v>107</v>
      </c>
      <c r="E5" s="10" t="s">
        <v>108</v>
      </c>
      <c r="G5" s="13">
        <f>B5</f>
        <v>508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0.875</v>
      </c>
      <c r="D6" s="11">
        <f>D$4/$B$5</f>
        <v>0.57500000000000007</v>
      </c>
      <c r="E6" s="12">
        <f>E$4/$B$5</f>
        <v>0.5</v>
      </c>
      <c r="H6" s="11">
        <f>H$4/$B$5</f>
        <v>-0.32500000000000007</v>
      </c>
      <c r="I6" s="11">
        <f>I$4/$B$5</f>
        <v>0.57500000000000007</v>
      </c>
      <c r="J6" s="12">
        <f>J$4/$B$5</f>
        <v>-0.5</v>
      </c>
    </row>
    <row r="7" spans="2:13" x14ac:dyDescent="0.3">
      <c r="M7" s="122" t="s">
        <v>300</v>
      </c>
    </row>
    <row r="8" spans="2:13" x14ac:dyDescent="0.3">
      <c r="C8" s="11">
        <f>ROUNDDOWN(C2,0)</f>
        <v>1</v>
      </c>
      <c r="D8" s="15">
        <f>ROUNDDOWN(D6,0)</f>
        <v>0</v>
      </c>
      <c r="E8" s="15">
        <f>E4/2</f>
        <v>127</v>
      </c>
      <c r="F8" s="16">
        <f>PRODUCT(C8:E8)</f>
        <v>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v>400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0">
    <tabColor theme="7" tint="0.79998168889431442"/>
  </sheetPr>
  <dimension ref="A1:XEW65"/>
  <sheetViews>
    <sheetView workbookViewId="0">
      <selection activeCell="B40" sqref="B40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332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264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206832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8.4633867432978762E-3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5.3954090488523964E-3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62501.417999999998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1.8725243169546553E-2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1.6265571397275604E-2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3.0362399941581134E-2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0.24966990892728738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0.66121709067314915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D1'!M10*2</f>
        <v>8</v>
      </c>
      <c r="H15" s="20"/>
      <c r="I15" s="22" t="s">
        <v>38</v>
      </c>
      <c r="J15" s="128">
        <f>SUBTOTAL(109,Tabla1341530507075100110115130145200[Contribución])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8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935.88918000000012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1537.4999999999998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510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D1'!$M$8,0)*$G$28</f>
        <v>2870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94524.807180000003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141787.21077000001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157541.34530000002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0.76168748211108539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4.2576158865907508E-2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42.576158865907509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42.576158865907509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157541.34530000002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94524.807180000003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63016.538120000012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51708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6650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58358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62501.417999999998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0.12860679198576622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15754.13453000001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110278.94171000001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157541.34530000002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1">
    <tabColor theme="7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431.79999999999995</v>
      </c>
      <c r="E3" s="1" t="s">
        <v>89</v>
      </c>
      <c r="F3" s="2">
        <f>17*25.4</f>
        <v>431.79999999999995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3.1138153185397281</v>
      </c>
      <c r="K6" s="123" t="s">
        <v>95</v>
      </c>
      <c r="L6" s="124">
        <f>L5/$D$3</f>
        <v>1.3200555812876333</v>
      </c>
      <c r="M6" s="124">
        <f>J6*L6</f>
        <v>4.110409290337298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1.3200555812876333</v>
      </c>
      <c r="U6" s="2">
        <f>R6*T6</f>
        <v>2.055204645168649</v>
      </c>
      <c r="V6" s="1" t="s">
        <v>96</v>
      </c>
    </row>
    <row r="7" spans="4:24" x14ac:dyDescent="0.25">
      <c r="I7" s="185"/>
      <c r="J7" s="124">
        <f>ROUNDDOWN(J6,0)</f>
        <v>3</v>
      </c>
      <c r="K7" s="123" t="s">
        <v>95</v>
      </c>
      <c r="L7" s="124">
        <f>ROUNDDOWN(L6,0)</f>
        <v>1</v>
      </c>
      <c r="M7" s="124">
        <f>J7*L7</f>
        <v>3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1</v>
      </c>
      <c r="U7" s="2">
        <f>R7*T7</f>
        <v>1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2.0148216767021769</v>
      </c>
      <c r="K9" s="123" t="s">
        <v>95</v>
      </c>
      <c r="L9" s="124">
        <f>L5/$D$2</f>
        <v>2.040085898353615</v>
      </c>
      <c r="M9" s="124">
        <f>J9*L9</f>
        <v>4.1104092903372971</v>
      </c>
      <c r="N9" s="90" t="s">
        <v>96</v>
      </c>
      <c r="O9" s="90"/>
      <c r="P9" s="90"/>
      <c r="R9" s="2">
        <f>R5/$D$3</f>
        <v>1.0074108383510885</v>
      </c>
      <c r="S9" s="3" t="s">
        <v>95</v>
      </c>
      <c r="T9" s="2">
        <f>T5/$D$2</f>
        <v>2.040085898353615</v>
      </c>
      <c r="U9" s="2">
        <f>R9*T9</f>
        <v>2.0552046451686485</v>
      </c>
      <c r="V9" s="1" t="s">
        <v>96</v>
      </c>
    </row>
    <row r="10" spans="4:24" x14ac:dyDescent="0.25">
      <c r="I10" s="185"/>
      <c r="J10" s="124">
        <f>ROUNDDOWN(J9,0)</f>
        <v>2</v>
      </c>
      <c r="K10" s="123" t="s">
        <v>95</v>
      </c>
      <c r="L10" s="124">
        <f>ROUNDDOWN(L9,0)</f>
        <v>2</v>
      </c>
      <c r="M10" s="124">
        <f>J10*L10</f>
        <v>4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1</v>
      </c>
      <c r="S10" s="3" t="s">
        <v>95</v>
      </c>
      <c r="T10" s="2">
        <f>ROUNDDOWN(T9,0)</f>
        <v>2</v>
      </c>
      <c r="U10" s="2">
        <f>R10*T10</f>
        <v>2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431.79999999999995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863.59999999999991</v>
      </c>
      <c r="T17" s="6">
        <f>$D$2*2</f>
        <v>558.79999999999995</v>
      </c>
    </row>
    <row r="18" spans="9:20" x14ac:dyDescent="0.25">
      <c r="R18" s="6">
        <f>$D$3*3</f>
        <v>1295.3999999999999</v>
      </c>
      <c r="T18" s="6">
        <f>$D$2*3</f>
        <v>838.19999999999993</v>
      </c>
    </row>
    <row r="19" spans="9:20" x14ac:dyDescent="0.25">
      <c r="R19" s="6">
        <f>$D$3*4</f>
        <v>1727.1999999999998</v>
      </c>
      <c r="T19" s="6">
        <f>$D$2*4</f>
        <v>1117.5999999999999</v>
      </c>
    </row>
    <row r="20" spans="9:20" x14ac:dyDescent="0.25">
      <c r="R20" s="6">
        <f>R5-R19</f>
        <v>-1292.1999999999998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3.2211882605583395</v>
      </c>
      <c r="K36" s="3" t="s">
        <v>95</v>
      </c>
      <c r="L36" s="2">
        <f>L35/$D$3</f>
        <v>1.4126910606762391</v>
      </c>
      <c r="M36" s="2">
        <f>J36*L36</f>
        <v>4.5505438604460098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1.4126910606762391</v>
      </c>
      <c r="U36" s="2">
        <f>R36*T36</f>
        <v>2.2752719302230049</v>
      </c>
      <c r="V36" s="1" t="s">
        <v>96</v>
      </c>
    </row>
    <row r="37" spans="9:24" x14ac:dyDescent="0.25">
      <c r="I37" s="186"/>
      <c r="J37" s="2">
        <f>ROUNDDOWN(J36,0)</f>
        <v>3</v>
      </c>
      <c r="K37" s="3" t="s">
        <v>95</v>
      </c>
      <c r="L37" s="2">
        <f>ROUNDDOWN(L36,0)</f>
        <v>1</v>
      </c>
      <c r="M37" s="2">
        <f>J37*L37</f>
        <v>3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1</v>
      </c>
      <c r="U37" s="2">
        <f>R37*T37</f>
        <v>1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2.0842982862436314</v>
      </c>
      <c r="K39" s="3" t="s">
        <v>95</v>
      </c>
      <c r="L39" s="2">
        <f>L35/$D$2</f>
        <v>2.1832498210450968</v>
      </c>
      <c r="M39" s="2">
        <f>J39*L39</f>
        <v>4.5505438604460107</v>
      </c>
      <c r="N39" s="1" t="s">
        <v>96</v>
      </c>
      <c r="R39" s="2">
        <f>R35/$D$3</f>
        <v>1.0421491431218157</v>
      </c>
      <c r="S39" s="3" t="s">
        <v>95</v>
      </c>
      <c r="T39" s="2">
        <f>T35/$D$2</f>
        <v>2.1832498210450968</v>
      </c>
      <c r="U39" s="2">
        <f>R39*T39</f>
        <v>2.2752719302230053</v>
      </c>
      <c r="V39" s="1" t="s">
        <v>96</v>
      </c>
    </row>
    <row r="40" spans="9:24" x14ac:dyDescent="0.25">
      <c r="I40" s="186"/>
      <c r="J40" s="2">
        <f>ROUNDDOWN(J39,0)</f>
        <v>2</v>
      </c>
      <c r="K40" s="3" t="s">
        <v>95</v>
      </c>
      <c r="L40" s="2">
        <f>ROUNDDOWN(L39,0)</f>
        <v>2</v>
      </c>
      <c r="M40" s="2">
        <f>J40*L40</f>
        <v>4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1</v>
      </c>
      <c r="S40" s="3" t="s">
        <v>95</v>
      </c>
      <c r="T40" s="2">
        <f>ROUNDDOWN(T39,0)</f>
        <v>2</v>
      </c>
      <c r="U40" s="2">
        <f>R40*T40</f>
        <v>2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431.79999999999995</v>
      </c>
      <c r="O42" s="7"/>
      <c r="R42" s="6">
        <f>$D$3*1</f>
        <v>431.79999999999995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863.59999999999991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1295.3999999999999</v>
      </c>
      <c r="O44" s="8"/>
    </row>
    <row r="45" spans="9:24" x14ac:dyDescent="0.25">
      <c r="J45" s="6">
        <f>$D$2*4</f>
        <v>1117.5999999999999</v>
      </c>
      <c r="L45" s="6">
        <f>$D$3*4</f>
        <v>1727.1999999999998</v>
      </c>
      <c r="O45" s="8"/>
      <c r="R45" s="6">
        <f>R35-R42</f>
        <v>18.200000000000045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2159</v>
      </c>
    </row>
    <row r="47" spans="9:24" x14ac:dyDescent="0.25">
      <c r="J47" s="6"/>
      <c r="L47" s="6">
        <f>$D$3*6</f>
        <v>2590.7999999999997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-1980.7999999999997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-2005.7999999999997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3.4001431639226918</v>
      </c>
      <c r="K59" s="3" t="s">
        <v>95</v>
      </c>
      <c r="L59" s="2">
        <f>L58/$D$3</f>
        <v>1.6211208893006024</v>
      </c>
      <c r="M59" s="2">
        <f>J59*L59</f>
        <v>5.5120431096477178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1.6211208893006024</v>
      </c>
      <c r="U59" s="2">
        <f>R59*T59</f>
        <v>2.7560215548238589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3</v>
      </c>
      <c r="K60" s="3" t="s">
        <v>95</v>
      </c>
      <c r="L60" s="2">
        <f>ROUNDDOWN(L59,0)</f>
        <v>1</v>
      </c>
      <c r="M60" s="2">
        <f>J60*L60</f>
        <v>3</v>
      </c>
      <c r="N60" s="1" t="s">
        <v>97</v>
      </c>
      <c r="O60" s="9">
        <f>M60/M59</f>
        <v>0.54426279699248103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1</v>
      </c>
      <c r="U60" s="2">
        <f>R60*T60</f>
        <v>1</v>
      </c>
      <c r="V60" s="1" t="s">
        <v>97</v>
      </c>
      <c r="W60" s="9">
        <f>U60/U59</f>
        <v>0.36284186466165408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2.2000926354793888</v>
      </c>
      <c r="K62" s="3" t="s">
        <v>95</v>
      </c>
      <c r="L62" s="2">
        <f>L58/$D$2</f>
        <v>2.5053686471009309</v>
      </c>
      <c r="M62" s="2">
        <f>J62*L62</f>
        <v>5.5120431096477178</v>
      </c>
      <c r="N62" s="1" t="s">
        <v>96</v>
      </c>
      <c r="R62" s="2">
        <f>R58/$D$3</f>
        <v>1.1000463177396944</v>
      </c>
      <c r="S62" s="3" t="s">
        <v>95</v>
      </c>
      <c r="T62" s="2">
        <f>T58/$D$2</f>
        <v>2.5053686471009309</v>
      </c>
      <c r="U62" s="2">
        <f>R62*T62</f>
        <v>2.7560215548238589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2</v>
      </c>
      <c r="K63" s="3" t="s">
        <v>95</v>
      </c>
      <c r="L63" s="2">
        <f>ROUNDDOWN(L62,0)</f>
        <v>2</v>
      </c>
      <c r="M63" s="2">
        <f>J63*L63</f>
        <v>4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1</v>
      </c>
      <c r="S63" s="3" t="s">
        <v>95</v>
      </c>
      <c r="T63" s="2">
        <f>ROUNDDOWN(T62,0)</f>
        <v>2</v>
      </c>
      <c r="U63" s="2">
        <f>R63*T63</f>
        <v>2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361934.75999999995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0.54426279699248115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431.79999999999995</v>
      </c>
      <c r="O68" s="62">
        <f>100%-O67</f>
        <v>0.45573720300751885</v>
      </c>
      <c r="P68" s="1" t="s">
        <v>98</v>
      </c>
      <c r="R68" s="6">
        <f>$D$3*1</f>
        <v>431.79999999999995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863.59999999999991</v>
      </c>
      <c r="T69" s="6">
        <f>$D$2*2</f>
        <v>558.79999999999995</v>
      </c>
      <c r="W69" s="7">
        <f>(R78*T58)+(T78*R58)</f>
        <v>-1528625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1295.3999999999999</v>
      </c>
      <c r="T70" s="1">
        <f>$D$2*3</f>
        <v>838.19999999999993</v>
      </c>
      <c r="W70" s="62">
        <f>W69/W68</f>
        <v>-4.5973684210526313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1727.1999999999998</v>
      </c>
      <c r="T71" s="1">
        <f>$D$2*4</f>
        <v>1117.5999999999999</v>
      </c>
      <c r="W71" s="62">
        <f>100%-W70</f>
        <v>5.5973684210526313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2159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-1684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-1704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1.4821676702176936</v>
      </c>
      <c r="M88" s="2">
        <f>J88*L88</f>
        <v>4.9865340372391982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1.4821676702176936</v>
      </c>
      <c r="U88" s="2">
        <f>R88*T88</f>
        <v>2.4932670186195991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1</v>
      </c>
      <c r="M89" s="2">
        <f>J89*L89</f>
        <v>3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1</v>
      </c>
      <c r="U89" s="2">
        <f>R89*T89</f>
        <v>1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2.1769337656322372</v>
      </c>
      <c r="K91" s="3" t="s">
        <v>95</v>
      </c>
      <c r="L91" s="2">
        <f>L87/$D$2</f>
        <v>2.2906227630637082</v>
      </c>
      <c r="M91" s="2">
        <f>J91*L91</f>
        <v>4.9865340372391982</v>
      </c>
      <c r="N91" s="1" t="s">
        <v>96</v>
      </c>
      <c r="R91" s="2">
        <f>R87/$D$3</f>
        <v>1.0884668828161186</v>
      </c>
      <c r="S91" s="3" t="s">
        <v>95</v>
      </c>
      <c r="T91" s="2">
        <f>T87/$D$2</f>
        <v>2.2906227630637082</v>
      </c>
      <c r="U91" s="2">
        <f>R91*T91</f>
        <v>2.4932670186195991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2</v>
      </c>
      <c r="K92" s="3" t="s">
        <v>95</v>
      </c>
      <c r="L92" s="2">
        <f>ROUNDDOWN(L91,0)</f>
        <v>2</v>
      </c>
      <c r="M92" s="2">
        <f>J92*L92</f>
        <v>4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1</v>
      </c>
      <c r="S92" s="3" t="s">
        <v>95</v>
      </c>
      <c r="T92" s="2">
        <f>ROUNDDOWN(T91,0)</f>
        <v>2</v>
      </c>
      <c r="U92" s="2">
        <f>R92*T92</f>
        <v>2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431.79999999999995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431.79999999999995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863.59999999999991</v>
      </c>
      <c r="L98" s="6">
        <f>$D$2*2</f>
        <v>558.79999999999995</v>
      </c>
      <c r="O98" s="7">
        <f>(J107*L87)+(L107*J87)</f>
        <v>-952751.99999999977</v>
      </c>
      <c r="P98" s="1" t="s">
        <v>100</v>
      </c>
      <c r="R98" s="6">
        <f>$D$3*2</f>
        <v>863.59999999999991</v>
      </c>
      <c r="T98" s="6">
        <f>$D$2*2</f>
        <v>558.79999999999995</v>
      </c>
      <c r="W98" s="7">
        <f>(R107*T87)+(T107*R87)</f>
        <v>-1454250</v>
      </c>
      <c r="X98" s="1" t="s">
        <v>100</v>
      </c>
      <c r="Z98" s="6"/>
      <c r="AB98" s="6"/>
    </row>
    <row r="99" spans="9:28" x14ac:dyDescent="0.25">
      <c r="J99" s="6">
        <f>$D$3*3</f>
        <v>1295.3999999999999</v>
      </c>
      <c r="L99" s="6">
        <f>$D$2*3</f>
        <v>838.19999999999993</v>
      </c>
      <c r="O99" s="62">
        <f>O98/O97</f>
        <v>-1.583696808510638</v>
      </c>
      <c r="P99" s="1" t="s">
        <v>101</v>
      </c>
      <c r="R99" s="6">
        <f>$D$3*3</f>
        <v>1295.3999999999999</v>
      </c>
      <c r="T99" s="6">
        <f>$D$2*3</f>
        <v>838.19999999999993</v>
      </c>
      <c r="W99" s="62">
        <f>W98/W97</f>
        <v>-4.8346077127659575</v>
      </c>
      <c r="X99" s="1" t="s">
        <v>101</v>
      </c>
      <c r="Z99" s="6"/>
      <c r="AB99" s="6"/>
    </row>
    <row r="100" spans="9:28" x14ac:dyDescent="0.25">
      <c r="J100" s="6">
        <f>$D$3*4</f>
        <v>1727.1999999999998</v>
      </c>
      <c r="L100" s="6">
        <f>$D$2*4</f>
        <v>1117.5999999999999</v>
      </c>
      <c r="O100" s="62">
        <f>100%-O99</f>
        <v>2.5836968085106378</v>
      </c>
      <c r="P100" s="1" t="s">
        <v>98</v>
      </c>
      <c r="R100" s="6">
        <f>$D$3*4</f>
        <v>1727.1999999999998</v>
      </c>
      <c r="T100" s="6">
        <f>$D$2*4</f>
        <v>1117.5999999999999</v>
      </c>
      <c r="W100" s="62">
        <f>100%-W99</f>
        <v>5.8346077127659575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2159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-787.19999999999982</v>
      </c>
      <c r="L105" s="6">
        <f>L87-L100</f>
        <v>-477.59999999999991</v>
      </c>
      <c r="Q105" s="1" t="s">
        <v>102</v>
      </c>
      <c r="R105" s="1">
        <f>R87-R101</f>
        <v>-1689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-787.19999999999982</v>
      </c>
      <c r="L107" s="1">
        <f>L105-L106</f>
        <v>-477.59999999999991</v>
      </c>
      <c r="Q107" s="1" t="s">
        <v>104</v>
      </c>
      <c r="R107" s="1">
        <f>R105-R106</f>
        <v>-1709</v>
      </c>
      <c r="T107" s="1">
        <f>T105-T106</f>
        <v>-767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2">
    <tabColor theme="7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-0.63636363636363624</v>
      </c>
    </row>
    <row r="3" spans="2:13" x14ac:dyDescent="0.3">
      <c r="B3" s="13">
        <f>'Acomodo Familia D1'!F2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-177.79999999999995</v>
      </c>
    </row>
    <row r="5" spans="2:13" x14ac:dyDescent="0.3">
      <c r="B5" s="13">
        <f>'Acomodo Familia D1'!F3</f>
        <v>431.79999999999995</v>
      </c>
      <c r="C5" s="10" t="s">
        <v>106</v>
      </c>
      <c r="D5" s="10" t="s">
        <v>107</v>
      </c>
      <c r="E5" s="10" t="s">
        <v>108</v>
      </c>
      <c r="G5" s="13">
        <f>B5</f>
        <v>431.79999999999995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1.0294117647058825</v>
      </c>
      <c r="D6" s="11">
        <f>D$4/$B$5</f>
        <v>0.67647058823529427</v>
      </c>
      <c r="E6" s="12">
        <f>E$4/$B$5</f>
        <v>0.58823529411764708</v>
      </c>
      <c r="H6" s="11">
        <f>H$4/$B$5</f>
        <v>-0.26470588235294112</v>
      </c>
      <c r="I6" s="11">
        <f>I$4/$B$5</f>
        <v>0.67647058823529427</v>
      </c>
      <c r="J6" s="12">
        <f>J$4/$B$5</f>
        <v>-0.41176470588235287</v>
      </c>
    </row>
    <row r="7" spans="2:13" x14ac:dyDescent="0.3">
      <c r="M7" s="122"/>
    </row>
    <row r="8" spans="2:13" x14ac:dyDescent="0.3">
      <c r="C8" s="11">
        <f>ROUNDDOWN(C6,0)</f>
        <v>1</v>
      </c>
      <c r="D8" s="15">
        <f>ROUNDDOWN(D2,0)</f>
        <v>1</v>
      </c>
      <c r="E8" s="15">
        <f>ROUNDDOWN(E4*10,0)</f>
        <v>2540</v>
      </c>
      <c r="F8" s="16">
        <f>PRODUCT(C8:E8)</f>
        <v>2540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2540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3">
    <tabColor theme="7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9" customWidth="1"/>
    <col min="14" max="14" width="14.5546875" style="179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332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145" t="s">
        <v>371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39446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4.1575464778279128E-2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8.8347862653843142E-3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12061.601999999999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1.8708959150225607E-2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1.5590799291854673E-2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2.9102825344795389E-2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0.24945278866967477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0.62683338640077624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D1'!M10*2</f>
        <v>8</v>
      </c>
      <c r="H15" s="20"/>
      <c r="I15" s="22" t="s">
        <v>38</v>
      </c>
      <c r="J15" s="128">
        <f>SUBTOTAL(109,Tabla1341530507075100110115130145200155[Contribución])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8</v>
      </c>
      <c r="I16" s="179"/>
      <c r="J16" s="179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9"/>
      <c r="J17" s="179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9"/>
      <c r="J18" s="179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9"/>
      <c r="J19" s="179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9"/>
      <c r="J20" s="179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79"/>
      <c r="J21" s="179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9"/>
      <c r="J22" s="179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11000</v>
      </c>
      <c r="I23" s="179"/>
      <c r="J23" s="179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9"/>
      <c r="J24" s="179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9"/>
      <c r="J25" s="179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190.51602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9"/>
      <c r="J28" s="179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9"/>
      <c r="J29" s="179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9"/>
      <c r="J30" s="179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300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170</v>
      </c>
      <c r="C33" s="39"/>
      <c r="D33" s="39"/>
      <c r="E33" s="18"/>
      <c r="F33" s="120" t="s">
        <v>304</v>
      </c>
      <c r="G33" s="120">
        <v>30</v>
      </c>
      <c r="I33" s="179"/>
      <c r="J33" s="179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D1'!$M$8,0)*$G$28</f>
        <v>560</v>
      </c>
      <c r="C34" s="39">
        <v>30</v>
      </c>
      <c r="D34" s="39" t="s">
        <v>63</v>
      </c>
      <c r="E34" s="18"/>
      <c r="F34" s="18"/>
      <c r="I34" s="179"/>
      <c r="J34" s="179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19242.118019999998</v>
      </c>
      <c r="C36" s="39"/>
      <c r="D36" s="39"/>
      <c r="E36" s="18"/>
      <c r="F36" s="18"/>
      <c r="I36" s="179"/>
      <c r="J36" s="179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9"/>
      <c r="J37" s="179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9"/>
      <c r="J38" s="179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28863.177029999999</v>
      </c>
      <c r="C39" s="39"/>
      <c r="D39" s="39"/>
      <c r="E39" s="18"/>
      <c r="F39" s="18"/>
      <c r="I39" s="179"/>
      <c r="J39" s="179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32070.196699999997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0.8130151777113015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4.5445230727294658E-2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45.445230727294657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45.445230727294657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32070.1967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19242.118019999998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12828.078680000002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9"/>
      <c r="L50" s="179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9"/>
      <c r="L51" s="179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9"/>
      <c r="L52" s="179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9862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1400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11262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12061.601999999999</v>
      </c>
      <c r="C59" s="39"/>
      <c r="D59" s="39"/>
      <c r="E59" s="39"/>
      <c r="F59" s="18"/>
      <c r="K59" s="179"/>
      <c r="L59" s="179"/>
      <c r="M59" s="18"/>
      <c r="N59" s="18"/>
    </row>
    <row r="60" spans="1:18" x14ac:dyDescent="0.3">
      <c r="A60" s="70" t="s">
        <v>154</v>
      </c>
      <c r="B60" s="54">
        <f>B57/B56</f>
        <v>0.14195903467856419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3207.0196699999979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22449.137689999996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32070.196699999997</v>
      </c>
      <c r="C64" s="18"/>
      <c r="D64" s="18"/>
      <c r="E64" s="18"/>
      <c r="F64" s="18"/>
      <c r="K64" s="179"/>
      <c r="L64" s="179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conditionalFormatting sqref="B4">
    <cfRule type="expression" dxfId="146" priority="2">
      <formula>F4="Sí"</formula>
    </cfRule>
  </conditionalFormatting>
  <conditionalFormatting sqref="B4">
    <cfRule type="duplicateValues" dxfId="145" priority="1"/>
  </conditionalFormatting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4">
    <tabColor theme="7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347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210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659475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2.2296563779923314E-3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3.7904158425869638E-3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143937.04499999998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32400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6.7725812481517073E-3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2430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1.5572756265040191E-2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39" t="s">
        <v>62</v>
      </c>
      <c r="J11" s="129">
        <f>$B$34/$B$36</f>
        <v>2.9069145028075023E-2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1700</v>
      </c>
      <c r="I12" s="39" t="s">
        <v>11</v>
      </c>
      <c r="J12" s="129">
        <f>$B$9/$B$36</f>
        <v>9.0301083308689425E-2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0.44120068381343053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16</v>
      </c>
      <c r="I14" s="39" t="s">
        <v>8</v>
      </c>
      <c r="J14" s="129">
        <f>$B$8/$B$36</f>
        <v>0.40116268801702398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158302.66517056932</v>
      </c>
      <c r="C15" s="34">
        <v>90</v>
      </c>
      <c r="D15" s="43" t="s">
        <v>28</v>
      </c>
      <c r="F15" s="18" t="s">
        <v>138</v>
      </c>
      <c r="G15" s="36">
        <f>'Acomodo Familia Z1'!M7*2</f>
        <v>132</v>
      </c>
      <c r="H15" s="20"/>
      <c r="I15" s="22" t="s">
        <v>38</v>
      </c>
      <c r="J15" s="128">
        <f>SUBTOTAL(109,Tabla1341530507075100110115130145200205210220[Contribución])</f>
        <v>1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0.12121212121212122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466000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3552.4721017056931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5587.5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1360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Z1'!$M$8,0)*$G$28</f>
        <v>10430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358799.68227227498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717599.36454454996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797332.62727172219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1.2090414758280787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6.7581971818226866E-2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67.581971818226862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67.581971818226862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797332.62727172219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358799.68227227498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438532.94499944721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0.55000000000000004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0.45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1785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1.7849999999999999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79937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80637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143937.04499999998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8.7568960556438195E-3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79733.26272717223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438532.94499944721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797332.62727172219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0.45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5">
    <tabColor theme="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10.33203125" style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152.4</v>
      </c>
      <c r="E2" s="1" t="s">
        <v>89</v>
      </c>
      <c r="F2" s="2">
        <v>152.4</v>
      </c>
      <c r="G2" s="1" t="s">
        <v>89</v>
      </c>
      <c r="H2" s="1" t="s">
        <v>90</v>
      </c>
    </row>
    <row r="3" spans="4:24" x14ac:dyDescent="0.25">
      <c r="D3" s="2">
        <f>F3</f>
        <v>63.5</v>
      </c>
      <c r="E3" s="1" t="s">
        <v>89</v>
      </c>
      <c r="F3" s="2">
        <v>63.5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333</v>
      </c>
      <c r="J5" s="123">
        <v>950</v>
      </c>
      <c r="K5" s="123" t="s">
        <v>95</v>
      </c>
      <c r="L5" s="124">
        <v>700</v>
      </c>
      <c r="M5" s="124"/>
      <c r="N5" s="90"/>
      <c r="O5" s="90"/>
      <c r="P5" s="90"/>
      <c r="R5" s="3">
        <f>J5/2</f>
        <v>475</v>
      </c>
      <c r="S5" s="3" t="s">
        <v>95</v>
      </c>
      <c r="T5" s="2">
        <f>L5</f>
        <v>700</v>
      </c>
      <c r="U5" s="2"/>
    </row>
    <row r="6" spans="4:24" x14ac:dyDescent="0.25">
      <c r="I6" s="185"/>
      <c r="J6" s="124">
        <f>J5/$D$2</f>
        <v>6.2335958005249346</v>
      </c>
      <c r="K6" s="123" t="s">
        <v>95</v>
      </c>
      <c r="L6" s="124">
        <f>L5/$D$3</f>
        <v>11.023622047244094</v>
      </c>
      <c r="M6" s="124">
        <f>J6*L6</f>
        <v>68.716804100274871</v>
      </c>
      <c r="N6" s="90" t="s">
        <v>96</v>
      </c>
      <c r="O6" s="90"/>
      <c r="P6" s="90"/>
      <c r="R6" s="2">
        <f>R5/$D$2</f>
        <v>3.1167979002624673</v>
      </c>
      <c r="S6" s="3" t="s">
        <v>95</v>
      </c>
      <c r="T6" s="2">
        <f>T5/$D$3</f>
        <v>11.023622047244094</v>
      </c>
      <c r="U6" s="2">
        <f>R6*T6</f>
        <v>34.358402050137435</v>
      </c>
      <c r="V6" s="1" t="s">
        <v>96</v>
      </c>
    </row>
    <row r="7" spans="4:24" x14ac:dyDescent="0.25">
      <c r="I7" s="185"/>
      <c r="J7" s="124">
        <f>ROUNDDOWN(J6,0)</f>
        <v>6</v>
      </c>
      <c r="K7" s="123" t="s">
        <v>95</v>
      </c>
      <c r="L7" s="124">
        <f>ROUNDDOWN(L6,0)</f>
        <v>11</v>
      </c>
      <c r="M7" s="124">
        <f>J7*L7</f>
        <v>66</v>
      </c>
      <c r="N7" s="90" t="s">
        <v>97</v>
      </c>
      <c r="O7" s="125">
        <f>M7/M6</f>
        <v>0.96046375939849615</v>
      </c>
      <c r="P7" s="90" t="s">
        <v>98</v>
      </c>
      <c r="R7" s="2">
        <f>ROUNDDOWN(R6,0)</f>
        <v>3</v>
      </c>
      <c r="S7" s="3" t="s">
        <v>95</v>
      </c>
      <c r="T7" s="2">
        <f>ROUNDDOWN(T6,0)</f>
        <v>11</v>
      </c>
      <c r="U7" s="2">
        <f>R7*T7</f>
        <v>33</v>
      </c>
      <c r="V7" s="1" t="s">
        <v>97</v>
      </c>
      <c r="W7" s="5">
        <f>U7/U6</f>
        <v>0.96046375939849615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14.960629921259843</v>
      </c>
      <c r="K9" s="123" t="s">
        <v>95</v>
      </c>
      <c r="L9" s="124">
        <f>L5/$D$2</f>
        <v>4.5931758530183728</v>
      </c>
      <c r="M9" s="124">
        <f>J9*L9</f>
        <v>68.716804100274871</v>
      </c>
      <c r="N9" s="90" t="s">
        <v>96</v>
      </c>
      <c r="O9" s="90"/>
      <c r="P9" s="90"/>
      <c r="R9" s="2">
        <f>R5/$D$3</f>
        <v>7.4803149606299213</v>
      </c>
      <c r="S9" s="3" t="s">
        <v>95</v>
      </c>
      <c r="T9" s="2">
        <f>T5/$D$2</f>
        <v>4.5931758530183728</v>
      </c>
      <c r="U9" s="2">
        <f>R9*T9</f>
        <v>34.358402050137435</v>
      </c>
      <c r="V9" s="1" t="s">
        <v>96</v>
      </c>
    </row>
    <row r="10" spans="4:24" x14ac:dyDescent="0.25">
      <c r="I10" s="185"/>
      <c r="J10" s="124">
        <f>ROUNDDOWN(J9,0)</f>
        <v>14</v>
      </c>
      <c r="K10" s="123" t="s">
        <v>95</v>
      </c>
      <c r="L10" s="124">
        <f>ROUNDDOWN(L9,0)</f>
        <v>4</v>
      </c>
      <c r="M10" s="124">
        <f>J10*L10</f>
        <v>56</v>
      </c>
      <c r="N10" s="90" t="s">
        <v>97</v>
      </c>
      <c r="O10" s="125">
        <f>M10/M9</f>
        <v>0.81493894736842099</v>
      </c>
      <c r="P10" s="90" t="s">
        <v>98</v>
      </c>
      <c r="R10" s="2">
        <f>ROUNDDOWN(R9,0)</f>
        <v>7</v>
      </c>
      <c r="S10" s="3" t="s">
        <v>95</v>
      </c>
      <c r="T10" s="2">
        <f>ROUNDDOWN(T9,0)</f>
        <v>4</v>
      </c>
      <c r="U10" s="2">
        <f>R10*T10</f>
        <v>28</v>
      </c>
      <c r="V10" s="1" t="s">
        <v>97</v>
      </c>
      <c r="W10" s="5">
        <f>U10/U9</f>
        <v>0.81493894736842099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914.40000000000009</v>
      </c>
      <c r="K12" s="90"/>
      <c r="L12" s="90">
        <f>L7*D3</f>
        <v>698.5</v>
      </c>
      <c r="M12" s="90"/>
      <c r="N12" s="90"/>
      <c r="O12" s="91">
        <f>J5*L5</f>
        <v>665000</v>
      </c>
      <c r="P12" s="90" t="s">
        <v>99</v>
      </c>
      <c r="R12" s="6">
        <f>$D$3*1</f>
        <v>63.5</v>
      </c>
      <c r="T12" s="6">
        <f>$D$2*1</f>
        <v>152.4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6944.9999999999345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J5-J12+4</f>
        <v>39.599999999999909</v>
      </c>
      <c r="K14" s="90"/>
      <c r="L14" s="126">
        <f>L5-L12+4</f>
        <v>5.5</v>
      </c>
      <c r="M14" s="90"/>
      <c r="N14" s="90"/>
      <c r="O14" s="127">
        <f>O13/O12</f>
        <v>1.0443609022556293E-2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0.98955639097744374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29.599999999999909</v>
      </c>
      <c r="K16" s="90"/>
      <c r="L16" s="90">
        <f>L14-L15</f>
        <v>-14.5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127</v>
      </c>
      <c r="T17" s="6">
        <f>$D$2*2</f>
        <v>304.8</v>
      </c>
    </row>
    <row r="18" spans="9:20" x14ac:dyDescent="0.25">
      <c r="R18" s="6">
        <f>$D$3*3</f>
        <v>190.5</v>
      </c>
      <c r="T18" s="6">
        <f>$D$2*3</f>
        <v>457.20000000000005</v>
      </c>
    </row>
    <row r="19" spans="9:20" x14ac:dyDescent="0.25">
      <c r="R19" s="6">
        <f>$D$3*4</f>
        <v>254</v>
      </c>
      <c r="T19" s="6">
        <f>$D$2*4</f>
        <v>609.6</v>
      </c>
    </row>
    <row r="20" spans="9:20" x14ac:dyDescent="0.25">
      <c r="R20" s="6">
        <f>R5-R19</f>
        <v>221</v>
      </c>
      <c r="T20" s="6">
        <f>T5-T19</f>
        <v>90.399999999999977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5.9055118110236222</v>
      </c>
      <c r="K36" s="3" t="s">
        <v>95</v>
      </c>
      <c r="L36" s="2">
        <f>L35/$D$3</f>
        <v>9.6062992125984259</v>
      </c>
      <c r="M36" s="2">
        <f>J36*L36</f>
        <v>56.730113460226924</v>
      </c>
      <c r="N36" s="1" t="s">
        <v>96</v>
      </c>
      <c r="R36" s="2">
        <f>R35/$D$2</f>
        <v>2.9527559055118111</v>
      </c>
      <c r="S36" s="3" t="s">
        <v>95</v>
      </c>
      <c r="T36" s="2">
        <f>T35/$D$3</f>
        <v>9.6062992125984259</v>
      </c>
      <c r="U36" s="2">
        <f>R36*T36</f>
        <v>28.365056730113462</v>
      </c>
      <c r="V36" s="1" t="s">
        <v>96</v>
      </c>
    </row>
    <row r="37" spans="9:24" x14ac:dyDescent="0.25">
      <c r="I37" s="186"/>
      <c r="J37" s="2">
        <f>ROUNDDOWN(J36,0)</f>
        <v>5</v>
      </c>
      <c r="K37" s="3" t="s">
        <v>95</v>
      </c>
      <c r="L37" s="2">
        <f>ROUNDDOWN(L36,0)</f>
        <v>9</v>
      </c>
      <c r="M37" s="2">
        <f>J37*L37</f>
        <v>45</v>
      </c>
      <c r="N37" s="1" t="s">
        <v>97</v>
      </c>
      <c r="O37" s="5">
        <f>M37/M36</f>
        <v>0.79322950819672122</v>
      </c>
      <c r="P37" s="1" t="s">
        <v>98</v>
      </c>
      <c r="R37" s="2">
        <f>ROUNDDOWN(R36,0)</f>
        <v>2</v>
      </c>
      <c r="S37" s="3" t="s">
        <v>95</v>
      </c>
      <c r="T37" s="2">
        <f>ROUNDDOWN(T36,0)</f>
        <v>9</v>
      </c>
      <c r="U37" s="2">
        <f>R37*T37</f>
        <v>18</v>
      </c>
      <c r="V37" s="1" t="s">
        <v>97</v>
      </c>
      <c r="W37" s="5">
        <f>U37/U36</f>
        <v>0.634583606557377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14.173228346456693</v>
      </c>
      <c r="K39" s="3" t="s">
        <v>95</v>
      </c>
      <c r="L39" s="2">
        <f>L35/$D$2</f>
        <v>4.0026246719160108</v>
      </c>
      <c r="M39" s="2">
        <f>J39*L39</f>
        <v>56.730113460226924</v>
      </c>
      <c r="N39" s="1" t="s">
        <v>96</v>
      </c>
      <c r="R39" s="2">
        <f>R35/$D$3</f>
        <v>7.0866141732283463</v>
      </c>
      <c r="S39" s="3" t="s">
        <v>95</v>
      </c>
      <c r="T39" s="2">
        <f>T35/$D$2</f>
        <v>4.0026246719160108</v>
      </c>
      <c r="U39" s="2">
        <f>R39*T39</f>
        <v>28.365056730113462</v>
      </c>
      <c r="V39" s="1" t="s">
        <v>96</v>
      </c>
    </row>
    <row r="40" spans="9:24" x14ac:dyDescent="0.25">
      <c r="I40" s="186"/>
      <c r="J40" s="2">
        <f>ROUNDDOWN(J39,0)</f>
        <v>14</v>
      </c>
      <c r="K40" s="3" t="s">
        <v>95</v>
      </c>
      <c r="L40" s="2">
        <f>ROUNDDOWN(L39,0)</f>
        <v>4</v>
      </c>
      <c r="M40" s="2">
        <f>J40*L40</f>
        <v>56</v>
      </c>
      <c r="N40" s="1" t="s">
        <v>97</v>
      </c>
      <c r="O40" s="5">
        <f>M40/M39</f>
        <v>0.98713005464480863</v>
      </c>
      <c r="P40" s="1" t="s">
        <v>98</v>
      </c>
      <c r="R40" s="2">
        <f>ROUNDDOWN(R39,0)</f>
        <v>7</v>
      </c>
      <c r="S40" s="3" t="s">
        <v>95</v>
      </c>
      <c r="T40" s="2">
        <f>ROUNDDOWN(T39,0)</f>
        <v>4</v>
      </c>
      <c r="U40" s="2">
        <f>R40*T40</f>
        <v>28</v>
      </c>
      <c r="V40" s="1" t="s">
        <v>97</v>
      </c>
      <c r="W40" s="5">
        <f>U40/U39</f>
        <v>0.98713005464480863</v>
      </c>
      <c r="X40" s="1" t="s">
        <v>98</v>
      </c>
    </row>
    <row r="42" spans="9:24" x14ac:dyDescent="0.25">
      <c r="J42" s="6">
        <f>$D$2*1</f>
        <v>152.4</v>
      </c>
      <c r="L42" s="6">
        <f>$D$3*1</f>
        <v>63.5</v>
      </c>
      <c r="O42" s="7"/>
      <c r="R42" s="6">
        <f>$D$3*1</f>
        <v>63.5</v>
      </c>
      <c r="T42" s="6">
        <f>$D$2*1</f>
        <v>152.4</v>
      </c>
    </row>
    <row r="43" spans="9:24" x14ac:dyDescent="0.25">
      <c r="J43" s="6">
        <f>$D$2*2</f>
        <v>304.8</v>
      </c>
      <c r="L43" s="6">
        <f>$D$3*2</f>
        <v>127</v>
      </c>
      <c r="O43" s="7"/>
      <c r="R43" s="6"/>
      <c r="T43" s="6">
        <f>$D$2*2</f>
        <v>304.8</v>
      </c>
    </row>
    <row r="44" spans="9:24" x14ac:dyDescent="0.25">
      <c r="J44" s="6">
        <f>$D$2*3</f>
        <v>457.20000000000005</v>
      </c>
      <c r="L44" s="6">
        <f>$D$3*3</f>
        <v>190.5</v>
      </c>
      <c r="O44" s="8"/>
    </row>
    <row r="45" spans="9:24" x14ac:dyDescent="0.25">
      <c r="J45" s="6">
        <f>$D$2*4</f>
        <v>609.6</v>
      </c>
      <c r="L45" s="6">
        <f>$D$3*4</f>
        <v>254</v>
      </c>
      <c r="O45" s="8"/>
      <c r="R45" s="6">
        <f>R35-R42</f>
        <v>386.5</v>
      </c>
      <c r="T45" s="6">
        <f>T35-T43</f>
        <v>305.2</v>
      </c>
    </row>
    <row r="46" spans="9:24" x14ac:dyDescent="0.25">
      <c r="J46" s="6">
        <f>$D$2*5</f>
        <v>762</v>
      </c>
      <c r="L46" s="6">
        <f>$D$3*5</f>
        <v>317.5</v>
      </c>
    </row>
    <row r="47" spans="9:24" x14ac:dyDescent="0.25">
      <c r="J47" s="6"/>
      <c r="L47" s="6">
        <f>$D$3*6</f>
        <v>381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138</v>
      </c>
      <c r="L50" s="6">
        <f>L35-L47</f>
        <v>229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128</v>
      </c>
      <c r="L52" s="6">
        <f>L50-L51</f>
        <v>204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6.2335958005249346</v>
      </c>
      <c r="K59" s="3" t="s">
        <v>95</v>
      </c>
      <c r="L59" s="2">
        <f>L58/$D$3</f>
        <v>11.023622047244094</v>
      </c>
      <c r="M59" s="2">
        <f>J59*L59</f>
        <v>68.716804100274871</v>
      </c>
      <c r="N59" s="1" t="s">
        <v>96</v>
      </c>
      <c r="R59" s="2">
        <f>R58/$D$2</f>
        <v>3.1167979002624673</v>
      </c>
      <c r="S59" s="3" t="s">
        <v>95</v>
      </c>
      <c r="T59" s="2">
        <f>T58/$D$3</f>
        <v>11.023622047244094</v>
      </c>
      <c r="U59" s="2">
        <f>R59*T59</f>
        <v>34.358402050137435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6</v>
      </c>
      <c r="K60" s="3" t="s">
        <v>95</v>
      </c>
      <c r="L60" s="2">
        <f>ROUNDDOWN(L59,0)</f>
        <v>11</v>
      </c>
      <c r="M60" s="2">
        <f>J60*L60</f>
        <v>66</v>
      </c>
      <c r="N60" s="1" t="s">
        <v>97</v>
      </c>
      <c r="O60" s="9">
        <f>M60/M59</f>
        <v>0.96046375939849615</v>
      </c>
      <c r="P60" s="1" t="s">
        <v>98</v>
      </c>
      <c r="R60" s="2">
        <f>ROUNDDOWN(R59,0)</f>
        <v>3</v>
      </c>
      <c r="S60" s="3" t="s">
        <v>95</v>
      </c>
      <c r="T60" s="2">
        <f>ROUNDDOWN(T59,0)</f>
        <v>11</v>
      </c>
      <c r="U60" s="2">
        <f>R60*T60</f>
        <v>33</v>
      </c>
      <c r="V60" s="1" t="s">
        <v>97</v>
      </c>
      <c r="W60" s="9">
        <f>U60/U59</f>
        <v>0.96046375939849615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14.960629921259843</v>
      </c>
      <c r="K62" s="3" t="s">
        <v>95</v>
      </c>
      <c r="L62" s="2">
        <f>L58/$D$2</f>
        <v>4.5931758530183728</v>
      </c>
      <c r="M62" s="2">
        <f>J62*L62</f>
        <v>68.716804100274871</v>
      </c>
      <c r="N62" s="1" t="s">
        <v>96</v>
      </c>
      <c r="R62" s="2">
        <f>R58/$D$3</f>
        <v>7.4803149606299213</v>
      </c>
      <c r="S62" s="3" t="s">
        <v>95</v>
      </c>
      <c r="T62" s="2">
        <f>T58/$D$2</f>
        <v>4.5931758530183728</v>
      </c>
      <c r="U62" s="2">
        <f>R62*T62</f>
        <v>34.358402050137435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14</v>
      </c>
      <c r="K63" s="3" t="s">
        <v>95</v>
      </c>
      <c r="L63" s="2">
        <f>ROUNDDOWN(L62,0)</f>
        <v>4</v>
      </c>
      <c r="M63" s="2">
        <f>J63*L63</f>
        <v>56</v>
      </c>
      <c r="N63" s="1" t="s">
        <v>97</v>
      </c>
      <c r="O63" s="9">
        <f>M63/M62</f>
        <v>0.81493894736842099</v>
      </c>
      <c r="P63" s="1" t="s">
        <v>98</v>
      </c>
      <c r="R63" s="2">
        <f>ROUNDDOWN(R62,0)</f>
        <v>7</v>
      </c>
      <c r="S63" s="3" t="s">
        <v>95</v>
      </c>
      <c r="T63" s="2">
        <f>ROUNDDOWN(T62,0)</f>
        <v>4</v>
      </c>
      <c r="U63" s="2">
        <f>R63*T63</f>
        <v>28</v>
      </c>
      <c r="V63" s="1" t="s">
        <v>97</v>
      </c>
      <c r="W63" s="9">
        <f>U63/U62</f>
        <v>0.81493894736842099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638708.4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0.96046375939849626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914.40000000000009</v>
      </c>
      <c r="L68" s="6">
        <f>D3*L60</f>
        <v>698.5</v>
      </c>
      <c r="O68" s="62">
        <f>100%-O67</f>
        <v>3.9536240601503736E-2</v>
      </c>
      <c r="P68" s="1" t="s">
        <v>98</v>
      </c>
      <c r="R68" s="6">
        <f>$D$3*1</f>
        <v>63.5</v>
      </c>
      <c r="T68" s="6">
        <f>$D$2*1</f>
        <v>152.4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127</v>
      </c>
      <c r="T69" s="6">
        <f>$D$2*2</f>
        <v>304.8</v>
      </c>
      <c r="W69" s="7">
        <f>(R78*T58)+(T78*R58)</f>
        <v>62050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190.5</v>
      </c>
      <c r="T70" s="1">
        <f>$D$2*3</f>
        <v>457.20000000000005</v>
      </c>
      <c r="W70" s="62">
        <f>W69/W68</f>
        <v>0.18661654135338346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254</v>
      </c>
      <c r="T71" s="1">
        <f>$D$2*4</f>
        <v>609.6</v>
      </c>
      <c r="W71" s="62">
        <f>100%-W70</f>
        <v>0.81338345864661654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317.5</v>
      </c>
      <c r="T72" s="1">
        <f>$D$2*5</f>
        <v>762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157.5</v>
      </c>
      <c r="T76" s="6">
        <f>T58-T72</f>
        <v>-62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137.5</v>
      </c>
      <c r="T78" s="6">
        <f>T76-T77</f>
        <v>-72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6.1679790026246719</v>
      </c>
      <c r="K88" s="3" t="s">
        <v>95</v>
      </c>
      <c r="L88" s="2">
        <f>L87/$D$3</f>
        <v>10.078740157480315</v>
      </c>
      <c r="M88" s="2">
        <f>J88*L88</f>
        <v>62.165457664248663</v>
      </c>
      <c r="N88" s="1" t="s">
        <v>96</v>
      </c>
      <c r="R88" s="2">
        <f>R87/$D$2</f>
        <v>3.083989501312336</v>
      </c>
      <c r="S88" s="3" t="s">
        <v>95</v>
      </c>
      <c r="T88" s="2">
        <f>T87/$D$3</f>
        <v>10.078740157480315</v>
      </c>
      <c r="U88" s="2">
        <f>R88*T88</f>
        <v>31.082728832124332</v>
      </c>
      <c r="V88" s="1" t="s">
        <v>96</v>
      </c>
    </row>
    <row r="89" spans="9:32" x14ac:dyDescent="0.25">
      <c r="J89" s="2">
        <f>ROUNDDOWN(J88,0)</f>
        <v>6</v>
      </c>
      <c r="K89" s="3" t="s">
        <v>95</v>
      </c>
      <c r="L89" s="2">
        <f>ROUNDDOWN(L88,0)</f>
        <v>10</v>
      </c>
      <c r="M89" s="2">
        <f>J89*L89</f>
        <v>60</v>
      </c>
      <c r="N89" s="1" t="s">
        <v>97</v>
      </c>
      <c r="O89" s="9">
        <f>M89/M88</f>
        <v>0.96516622340425529</v>
      </c>
      <c r="P89" s="1" t="s">
        <v>98</v>
      </c>
      <c r="R89" s="2">
        <f>ROUNDDOWN(R88,0)</f>
        <v>3</v>
      </c>
      <c r="S89" s="3" t="s">
        <v>95</v>
      </c>
      <c r="T89" s="2">
        <f>ROUNDDOWN(T88,0)</f>
        <v>10</v>
      </c>
      <c r="U89" s="2">
        <f>R89*T89</f>
        <v>30</v>
      </c>
      <c r="V89" s="1" t="s">
        <v>97</v>
      </c>
      <c r="W89" s="9">
        <f>U89/U88</f>
        <v>0.96516622340425529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14.803149606299213</v>
      </c>
      <c r="K91" s="3" t="s">
        <v>95</v>
      </c>
      <c r="L91" s="2">
        <f>L87/$D$2</f>
        <v>4.1994750656167978</v>
      </c>
      <c r="M91" s="2">
        <f>J91*L91</f>
        <v>62.165457664248663</v>
      </c>
      <c r="N91" s="1" t="s">
        <v>96</v>
      </c>
      <c r="R91" s="2">
        <f>R87/$D$3</f>
        <v>7.4015748031496065</v>
      </c>
      <c r="S91" s="3" t="s">
        <v>95</v>
      </c>
      <c r="T91" s="2">
        <f>T87/$D$2</f>
        <v>4.1994750656167978</v>
      </c>
      <c r="U91" s="2">
        <f>R91*T91</f>
        <v>31.082728832124332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14</v>
      </c>
      <c r="K92" s="3" t="s">
        <v>95</v>
      </c>
      <c r="L92" s="2">
        <f>ROUNDDOWN(L91,0)</f>
        <v>4</v>
      </c>
      <c r="M92" s="2">
        <f>J92*L92</f>
        <v>56</v>
      </c>
      <c r="N92" s="1" t="s">
        <v>97</v>
      </c>
      <c r="O92" s="9">
        <f>M92/M91</f>
        <v>0.90082180851063831</v>
      </c>
      <c r="P92" s="1" t="s">
        <v>98</v>
      </c>
      <c r="R92" s="2">
        <f>ROUNDDOWN(R91,0)</f>
        <v>7</v>
      </c>
      <c r="S92" s="3" t="s">
        <v>95</v>
      </c>
      <c r="T92" s="2">
        <f>ROUNDDOWN(T91,0)</f>
        <v>4</v>
      </c>
      <c r="U92" s="2">
        <f>R92*T92</f>
        <v>28</v>
      </c>
      <c r="V92" s="1" t="s">
        <v>97</v>
      </c>
      <c r="W92" s="9">
        <f>U92/U91</f>
        <v>0.90082180851063831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63.5</v>
      </c>
      <c r="L97" s="6">
        <f>$D$2*1</f>
        <v>152.4</v>
      </c>
      <c r="O97" s="7">
        <f>J87*L87</f>
        <v>601600</v>
      </c>
      <c r="P97" s="1" t="s">
        <v>99</v>
      </c>
      <c r="R97" s="6">
        <f>$D$3*1</f>
        <v>63.5</v>
      </c>
      <c r="T97" s="6">
        <f>$D$2*1</f>
        <v>152.4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127</v>
      </c>
      <c r="L98" s="6">
        <f>$D$2*2</f>
        <v>304.8</v>
      </c>
      <c r="O98" s="7">
        <f>(J107*L87)+(L107*J87)</f>
        <v>467616</v>
      </c>
      <c r="P98" s="1" t="s">
        <v>100</v>
      </c>
      <c r="R98" s="6">
        <f>$D$3*2</f>
        <v>127</v>
      </c>
      <c r="T98" s="6">
        <f>$D$2*2</f>
        <v>304.8</v>
      </c>
      <c r="W98" s="7">
        <f>(R107*T87)+(T107*R87)</f>
        <v>22760</v>
      </c>
      <c r="X98" s="1" t="s">
        <v>100</v>
      </c>
      <c r="Z98" s="6"/>
      <c r="AB98" s="6"/>
    </row>
    <row r="99" spans="9:28" x14ac:dyDescent="0.25">
      <c r="J99" s="6">
        <f>$D$3*3</f>
        <v>190.5</v>
      </c>
      <c r="L99" s="6">
        <f>$D$2*3</f>
        <v>457.20000000000005</v>
      </c>
      <c r="O99" s="62">
        <f>O98/O97</f>
        <v>0.77728723404255318</v>
      </c>
      <c r="P99" s="1" t="s">
        <v>101</v>
      </c>
      <c r="R99" s="6">
        <f>$D$3*3</f>
        <v>190.5</v>
      </c>
      <c r="T99" s="6">
        <f>$D$2*3</f>
        <v>457.20000000000005</v>
      </c>
      <c r="W99" s="62">
        <f>W98/W97</f>
        <v>7.5664893617021278E-2</v>
      </c>
      <c r="X99" s="1" t="s">
        <v>101</v>
      </c>
      <c r="Z99" s="6"/>
      <c r="AB99" s="6"/>
    </row>
    <row r="100" spans="9:28" x14ac:dyDescent="0.25">
      <c r="J100" s="6">
        <f>$D$3*4</f>
        <v>254</v>
      </c>
      <c r="L100" s="6">
        <f>$D$2*4</f>
        <v>609.6</v>
      </c>
      <c r="O100" s="62">
        <f>100%-O99</f>
        <v>0.22271276595744682</v>
      </c>
      <c r="P100" s="1" t="s">
        <v>98</v>
      </c>
      <c r="R100" s="6">
        <f>$D$3*4</f>
        <v>254</v>
      </c>
      <c r="T100" s="6">
        <f>$D$2*4</f>
        <v>609.6</v>
      </c>
      <c r="W100" s="62">
        <f>100%-W99</f>
        <v>0.92433510638297878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317.5</v>
      </c>
      <c r="T101" s="6">
        <f>$D$2*5</f>
        <v>762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686</v>
      </c>
      <c r="L105" s="6">
        <f>L87-L100</f>
        <v>30.399999999999977</v>
      </c>
      <c r="Q105" s="1" t="s">
        <v>102</v>
      </c>
      <c r="R105" s="1">
        <f>R87-R101</f>
        <v>152.5</v>
      </c>
      <c r="T105" s="1">
        <f>T87-T101</f>
        <v>-122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686</v>
      </c>
      <c r="L107" s="1">
        <f>L105-L106</f>
        <v>30.399999999999977</v>
      </c>
      <c r="Q107" s="1" t="s">
        <v>104</v>
      </c>
      <c r="R107" s="1">
        <f>R105-R106</f>
        <v>132.5</v>
      </c>
      <c r="T107" s="1">
        <f>T105-T106</f>
        <v>-132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6">
    <tabColor theme="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2.9166666666666665</v>
      </c>
      <c r="D2" s="100">
        <f t="shared" ref="D2" si="0">D$4/$B$3</f>
        <v>1.9166666666666667</v>
      </c>
      <c r="E2" s="11">
        <f>E$4/$B$3</f>
        <v>1.6666666666666665</v>
      </c>
      <c r="H2" s="12">
        <f>H$4/$B$3</f>
        <v>0.91666666666666652</v>
      </c>
      <c r="I2" s="11">
        <f>I$4/$B$3</f>
        <v>1.9166666666666667</v>
      </c>
      <c r="J2" s="11">
        <f>J$4/$B$3</f>
        <v>1.25</v>
      </c>
    </row>
    <row r="3" spans="2:13" x14ac:dyDescent="0.3">
      <c r="B3" s="13">
        <f>'Acomodo Familia Z1'!F2</f>
        <v>152.4</v>
      </c>
      <c r="C3" s="10" t="s">
        <v>106</v>
      </c>
      <c r="D3" s="10" t="s">
        <v>107</v>
      </c>
      <c r="E3" s="10" t="s">
        <v>108</v>
      </c>
      <c r="G3" s="13">
        <f>B3</f>
        <v>152.4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139.69999999999999</v>
      </c>
      <c r="I4" s="14">
        <v>292.10000000000002</v>
      </c>
      <c r="J4" s="14">
        <f>254-B5</f>
        <v>190.5</v>
      </c>
    </row>
    <row r="5" spans="2:13" x14ac:dyDescent="0.3">
      <c r="B5" s="13">
        <f>'Acomodo Familia Z1'!F3</f>
        <v>63.5</v>
      </c>
      <c r="C5" s="10" t="s">
        <v>106</v>
      </c>
      <c r="D5" s="10" t="s">
        <v>107</v>
      </c>
      <c r="E5" s="10" t="s">
        <v>108</v>
      </c>
      <c r="G5" s="13">
        <f>B5</f>
        <v>63.5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7</v>
      </c>
      <c r="D6" s="11">
        <f>D$4/$B$5</f>
        <v>4.6000000000000005</v>
      </c>
      <c r="E6" s="12">
        <f>E$4/$B$5</f>
        <v>4</v>
      </c>
      <c r="H6" s="11">
        <f>H$4/$B$5</f>
        <v>2.1999999999999997</v>
      </c>
      <c r="I6" s="11">
        <f>I$4/$B$5</f>
        <v>4.6000000000000005</v>
      </c>
      <c r="J6" s="12">
        <f>J$4/$B$5</f>
        <v>3</v>
      </c>
    </row>
    <row r="7" spans="2:13" x14ac:dyDescent="0.3">
      <c r="M7" s="122"/>
    </row>
    <row r="8" spans="2:13" x14ac:dyDescent="0.3">
      <c r="C8" s="11">
        <f>ROUNDDOWN(C6,0)</f>
        <v>7</v>
      </c>
      <c r="D8" s="15">
        <f>ROUNDDOWN(D2,0)</f>
        <v>1</v>
      </c>
      <c r="E8" s="15">
        <f>ROUNDDOWN(E4*10/8,0)</f>
        <v>317</v>
      </c>
      <c r="F8" s="16">
        <f>PRODUCT(C8:E8)</f>
        <v>2219</v>
      </c>
      <c r="H8" s="15">
        <f>ROUNDDOWN(H2,0)</f>
        <v>0</v>
      </c>
      <c r="I8" s="15">
        <f>ROUNDDOWN((I4)/(5.5),0)</f>
        <v>53</v>
      </c>
      <c r="J8" s="15">
        <f>ROUNDDOWN(J6,0)</f>
        <v>3</v>
      </c>
      <c r="K8" s="10">
        <f>PRODUCT(H8:J8)</f>
        <v>0</v>
      </c>
      <c r="M8" s="17">
        <f>F8</f>
        <v>2219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7">
    <tabColor theme="6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2" t="s">
        <v>348</v>
      </c>
      <c r="C1" s="182"/>
      <c r="D1" s="182"/>
      <c r="E1" s="182"/>
      <c r="F1" s="182"/>
    </row>
    <row r="2" spans="1:17 16374:16377" ht="20.399999999999999" customHeight="1" x14ac:dyDescent="0.3">
      <c r="A2" s="92"/>
      <c r="B2" s="182"/>
      <c r="C2" s="182"/>
      <c r="D2" s="182"/>
      <c r="E2" s="182"/>
      <c r="F2" s="182"/>
      <c r="I2" s="20"/>
      <c r="J2" s="20"/>
      <c r="K2" s="20"/>
      <c r="L2" s="20"/>
    </row>
    <row r="3" spans="1:17 16374:16377" x14ac:dyDescent="0.3">
      <c r="B3" s="182"/>
      <c r="C3" s="182"/>
      <c r="D3" s="182"/>
      <c r="E3" s="182"/>
      <c r="F3" s="182"/>
    </row>
    <row r="4" spans="1:17 16374:16377" s="22" customFormat="1" x14ac:dyDescent="0.3">
      <c r="A4" s="38" t="s">
        <v>0</v>
      </c>
      <c r="B4" s="21" t="s">
        <v>212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648001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2.7831352178437638E-3</v>
      </c>
      <c r="K6" s="120"/>
      <c r="L6" s="120"/>
      <c r="M6" s="120"/>
      <c r="N6" s="120"/>
      <c r="O6" s="120"/>
      <c r="Q6" s="27"/>
      <c r="XET6" s="18">
        <v>80</v>
      </c>
      <c r="XEU6" s="18" t="s">
        <v>297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301</v>
      </c>
      <c r="J7" s="129">
        <f>$B$33/$B$36</f>
        <v>5.914162337917998E-3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262128.321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98000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1.2785027406969789E-2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7350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2.4982987228925658E-2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4.6634909493994563E-2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0.17046703209293051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0.27057015501656106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0.45596160110584688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B5*G21</f>
        <v>155548.40643420006</v>
      </c>
      <c r="C15" s="34">
        <v>90</v>
      </c>
      <c r="D15" s="43" t="s">
        <v>28</v>
      </c>
      <c r="F15" s="18" t="s">
        <v>138</v>
      </c>
      <c r="G15" s="36">
        <f>'Acomodo Familia E1'!M7*2</f>
        <v>32</v>
      </c>
      <c r="H15" s="20"/>
      <c r="I15" s="22" t="s">
        <v>38</v>
      </c>
      <c r="J15" s="128">
        <f>SUBTOTAL(109,Tabla1341530507075100110115130145150155160225[Contribución])</f>
        <v>1.0000000000000002</v>
      </c>
      <c r="K15" s="28"/>
      <c r="L15" s="28"/>
      <c r="M15" s="28"/>
      <c r="N15" s="28"/>
      <c r="XET15" s="18" t="s">
        <v>298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0.375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303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147000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5691.9922743420002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301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14362.499999999998</v>
      </c>
      <c r="C32" s="39">
        <v>100</v>
      </c>
      <c r="D32" s="39" t="s">
        <v>61</v>
      </c>
      <c r="E32" s="18"/>
      <c r="F32" s="18" t="s">
        <v>302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301</v>
      </c>
      <c r="B33" s="109">
        <f>ROUNDUP(B34/$G$28/$G$32,0)*$G$31</f>
        <v>3400</v>
      </c>
      <c r="C33" s="39"/>
      <c r="D33" s="39"/>
      <c r="E33" s="18"/>
      <c r="F33" s="120" t="s">
        <v>304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E1'!$M$8,0)*$G$28</f>
        <v>26810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574891.21970854199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862336.82956281304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958152.03284757002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1.478627398487919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8.2651056371599724E-2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82.651056371599722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82.651056371599722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958152.03284757002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574891.21970854199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383260.81313902803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243001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1750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244751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262128.321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7.2016164542532748E-3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95815.203284756979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670706.42299329897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958152.03284757002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8">
    <tabColor theme="6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3" t="s">
        <v>87</v>
      </c>
      <c r="E1" s="183"/>
      <c r="F1" s="183" t="s">
        <v>88</v>
      </c>
      <c r="G1" s="183"/>
    </row>
    <row r="2" spans="4:24" x14ac:dyDescent="0.25">
      <c r="D2" s="2">
        <f>F2</f>
        <v>215.89999999999998</v>
      </c>
      <c r="E2" s="1" t="s">
        <v>89</v>
      </c>
      <c r="F2" s="2">
        <f>8.5*25.4</f>
        <v>215.89999999999998</v>
      </c>
      <c r="G2" s="1" t="s">
        <v>89</v>
      </c>
      <c r="H2" s="1" t="s">
        <v>90</v>
      </c>
    </row>
    <row r="3" spans="4:24" x14ac:dyDescent="0.25">
      <c r="D3" s="2">
        <f>F3</f>
        <v>139.69999999999999</v>
      </c>
      <c r="E3" s="1" t="s">
        <v>89</v>
      </c>
      <c r="F3" s="2">
        <v>139.69999999999999</v>
      </c>
      <c r="G3" s="1" t="s">
        <v>89</v>
      </c>
      <c r="H3" s="1" t="s">
        <v>91</v>
      </c>
    </row>
    <row r="4" spans="4:24" x14ac:dyDescent="0.25">
      <c r="E4" s="2"/>
      <c r="I4" s="90"/>
      <c r="J4" s="184" t="s">
        <v>92</v>
      </c>
      <c r="K4" s="184"/>
      <c r="L4" s="184"/>
      <c r="M4" s="184"/>
      <c r="N4" s="184"/>
      <c r="O4" s="184"/>
      <c r="P4" s="184"/>
      <c r="R4" s="183" t="s">
        <v>93</v>
      </c>
      <c r="S4" s="183"/>
      <c r="T4" s="183"/>
      <c r="U4" s="183"/>
      <c r="V4" s="183"/>
      <c r="W4" s="183"/>
      <c r="X4" s="183"/>
    </row>
    <row r="5" spans="4:24" x14ac:dyDescent="0.25">
      <c r="I5" s="185" t="s">
        <v>305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124">
        <f>J5/$D$2</f>
        <v>4.0296433534043539</v>
      </c>
      <c r="K6" s="123" t="s">
        <v>95</v>
      </c>
      <c r="L6" s="124">
        <f>L5/$D$3</f>
        <v>4.08017179670723</v>
      </c>
      <c r="M6" s="124">
        <f>J6*L6</f>
        <v>16.441637161349188</v>
      </c>
      <c r="N6" s="90" t="s">
        <v>96</v>
      </c>
      <c r="O6" s="90"/>
      <c r="P6" s="90"/>
      <c r="R6" s="2">
        <f>R5/$D$2</f>
        <v>2.0148216767021769</v>
      </c>
      <c r="S6" s="3" t="s">
        <v>95</v>
      </c>
      <c r="T6" s="2">
        <f>T5/$D$3</f>
        <v>4.08017179670723</v>
      </c>
      <c r="U6" s="2">
        <f>R6*T6</f>
        <v>8.2208185806745941</v>
      </c>
      <c r="V6" s="1" t="s">
        <v>96</v>
      </c>
    </row>
    <row r="7" spans="4:24" x14ac:dyDescent="0.25">
      <c r="I7" s="185"/>
      <c r="J7" s="124">
        <f>ROUNDDOWN(J6,0)</f>
        <v>4</v>
      </c>
      <c r="K7" s="123" t="s">
        <v>95</v>
      </c>
      <c r="L7" s="124">
        <f>ROUNDDOWN(L6,0)</f>
        <v>4</v>
      </c>
      <c r="M7" s="124">
        <f>J7*L7</f>
        <v>16</v>
      </c>
      <c r="N7" s="90" t="s">
        <v>97</v>
      </c>
      <c r="O7" s="125">
        <f>M7/M6</f>
        <v>0.9731391006251261</v>
      </c>
      <c r="P7" s="90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0.9731391006251261</v>
      </c>
      <c r="X7" s="1" t="s">
        <v>98</v>
      </c>
    </row>
    <row r="8" spans="4:24" x14ac:dyDescent="0.25">
      <c r="I8" s="185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5"/>
      <c r="J9" s="124">
        <f>J5/$D$3</f>
        <v>6.2276306370794563</v>
      </c>
      <c r="K9" s="123" t="s">
        <v>95</v>
      </c>
      <c r="L9" s="124">
        <f>L5/$D$2</f>
        <v>2.6401111625752667</v>
      </c>
      <c r="M9" s="124">
        <f>J9*L9</f>
        <v>16.441637161349192</v>
      </c>
      <c r="N9" s="90" t="s">
        <v>96</v>
      </c>
      <c r="O9" s="90"/>
      <c r="P9" s="90"/>
      <c r="R9" s="2">
        <f>R5/$D$3</f>
        <v>3.1138153185397281</v>
      </c>
      <c r="S9" s="3" t="s">
        <v>95</v>
      </c>
      <c r="T9" s="2">
        <f>T5/$D$2</f>
        <v>2.6401111625752667</v>
      </c>
      <c r="U9" s="2">
        <f>R9*T9</f>
        <v>8.2208185806745959</v>
      </c>
      <c r="V9" s="1" t="s">
        <v>96</v>
      </c>
    </row>
    <row r="10" spans="4:24" x14ac:dyDescent="0.25">
      <c r="I10" s="185"/>
      <c r="J10" s="124">
        <f>ROUNDDOWN(J9,0)</f>
        <v>6</v>
      </c>
      <c r="K10" s="123" t="s">
        <v>95</v>
      </c>
      <c r="L10" s="124">
        <f>ROUNDDOWN(L9,0)</f>
        <v>2</v>
      </c>
      <c r="M10" s="124">
        <f>J10*L10</f>
        <v>12</v>
      </c>
      <c r="N10" s="90" t="s">
        <v>97</v>
      </c>
      <c r="O10" s="125">
        <f>M10/M9</f>
        <v>0.72985432546884443</v>
      </c>
      <c r="P10" s="90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0.72985432546884443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863.59999999999991</v>
      </c>
      <c r="K12" s="90"/>
      <c r="L12" s="90">
        <f>L7*D3</f>
        <v>558.79999999999995</v>
      </c>
      <c r="M12" s="90"/>
      <c r="N12" s="90"/>
      <c r="O12" s="91">
        <f>J5*L5</f>
        <v>495900</v>
      </c>
      <c r="P12" s="90" t="s">
        <v>99</v>
      </c>
      <c r="R12" s="6">
        <f>$D$3*1</f>
        <v>139.69999999999999</v>
      </c>
      <c r="T12" s="6">
        <f>$D$2*1</f>
        <v>215.89999999999998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-9707.9999999999091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6.4000000000000909</v>
      </c>
      <c r="K14" s="90"/>
      <c r="L14" s="126">
        <f>L5-L12</f>
        <v>11.200000000000045</v>
      </c>
      <c r="M14" s="90"/>
      <c r="N14" s="90"/>
      <c r="O14" s="127">
        <f>O13/O12</f>
        <v>-1.9576527525710645E-2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1.0195765275257107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-3.5999999999999091</v>
      </c>
      <c r="K16" s="90"/>
      <c r="L16" s="90">
        <f>L14-L15</f>
        <v>-8.7999999999999545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279.39999999999998</v>
      </c>
      <c r="T17" s="6">
        <f>$D$2*2</f>
        <v>431.79999999999995</v>
      </c>
    </row>
    <row r="18" spans="9:20" x14ac:dyDescent="0.25">
      <c r="R18" s="6">
        <f>$D$3*3</f>
        <v>419.09999999999997</v>
      </c>
      <c r="T18" s="6">
        <f>$D$2*3</f>
        <v>647.69999999999993</v>
      </c>
    </row>
    <row r="19" spans="9:20" x14ac:dyDescent="0.25">
      <c r="R19" s="6">
        <f>$D$3*4</f>
        <v>558.79999999999995</v>
      </c>
      <c r="T19" s="6">
        <f>$D$2*4</f>
        <v>863.59999999999991</v>
      </c>
    </row>
    <row r="20" spans="9:20" x14ac:dyDescent="0.25">
      <c r="R20" s="6">
        <f>R5-R19</f>
        <v>-123.79999999999995</v>
      </c>
      <c r="T20" s="6">
        <f>T5-T19</f>
        <v>-293.59999999999991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3" t="s">
        <v>92</v>
      </c>
      <c r="K34" s="183"/>
      <c r="L34" s="183"/>
      <c r="M34" s="183"/>
      <c r="N34" s="183"/>
      <c r="O34" s="183"/>
      <c r="P34" s="183"/>
      <c r="R34" s="183" t="s">
        <v>93</v>
      </c>
      <c r="S34" s="183"/>
      <c r="T34" s="183"/>
      <c r="U34" s="183"/>
      <c r="V34" s="183"/>
      <c r="W34" s="183"/>
      <c r="X34" s="183"/>
    </row>
    <row r="35" spans="9:24" x14ac:dyDescent="0.25">
      <c r="I35" s="186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6"/>
      <c r="J36" s="2">
        <f>J35/$D$2</f>
        <v>4.1685965724872629</v>
      </c>
      <c r="K36" s="3" t="s">
        <v>95</v>
      </c>
      <c r="L36" s="2">
        <f>L35/$D$3</f>
        <v>4.3664996420901936</v>
      </c>
      <c r="M36" s="2">
        <f>J36*L36</f>
        <v>18.202175441784043</v>
      </c>
      <c r="N36" s="1" t="s">
        <v>96</v>
      </c>
      <c r="R36" s="2">
        <f>R35/$D$2</f>
        <v>2.0842982862436314</v>
      </c>
      <c r="S36" s="3" t="s">
        <v>95</v>
      </c>
      <c r="T36" s="2">
        <f>T35/$D$3</f>
        <v>4.3664996420901936</v>
      </c>
      <c r="U36" s="2">
        <f>R36*T36</f>
        <v>9.1010877208920213</v>
      </c>
      <c r="V36" s="1" t="s">
        <v>96</v>
      </c>
    </row>
    <row r="37" spans="9:24" x14ac:dyDescent="0.25">
      <c r="I37" s="186"/>
      <c r="J37" s="2">
        <f>ROUNDDOWN(J36,0)</f>
        <v>4</v>
      </c>
      <c r="K37" s="3" t="s">
        <v>95</v>
      </c>
      <c r="L37" s="2">
        <f>ROUNDDOWN(L36,0)</f>
        <v>4</v>
      </c>
      <c r="M37" s="2">
        <f>J37*L37</f>
        <v>16</v>
      </c>
      <c r="N37" s="1" t="s">
        <v>97</v>
      </c>
      <c r="O37" s="5">
        <f>M37/M36</f>
        <v>0.87901581056466283</v>
      </c>
      <c r="P37" s="1" t="s">
        <v>98</v>
      </c>
      <c r="R37" s="2">
        <f>ROUNDDOWN(R36,0)</f>
        <v>2</v>
      </c>
      <c r="S37" s="3" t="s">
        <v>95</v>
      </c>
      <c r="T37" s="2">
        <f>ROUNDDOWN(T36,0)</f>
        <v>4</v>
      </c>
      <c r="U37" s="2">
        <f>R37*T37</f>
        <v>8</v>
      </c>
      <c r="V37" s="1" t="s">
        <v>97</v>
      </c>
      <c r="W37" s="5">
        <f>U37/U36</f>
        <v>0.87901581056466283</v>
      </c>
      <c r="X37" s="1" t="s">
        <v>98</v>
      </c>
    </row>
    <row r="38" spans="9:24" x14ac:dyDescent="0.25">
      <c r="I38" s="186"/>
      <c r="J38" s="2"/>
      <c r="K38" s="2"/>
      <c r="L38" s="2"/>
      <c r="R38" s="2"/>
      <c r="S38" s="2"/>
      <c r="T38" s="2"/>
    </row>
    <row r="39" spans="9:24" x14ac:dyDescent="0.25">
      <c r="I39" s="186"/>
      <c r="J39" s="2">
        <f>J35/$D$3</f>
        <v>6.442376521116679</v>
      </c>
      <c r="K39" s="3" t="s">
        <v>95</v>
      </c>
      <c r="L39" s="2">
        <f>L35/$D$2</f>
        <v>2.8253821213524781</v>
      </c>
      <c r="M39" s="2">
        <f>J39*L39</f>
        <v>18.202175441784039</v>
      </c>
      <c r="N39" s="1" t="s">
        <v>96</v>
      </c>
      <c r="R39" s="2">
        <f>R35/$D$3</f>
        <v>3.2211882605583395</v>
      </c>
      <c r="S39" s="3" t="s">
        <v>95</v>
      </c>
      <c r="T39" s="2">
        <f>T35/$D$2</f>
        <v>2.8253821213524781</v>
      </c>
      <c r="U39" s="2">
        <f>R39*T39</f>
        <v>9.1010877208920196</v>
      </c>
      <c r="V39" s="1" t="s">
        <v>96</v>
      </c>
    </row>
    <row r="40" spans="9:24" x14ac:dyDescent="0.25">
      <c r="I40" s="186"/>
      <c r="J40" s="2">
        <f>ROUNDDOWN(J39,0)</f>
        <v>6</v>
      </c>
      <c r="K40" s="3" t="s">
        <v>95</v>
      </c>
      <c r="L40" s="2">
        <f>ROUNDDOWN(L39,0)</f>
        <v>2</v>
      </c>
      <c r="M40" s="2">
        <f>J40*L40</f>
        <v>12</v>
      </c>
      <c r="N40" s="1" t="s">
        <v>97</v>
      </c>
      <c r="O40" s="5">
        <f>M40/M39</f>
        <v>0.65926185792349723</v>
      </c>
      <c r="P40" s="1" t="s">
        <v>98</v>
      </c>
      <c r="R40" s="2">
        <f>ROUNDDOWN(R39,0)</f>
        <v>3</v>
      </c>
      <c r="S40" s="3" t="s">
        <v>95</v>
      </c>
      <c r="T40" s="2">
        <f>ROUNDDOWN(T39,0)</f>
        <v>2</v>
      </c>
      <c r="U40" s="2">
        <f>R40*T40</f>
        <v>6</v>
      </c>
      <c r="V40" s="1" t="s">
        <v>97</v>
      </c>
      <c r="W40" s="5">
        <f>U40/U39</f>
        <v>0.65926185792349723</v>
      </c>
      <c r="X40" s="1" t="s">
        <v>98</v>
      </c>
    </row>
    <row r="42" spans="9:24" x14ac:dyDescent="0.25">
      <c r="J42" s="6">
        <f>$D$2*1</f>
        <v>215.89999999999998</v>
      </c>
      <c r="L42" s="6">
        <f>$D$3*1</f>
        <v>139.69999999999999</v>
      </c>
      <c r="O42" s="7"/>
      <c r="R42" s="6">
        <f>$D$3*1</f>
        <v>139.69999999999999</v>
      </c>
      <c r="T42" s="6">
        <f>$D$2*1</f>
        <v>215.89999999999998</v>
      </c>
    </row>
    <row r="43" spans="9:24" x14ac:dyDescent="0.25">
      <c r="J43" s="6">
        <f>$D$2*2</f>
        <v>431.79999999999995</v>
      </c>
      <c r="L43" s="6">
        <f>$D$3*2</f>
        <v>279.39999999999998</v>
      </c>
      <c r="O43" s="7"/>
      <c r="R43" s="6"/>
      <c r="T43" s="6">
        <f>$D$2*2</f>
        <v>431.79999999999995</v>
      </c>
    </row>
    <row r="44" spans="9:24" x14ac:dyDescent="0.25">
      <c r="J44" s="6">
        <f>$D$2*3</f>
        <v>647.69999999999993</v>
      </c>
      <c r="L44" s="6">
        <f>$D$3*3</f>
        <v>419.09999999999997</v>
      </c>
      <c r="O44" s="8"/>
    </row>
    <row r="45" spans="9:24" x14ac:dyDescent="0.25">
      <c r="J45" s="6">
        <f>$D$2*4</f>
        <v>863.59999999999991</v>
      </c>
      <c r="L45" s="6">
        <f>$D$3*4</f>
        <v>558.79999999999995</v>
      </c>
      <c r="O45" s="8"/>
      <c r="R45" s="6">
        <f>R35-R42</f>
        <v>310.3</v>
      </c>
      <c r="T45" s="6">
        <f>T35-T43</f>
        <v>178.20000000000005</v>
      </c>
    </row>
    <row r="46" spans="9:24" x14ac:dyDescent="0.25">
      <c r="J46" s="6">
        <f>$D$2*5</f>
        <v>1079.5</v>
      </c>
      <c r="L46" s="6">
        <f>$D$3*5</f>
        <v>698.5</v>
      </c>
    </row>
    <row r="47" spans="9:24" x14ac:dyDescent="0.25">
      <c r="J47" s="6"/>
      <c r="L47" s="6">
        <f>$D$3*6</f>
        <v>838.19999999999993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-179.5</v>
      </c>
      <c r="L50" s="6">
        <f>L35-L47</f>
        <v>-228.19999999999993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-189.5</v>
      </c>
      <c r="L52" s="6">
        <f>L50-L51</f>
        <v>-253.19999999999993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3" t="s">
        <v>92</v>
      </c>
      <c r="K57" s="183"/>
      <c r="L57" s="183"/>
      <c r="M57" s="183"/>
      <c r="N57" s="183"/>
      <c r="O57" s="183"/>
      <c r="P57" s="183"/>
      <c r="R57" s="183" t="s">
        <v>93</v>
      </c>
      <c r="S57" s="183"/>
      <c r="T57" s="183"/>
      <c r="U57" s="183"/>
      <c r="V57" s="183"/>
      <c r="W57" s="183"/>
      <c r="X57" s="183"/>
      <c r="Z57" s="183"/>
      <c r="AA57" s="183"/>
      <c r="AB57" s="183"/>
      <c r="AC57" s="183"/>
      <c r="AD57" s="183"/>
      <c r="AE57" s="183"/>
      <c r="AF57" s="183"/>
    </row>
    <row r="58" spans="9:32" x14ac:dyDescent="0.25">
      <c r="I58" s="186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2">
        <f>J58/$D$2</f>
        <v>4.4001852709587777</v>
      </c>
      <c r="K59" s="3" t="s">
        <v>95</v>
      </c>
      <c r="L59" s="2">
        <f>L58/$D$3</f>
        <v>5.0107372942018618</v>
      </c>
      <c r="M59" s="2">
        <f>J59*L59</f>
        <v>22.048172438590871</v>
      </c>
      <c r="N59" s="1" t="s">
        <v>96</v>
      </c>
      <c r="R59" s="2">
        <f>R58/$D$2</f>
        <v>2.2000926354793888</v>
      </c>
      <c r="S59" s="3" t="s">
        <v>95</v>
      </c>
      <c r="T59" s="2">
        <f>T58/$D$3</f>
        <v>5.0107372942018618</v>
      </c>
      <c r="U59" s="2">
        <f>R59*T59</f>
        <v>11.024086219295436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2">
        <f>ROUNDDOWN(J59,0)</f>
        <v>4</v>
      </c>
      <c r="K60" s="3" t="s">
        <v>95</v>
      </c>
      <c r="L60" s="2">
        <f>ROUNDDOWN(L59,0)</f>
        <v>5</v>
      </c>
      <c r="M60" s="2">
        <f>J60*L60</f>
        <v>20</v>
      </c>
      <c r="N60" s="1" t="s">
        <v>97</v>
      </c>
      <c r="O60" s="9">
        <f>M60/M59</f>
        <v>0.90710466165413517</v>
      </c>
      <c r="P60" s="1" t="s">
        <v>98</v>
      </c>
      <c r="R60" s="2">
        <f>ROUNDDOWN(R59,0)</f>
        <v>2</v>
      </c>
      <c r="S60" s="3" t="s">
        <v>95</v>
      </c>
      <c r="T60" s="2">
        <f>ROUNDDOWN(T59,0)</f>
        <v>5</v>
      </c>
      <c r="U60" s="2">
        <f>R60*T60</f>
        <v>10</v>
      </c>
      <c r="V60" s="1" t="s">
        <v>97</v>
      </c>
      <c r="W60" s="9">
        <f>U60/U59</f>
        <v>0.90710466165413517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6"/>
      <c r="J62" s="2">
        <f>J58/$D$3</f>
        <v>6.8002863278453836</v>
      </c>
      <c r="K62" s="3" t="s">
        <v>95</v>
      </c>
      <c r="L62" s="2">
        <f>L58/$D$2</f>
        <v>3.2422417786012048</v>
      </c>
      <c r="M62" s="2">
        <f>J62*L62</f>
        <v>22.048172438590871</v>
      </c>
      <c r="N62" s="1" t="s">
        <v>96</v>
      </c>
      <c r="R62" s="2">
        <f>R58/$D$3</f>
        <v>3.4001431639226918</v>
      </c>
      <c r="S62" s="3" t="s">
        <v>95</v>
      </c>
      <c r="T62" s="2">
        <f>T58/$D$2</f>
        <v>3.2422417786012048</v>
      </c>
      <c r="U62" s="2">
        <f>R62*T62</f>
        <v>11.024086219295436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2">
        <f>ROUNDDOWN(J62,0)</f>
        <v>6</v>
      </c>
      <c r="K63" s="3" t="s">
        <v>95</v>
      </c>
      <c r="L63" s="2">
        <f>ROUNDDOWN(L62,0)</f>
        <v>3</v>
      </c>
      <c r="M63" s="2">
        <f>J63*L63</f>
        <v>18</v>
      </c>
      <c r="N63" s="1" t="s">
        <v>97</v>
      </c>
      <c r="O63" s="9">
        <f>M63/M62</f>
        <v>0.81639419548872161</v>
      </c>
      <c r="P63" s="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0.81639419548872161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603224.6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0.90710466165413528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863.59999999999991</v>
      </c>
      <c r="L68" s="6">
        <f>D3*L60</f>
        <v>698.5</v>
      </c>
      <c r="O68" s="62">
        <f>100%-O67</f>
        <v>9.289533834586472E-2</v>
      </c>
      <c r="P68" s="1" t="s">
        <v>98</v>
      </c>
      <c r="R68" s="6">
        <f>$D$3*1</f>
        <v>139.69999999999999</v>
      </c>
      <c r="T68" s="6">
        <f>$D$2*1</f>
        <v>215.89999999999998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279.39999999999998</v>
      </c>
      <c r="T69" s="6">
        <f>$D$2*2</f>
        <v>431.79999999999995</v>
      </c>
      <c r="W69" s="7">
        <f>(R78*T58)+(T78*R58)</f>
        <v>-355462.5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419.09999999999997</v>
      </c>
      <c r="T70" s="1">
        <f>$D$2*3</f>
        <v>647.69999999999993</v>
      </c>
      <c r="W70" s="62">
        <f>W69/W68</f>
        <v>-1.0690601503759398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558.79999999999995</v>
      </c>
      <c r="T71" s="1">
        <f>$D$2*4</f>
        <v>863.59999999999991</v>
      </c>
      <c r="W71" s="62">
        <f>100%-W70</f>
        <v>2.0690601503759396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698.5</v>
      </c>
      <c r="T72" s="1">
        <f>$D$2*5</f>
        <v>1079.5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-223.5</v>
      </c>
      <c r="T76" s="6">
        <f>T58-T72</f>
        <v>-379.5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-243.5</v>
      </c>
      <c r="T78" s="6">
        <f>T76-T77</f>
        <v>-389.5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3">
        <v>10</v>
      </c>
      <c r="K81" s="183"/>
      <c r="L81" s="183">
        <v>20</v>
      </c>
      <c r="M81" s="183"/>
      <c r="N81" s="183"/>
      <c r="O81" s="183"/>
      <c r="P81" s="183"/>
      <c r="R81" s="183"/>
      <c r="S81" s="183"/>
      <c r="T81" s="183"/>
      <c r="U81" s="183"/>
      <c r="V81" s="183"/>
      <c r="W81" s="183"/>
      <c r="X81" s="183"/>
      <c r="Z81" s="183"/>
      <c r="AA81" s="183"/>
      <c r="AB81" s="183"/>
      <c r="AC81" s="183"/>
      <c r="AD81" s="183"/>
      <c r="AE81" s="183"/>
      <c r="AF81" s="183"/>
    </row>
    <row r="82" spans="9:32" x14ac:dyDescent="0.25">
      <c r="I82" s="186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6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6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6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6"/>
      <c r="J86" s="183" t="s">
        <v>92</v>
      </c>
      <c r="K86" s="183"/>
      <c r="L86" s="183"/>
      <c r="M86" s="183"/>
      <c r="N86" s="183"/>
      <c r="O86" s="183"/>
      <c r="P86" s="183"/>
      <c r="R86" s="183" t="s">
        <v>93</v>
      </c>
      <c r="S86" s="183"/>
      <c r="T86" s="183"/>
      <c r="U86" s="183"/>
      <c r="V86" s="183"/>
      <c r="W86" s="183"/>
      <c r="X86" s="183"/>
      <c r="Z86" s="2"/>
      <c r="AA86" s="3"/>
      <c r="AB86" s="2"/>
      <c r="AC86" s="2"/>
    </row>
    <row r="87" spans="9:32" x14ac:dyDescent="0.25">
      <c r="I87" s="186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4.3538675312644743</v>
      </c>
      <c r="K88" s="3" t="s">
        <v>95</v>
      </c>
      <c r="L88" s="2">
        <f>L87/$D$3</f>
        <v>4.5812455261274163</v>
      </c>
      <c r="M88" s="2">
        <f>J88*L88</f>
        <v>19.946136148956793</v>
      </c>
      <c r="N88" s="1" t="s">
        <v>96</v>
      </c>
      <c r="R88" s="2">
        <f>R87/$D$2</f>
        <v>2.1769337656322372</v>
      </c>
      <c r="S88" s="3" t="s">
        <v>95</v>
      </c>
      <c r="T88" s="2">
        <f>T87/$D$3</f>
        <v>4.5812455261274163</v>
      </c>
      <c r="U88" s="2">
        <f>R88*T88</f>
        <v>9.9730680744783964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0.80216037234042536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0.80216037234042536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6.7287043664996427</v>
      </c>
      <c r="K91" s="3" t="s">
        <v>95</v>
      </c>
      <c r="L91" s="2">
        <f>L87/$D$2</f>
        <v>2.9643353404353872</v>
      </c>
      <c r="M91" s="2">
        <f>J91*L91</f>
        <v>19.946136148956793</v>
      </c>
      <c r="N91" s="1" t="s">
        <v>96</v>
      </c>
      <c r="R91" s="2">
        <f>R87/$D$3</f>
        <v>3.3643521832498213</v>
      </c>
      <c r="S91" s="3" t="s">
        <v>95</v>
      </c>
      <c r="T91" s="2">
        <f>T87/$D$2</f>
        <v>2.9643353404353872</v>
      </c>
      <c r="U91" s="2">
        <f>R91*T91</f>
        <v>9.9730680744783964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0.60162027925531902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0.60162027925531902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139.69999999999999</v>
      </c>
      <c r="L97" s="6">
        <f>$D$2*1</f>
        <v>215.89999999999998</v>
      </c>
      <c r="O97" s="7">
        <f>J87*L87</f>
        <v>601600</v>
      </c>
      <c r="P97" s="1" t="s">
        <v>99</v>
      </c>
      <c r="R97" s="6">
        <f>$D$3*1</f>
        <v>139.69999999999999</v>
      </c>
      <c r="T97" s="6">
        <f>$D$2*1</f>
        <v>215.89999999999998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279.39999999999998</v>
      </c>
      <c r="L98" s="6">
        <f>$D$2*2</f>
        <v>431.79999999999995</v>
      </c>
      <c r="O98" s="7">
        <f>(J107*L87)+(L107*J87)</f>
        <v>33784.000000000116</v>
      </c>
      <c r="P98" s="1" t="s">
        <v>100</v>
      </c>
      <c r="R98" s="6">
        <f>$D$3*2</f>
        <v>279.39999999999998</v>
      </c>
      <c r="T98" s="6">
        <f>$D$2*2</f>
        <v>431.79999999999995</v>
      </c>
      <c r="W98" s="7">
        <f>(R107*T87)+(T107*R87)</f>
        <v>-370305</v>
      </c>
      <c r="X98" s="1" t="s">
        <v>100</v>
      </c>
      <c r="Z98" s="6"/>
      <c r="AB98" s="6"/>
    </row>
    <row r="99" spans="9:28" x14ac:dyDescent="0.25">
      <c r="J99" s="6">
        <f>$D$3*3</f>
        <v>419.09999999999997</v>
      </c>
      <c r="L99" s="6">
        <f>$D$2*3</f>
        <v>647.69999999999993</v>
      </c>
      <c r="O99" s="62">
        <f>O98/O97</f>
        <v>5.6156914893617217E-2</v>
      </c>
      <c r="P99" s="1" t="s">
        <v>101</v>
      </c>
      <c r="R99" s="6">
        <f>$D$3*3</f>
        <v>419.09999999999997</v>
      </c>
      <c r="T99" s="6">
        <f>$D$2*3</f>
        <v>647.69999999999993</v>
      </c>
      <c r="W99" s="62">
        <f>W98/W97</f>
        <v>-1.2310671542553191</v>
      </c>
      <c r="X99" s="1" t="s">
        <v>101</v>
      </c>
      <c r="Z99" s="6"/>
      <c r="AB99" s="6"/>
    </row>
    <row r="100" spans="9:28" x14ac:dyDescent="0.25">
      <c r="J100" s="6">
        <f>$D$3*4</f>
        <v>558.79999999999995</v>
      </c>
      <c r="L100" s="6">
        <f>$D$2*4</f>
        <v>863.59999999999991</v>
      </c>
      <c r="O100" s="62">
        <f>100%-O99</f>
        <v>0.94384308510638282</v>
      </c>
      <c r="P100" s="1" t="s">
        <v>98</v>
      </c>
      <c r="R100" s="6">
        <f>$D$3*4</f>
        <v>558.79999999999995</v>
      </c>
      <c r="T100" s="6">
        <f>$D$2*4</f>
        <v>863.59999999999991</v>
      </c>
      <c r="W100" s="62">
        <f>100%-W99</f>
        <v>2.2310671542553191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698.5</v>
      </c>
      <c r="T101" s="6">
        <f>$D$2*5</f>
        <v>1079.5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381.20000000000005</v>
      </c>
      <c r="L105" s="6">
        <f>L87-L100</f>
        <v>-223.59999999999991</v>
      </c>
      <c r="Q105" s="1" t="s">
        <v>102</v>
      </c>
      <c r="R105" s="1">
        <f>R87-R101</f>
        <v>-228.5</v>
      </c>
      <c r="T105" s="1">
        <f>T87-T101</f>
        <v>-439.5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381.20000000000005</v>
      </c>
      <c r="L107" s="1">
        <f>L105-L106</f>
        <v>-223.59999999999991</v>
      </c>
      <c r="Q107" s="1" t="s">
        <v>104</v>
      </c>
      <c r="R107" s="1">
        <f>R105-R106</f>
        <v>-248.5</v>
      </c>
      <c r="T107" s="1">
        <f>T105-T106</f>
        <v>-449.5</v>
      </c>
    </row>
    <row r="108" spans="9:28" x14ac:dyDescent="0.25">
      <c r="J108" s="183"/>
      <c r="K108" s="183"/>
      <c r="L108" s="183"/>
      <c r="M108" s="183"/>
      <c r="N108" s="183"/>
      <c r="O108" s="183"/>
      <c r="P108" s="183"/>
    </row>
    <row r="109" spans="9:28" x14ac:dyDescent="0.25">
      <c r="I109" s="186"/>
      <c r="J109" s="3"/>
      <c r="K109" s="3"/>
      <c r="L109" s="2"/>
      <c r="M109" s="2"/>
    </row>
    <row r="110" spans="9:28" x14ac:dyDescent="0.25">
      <c r="I110" s="186"/>
      <c r="J110" s="2"/>
      <c r="K110" s="3"/>
      <c r="L110" s="2"/>
      <c r="M110" s="2"/>
    </row>
    <row r="111" spans="9:28" x14ac:dyDescent="0.25">
      <c r="I111" s="186"/>
      <c r="J111" s="2"/>
      <c r="K111" s="3"/>
      <c r="L111" s="2"/>
      <c r="M111" s="2"/>
      <c r="O111" s="5"/>
    </row>
    <row r="112" spans="9:28" x14ac:dyDescent="0.25">
      <c r="I112" s="186"/>
      <c r="J112" s="2"/>
      <c r="K112" s="2"/>
      <c r="L112" s="2"/>
    </row>
    <row r="113" spans="9:15" x14ac:dyDescent="0.25">
      <c r="I113" s="186"/>
      <c r="J113" s="2"/>
      <c r="K113" s="3"/>
      <c r="L113" s="2"/>
      <c r="M113" s="2"/>
    </row>
    <row r="114" spans="9:15" x14ac:dyDescent="0.25">
      <c r="I114" s="186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3"/>
      <c r="K132" s="183"/>
      <c r="L132" s="183"/>
      <c r="M132" s="183"/>
      <c r="N132" s="183"/>
      <c r="O132" s="183"/>
      <c r="P132" s="183"/>
    </row>
    <row r="133" spans="9:16" x14ac:dyDescent="0.25">
      <c r="I133" s="186"/>
      <c r="J133" s="3"/>
      <c r="K133" s="3"/>
      <c r="L133" s="2"/>
      <c r="M133" s="2"/>
    </row>
    <row r="134" spans="9:16" x14ac:dyDescent="0.25">
      <c r="I134" s="186"/>
      <c r="J134" s="2"/>
      <c r="K134" s="3"/>
      <c r="L134" s="2"/>
      <c r="M134" s="2"/>
    </row>
    <row r="135" spans="9:16" x14ac:dyDescent="0.25">
      <c r="I135" s="186"/>
      <c r="J135" s="2"/>
      <c r="K135" s="3"/>
      <c r="L135" s="2"/>
      <c r="M135" s="2"/>
      <c r="O135" s="5"/>
    </row>
    <row r="136" spans="9:16" x14ac:dyDescent="0.25">
      <c r="I136" s="186"/>
      <c r="J136" s="2"/>
      <c r="K136" s="2"/>
      <c r="L136" s="2"/>
    </row>
    <row r="137" spans="9:16" x14ac:dyDescent="0.25">
      <c r="I137" s="186"/>
      <c r="J137" s="2"/>
      <c r="K137" s="3"/>
      <c r="L137" s="2"/>
      <c r="M137" s="2"/>
    </row>
    <row r="138" spans="9:16" x14ac:dyDescent="0.25">
      <c r="I138" s="186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9">
    <tabColor theme="6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ROUNDDOWN(E4*10/(12/2),0)</f>
        <v>423</v>
      </c>
      <c r="F8" s="16">
        <f>PRODUCT(C8:E8)</f>
        <v>846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846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92D050"/>
  </sheetPr>
  <dimension ref="A1:XEY64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26" customWidth="1"/>
    <col min="3" max="3" width="15.6640625" style="26" customWidth="1"/>
    <col min="4" max="4" width="21.33203125" style="26" customWidth="1"/>
    <col min="5" max="5" width="10.44140625" style="26" customWidth="1"/>
    <col min="6" max="6" width="79.21875" style="26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9"/>
      <c r="C1" s="19"/>
      <c r="D1" s="19"/>
      <c r="E1" s="19"/>
      <c r="F1" s="19"/>
    </row>
    <row r="2" spans="1:19 16376:16379" ht="20.399999999999999" x14ac:dyDescent="0.3">
      <c r="A2" s="92"/>
      <c r="B2" s="190"/>
      <c r="C2" s="190"/>
      <c r="D2" s="190"/>
      <c r="E2" s="190"/>
      <c r="F2" s="190"/>
      <c r="I2" s="20"/>
      <c r="J2" s="20"/>
      <c r="K2" s="20"/>
      <c r="L2" s="20"/>
    </row>
    <row r="3" spans="1:19 16376:16379" x14ac:dyDescent="0.3">
      <c r="B3" s="191"/>
      <c r="C3" s="191"/>
      <c r="D3" s="191"/>
      <c r="E3" s="191"/>
      <c r="F3" s="191"/>
    </row>
    <row r="4" spans="1:19 16376:16379" s="22" customFormat="1" ht="27.6" x14ac:dyDescent="0.3">
      <c r="A4" s="38" t="s">
        <v>0</v>
      </c>
      <c r="B4" s="21" t="s">
        <v>180</v>
      </c>
      <c r="C4" s="21" t="s">
        <v>178</v>
      </c>
      <c r="D4" s="73" t="s">
        <v>179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1000</v>
      </c>
      <c r="C5" s="40">
        <v>1000</v>
      </c>
      <c r="D5" s="40">
        <v>1000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22" t="s">
        <v>17</v>
      </c>
      <c r="L6" s="25">
        <f>$D$7/$D$35</f>
        <v>0.18489804121158696</v>
      </c>
      <c r="M6" s="26"/>
      <c r="N6" s="26"/>
      <c r="O6" s="26"/>
      <c r="P6" s="26"/>
      <c r="Q6" s="26"/>
      <c r="S6" s="27"/>
      <c r="XEV6" s="18">
        <v>80</v>
      </c>
      <c r="XEW6" s="18" t="s">
        <v>143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ROUNDUP(B57*$I$13/$I$25,0)*$I$18*$I$19*$I$6</f>
        <v>8000</v>
      </c>
      <c r="C7" s="24"/>
      <c r="D7" s="74">
        <f>SUM(Tabla6[[#This Row],[114-5058-000]:[Etiqueta]])</f>
        <v>8000</v>
      </c>
      <c r="E7" s="34">
        <v>200</v>
      </c>
      <c r="F7" s="39" t="s">
        <v>7</v>
      </c>
      <c r="H7" s="18" t="s">
        <v>116</v>
      </c>
      <c r="I7" s="18">
        <v>1</v>
      </c>
      <c r="K7" s="22" t="s">
        <v>27</v>
      </c>
      <c r="L7" s="25">
        <f>$D$28/$D$35</f>
        <v>2.2248132449377959E-2</v>
      </c>
      <c r="M7" s="26"/>
      <c r="N7" s="26"/>
      <c r="O7" s="26"/>
      <c r="P7" s="26"/>
      <c r="Q7" s="26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B58</f>
        <v>25074.157499999998</v>
      </c>
      <c r="C8" s="24"/>
      <c r="D8" s="74">
        <f>SUM(Tabla6[[#This Row],[114-5058-000]:[Etiqueta]])</f>
        <v>25074.157499999998</v>
      </c>
      <c r="E8" s="34"/>
      <c r="F8" s="39" t="s">
        <v>9</v>
      </c>
      <c r="H8" s="18" t="s">
        <v>124</v>
      </c>
      <c r="I8" s="18" t="s">
        <v>118</v>
      </c>
      <c r="K8" s="22" t="s">
        <v>10</v>
      </c>
      <c r="L8" s="25">
        <f>$D$31/$D$35</f>
        <v>2.311225515144837E-3</v>
      </c>
      <c r="M8" s="26"/>
      <c r="N8" s="26"/>
      <c r="O8" s="26"/>
      <c r="P8" s="26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ROUNDUP(B57*$I$13/1000,0)*$I$6*$I$20+ROUNDUP(B57*$I$13/1000,0)*$I$7*$I$20</f>
        <v>4800</v>
      </c>
      <c r="C9" s="24"/>
      <c r="D9" s="74">
        <f>SUM(Tabla6[[#This Row],[114-5058-000]:[Etiqueta]])</f>
        <v>4800</v>
      </c>
      <c r="E9" s="34">
        <v>200</v>
      </c>
      <c r="F9" s="39" t="s">
        <v>12</v>
      </c>
      <c r="H9" s="64" t="s">
        <v>144</v>
      </c>
      <c r="I9" s="18" t="s">
        <v>142</v>
      </c>
      <c r="K9" s="22" t="s">
        <v>20</v>
      </c>
      <c r="L9" s="25">
        <f>$D$32/$D$35</f>
        <v>1.3000643522689708E-3</v>
      </c>
      <c r="M9" s="26"/>
      <c r="N9" s="26"/>
      <c r="O9" s="26"/>
      <c r="P9" s="26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/>
      <c r="C10" s="24"/>
      <c r="D10" s="74"/>
      <c r="E10" s="41" t="s">
        <v>15</v>
      </c>
      <c r="F10" s="39" t="s">
        <v>16</v>
      </c>
      <c r="H10" s="64" t="s">
        <v>145</v>
      </c>
      <c r="I10" s="64">
        <v>75</v>
      </c>
      <c r="K10" s="22" t="s">
        <v>25</v>
      </c>
      <c r="L10" s="25">
        <f>$D$33/$D$35</f>
        <v>2.0801029636303534E-3</v>
      </c>
      <c r="M10" s="26"/>
      <c r="N10" s="26"/>
      <c r="O10" s="26"/>
      <c r="P10" s="26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134</v>
      </c>
      <c r="K11" s="22" t="s">
        <v>22</v>
      </c>
      <c r="L11" s="25">
        <f>$D$9/$D$35</f>
        <v>0.11093882472695217</v>
      </c>
      <c r="M11" s="26"/>
      <c r="N11" s="26"/>
      <c r="O11" s="26"/>
      <c r="P11" s="26"/>
      <c r="XEV11" s="18">
        <v>130</v>
      </c>
      <c r="XEY11" s="18" t="s">
        <v>131</v>
      </c>
    </row>
    <row r="12" spans="1:19 16376:16379" ht="27.6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f>1895.25*1.05</f>
        <v>1990.0125</v>
      </c>
      <c r="K12" s="22" t="s">
        <v>13</v>
      </c>
      <c r="L12" s="25">
        <f>$D$15/$D$35</f>
        <v>8.8767133579322876E-3</v>
      </c>
      <c r="M12" s="26"/>
      <c r="N12" s="26"/>
      <c r="O12" s="26"/>
      <c r="P12" s="26"/>
      <c r="XEV12" s="18">
        <v>150</v>
      </c>
    </row>
    <row r="13" spans="1:19 16376:16379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22" t="s">
        <v>36</v>
      </c>
      <c r="L13" s="25">
        <f>$D$8/$D$35</f>
        <v>0.57952032584760271</v>
      </c>
      <c r="M13" s="26"/>
      <c r="N13" s="26"/>
      <c r="O13" s="26"/>
      <c r="P13" s="26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26"/>
      <c r="H14" s="18" t="s">
        <v>137</v>
      </c>
      <c r="I14" s="18">
        <v>20</v>
      </c>
      <c r="K14" s="22" t="s">
        <v>178</v>
      </c>
      <c r="L14" s="25">
        <f>$D$34/$D$35</f>
        <v>8.7826569575503804E-2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Compaginado!F24</f>
        <v>384.06954664378623</v>
      </c>
      <c r="C15" s="24"/>
      <c r="D15" s="74">
        <f>SUM(Tabla6[[#This Row],[114-5058-000]:[Etiqueta]])</f>
        <v>384.06954664378623</v>
      </c>
      <c r="E15" s="34">
        <v>90</v>
      </c>
      <c r="F15" s="43" t="s">
        <v>28</v>
      </c>
      <c r="G15" s="26"/>
      <c r="H15" s="18" t="s">
        <v>138</v>
      </c>
      <c r="I15" s="36">
        <f>'Acomodo Familia C1'!M60*2</f>
        <v>2</v>
      </c>
      <c r="J15" s="20"/>
      <c r="K15" s="98" t="s">
        <v>38</v>
      </c>
      <c r="L15" s="99">
        <f>SUBTOTAL(109,Tabla13[Contribución])</f>
        <v>1</v>
      </c>
      <c r="M15" s="28"/>
      <c r="N15" s="28"/>
      <c r="O15" s="28"/>
      <c r="P15" s="28"/>
      <c r="XEV15" s="18">
        <v>300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2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10</v>
      </c>
      <c r="K17" s="10"/>
      <c r="L17" s="10"/>
      <c r="M17" s="28"/>
      <c r="N17" s="28"/>
      <c r="O17" s="28"/>
      <c r="P17" s="28"/>
      <c r="R17" s="29"/>
      <c r="T17" s="26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20</v>
      </c>
      <c r="K18" s="10"/>
      <c r="L18" s="10"/>
      <c r="M18" s="28"/>
      <c r="N18" s="28"/>
      <c r="O18" s="28"/>
      <c r="P18" s="28"/>
      <c r="T18" s="26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26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26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152</v>
      </c>
      <c r="I21" s="18">
        <v>200</v>
      </c>
      <c r="K21" s="10"/>
      <c r="L21" s="10"/>
      <c r="M21" s="28"/>
      <c r="N21" s="28"/>
      <c r="O21" s="28"/>
      <c r="P21" s="28"/>
      <c r="T21" s="26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153</v>
      </c>
      <c r="I22" s="27">
        <v>4000</v>
      </c>
      <c r="K22" s="10"/>
      <c r="L22" s="10"/>
      <c r="M22" s="28"/>
      <c r="N22" s="28"/>
      <c r="O22" s="28"/>
      <c r="P22" s="28"/>
      <c r="T22" s="26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155</v>
      </c>
      <c r="I23" s="59">
        <v>100</v>
      </c>
      <c r="K23" s="10"/>
      <c r="L23" s="10"/>
      <c r="M23" s="28"/>
      <c r="N23" s="28"/>
      <c r="O23" s="28"/>
      <c r="P23" s="28"/>
      <c r="T23" s="26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156</v>
      </c>
      <c r="I24" s="59">
        <v>3000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157</v>
      </c>
      <c r="I25" s="27">
        <v>150000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64" t="s">
        <v>27</v>
      </c>
      <c r="I26" s="93">
        <v>2.5000000000000001E-2</v>
      </c>
      <c r="K26" s="10"/>
      <c r="L26" s="10"/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173</v>
      </c>
      <c r="I27" s="64">
        <v>30</v>
      </c>
      <c r="K27" s="10"/>
      <c r="L27" s="10"/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SUM(D7,D8,D9,D10,D11,D12,D13,D14,D15,D16,D17,D18,D19,D20,D21,D22,D23,D24,D25,D26,D27,D29,D30,D31,D32,D33)*$I$26</f>
        <v>962.61192616609469</v>
      </c>
      <c r="E28" s="44" t="s">
        <v>54</v>
      </c>
      <c r="F28" s="39" t="s">
        <v>55</v>
      </c>
      <c r="H28" s="64" t="s">
        <v>174</v>
      </c>
      <c r="I28" s="64">
        <v>160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175</v>
      </c>
      <c r="I29" s="94">
        <v>3000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K30" s="30"/>
      <c r="L30" s="30"/>
      <c r="M30" s="28"/>
      <c r="N30" s="28"/>
      <c r="O30" s="28"/>
      <c r="P30" s="28"/>
    </row>
    <row r="31" spans="1:20" x14ac:dyDescent="0.3">
      <c r="A31" s="39" t="s">
        <v>59</v>
      </c>
      <c r="B31" s="24">
        <f>(B5/1000)*$I$23</f>
        <v>100</v>
      </c>
      <c r="C31" s="24"/>
      <c r="D31" s="74">
        <f>SUM(Tabla6[[#This Row],[114-5058-000]:[Etiqueta]])</f>
        <v>100</v>
      </c>
      <c r="E31" s="39">
        <v>60</v>
      </c>
      <c r="F31" s="39" t="s">
        <v>49</v>
      </c>
      <c r="K31" s="10"/>
      <c r="L31" s="10"/>
      <c r="M31" s="18"/>
      <c r="N31" s="18"/>
    </row>
    <row r="32" spans="1:20" x14ac:dyDescent="0.25">
      <c r="A32" s="39" t="s">
        <v>60</v>
      </c>
      <c r="B32" s="24"/>
      <c r="C32" s="24"/>
      <c r="D32" s="74">
        <f>((D33/$I$27)/$I$28)*$I$24</f>
        <v>56.25</v>
      </c>
      <c r="E32" s="39">
        <v>100</v>
      </c>
      <c r="F32" s="39" t="s">
        <v>61</v>
      </c>
      <c r="H32" s="26"/>
      <c r="I32" s="26"/>
      <c r="J32" s="26"/>
      <c r="K32" s="10"/>
      <c r="L32" s="10"/>
      <c r="M32" s="28"/>
      <c r="N32" s="28"/>
      <c r="O32" s="28"/>
      <c r="P32" s="28"/>
    </row>
    <row r="33" spans="1:16" x14ac:dyDescent="0.25">
      <c r="A33" s="39" t="s">
        <v>62</v>
      </c>
      <c r="B33" s="24"/>
      <c r="C33" s="24"/>
      <c r="D33" s="74">
        <f>ROUNDUP(D5/'Embalaje Familia C1'!$M$8,0)*$I$27</f>
        <v>90</v>
      </c>
      <c r="E33" s="39">
        <v>30</v>
      </c>
      <c r="F33" s="39" t="s">
        <v>63</v>
      </c>
      <c r="K33" s="10"/>
      <c r="L33" s="10"/>
      <c r="M33" s="28"/>
      <c r="N33" s="28"/>
      <c r="O33" s="28"/>
      <c r="P33" s="28"/>
    </row>
    <row r="34" spans="1:16" ht="14.4" thickBot="1" x14ac:dyDescent="0.3">
      <c r="A34" s="39" t="s">
        <v>176</v>
      </c>
      <c r="B34" s="24"/>
      <c r="C34" s="24">
        <f>C5*Tabla6[[#This Row],[Parametro]]*C41</f>
        <v>3800</v>
      </c>
      <c r="D34" s="74">
        <f>SUM(Tabla6[[#This Row],[114-5058-000]:[Etiqueta]])</f>
        <v>3800</v>
      </c>
      <c r="E34" s="39">
        <v>0.2</v>
      </c>
      <c r="F34" s="39"/>
      <c r="K34" s="10"/>
      <c r="L34" s="10"/>
      <c r="M34" s="28"/>
      <c r="N34" s="28"/>
      <c r="O34" s="28"/>
      <c r="P34" s="28"/>
    </row>
    <row r="35" spans="1:16" ht="15" thickTop="1" thickBot="1" x14ac:dyDescent="0.3">
      <c r="A35" s="80" t="s">
        <v>64</v>
      </c>
      <c r="B35" s="81">
        <f>SUM(B7:B34)</f>
        <v>38358.227046643784</v>
      </c>
      <c r="C35" s="81">
        <f t="shared" ref="C35" si="0">SUM(C7:C34)</f>
        <v>3800</v>
      </c>
      <c r="D35" s="81">
        <f>SUM(D7:D34)</f>
        <v>43267.088972809877</v>
      </c>
      <c r="E35" s="39"/>
      <c r="F35" s="39"/>
      <c r="K35" s="10"/>
      <c r="L35" s="10"/>
      <c r="M35" s="28"/>
      <c r="N35" s="28"/>
      <c r="O35" s="28"/>
      <c r="P35" s="28"/>
    </row>
    <row r="36" spans="1:16" ht="14.4" thickTop="1" x14ac:dyDescent="0.25">
      <c r="A36" s="75" t="s">
        <v>65</v>
      </c>
      <c r="B36" s="76">
        <v>0.65</v>
      </c>
      <c r="C36" s="76">
        <v>0.65</v>
      </c>
      <c r="D36" s="77">
        <v>0.65</v>
      </c>
      <c r="E36" s="39"/>
      <c r="F36" s="39"/>
      <c r="K36" s="10"/>
      <c r="L36" s="10"/>
      <c r="M36" s="28"/>
      <c r="N36" s="28"/>
      <c r="O36" s="28"/>
      <c r="P36" s="28"/>
    </row>
    <row r="37" spans="1:16" x14ac:dyDescent="0.25">
      <c r="A37" s="39" t="s">
        <v>66</v>
      </c>
      <c r="B37" s="31"/>
      <c r="C37" s="31"/>
      <c r="D37" s="78"/>
      <c r="E37" s="39"/>
      <c r="F37" s="39"/>
      <c r="K37" s="10"/>
      <c r="L37" s="10"/>
      <c r="M37" s="28"/>
      <c r="N37" s="28"/>
      <c r="O37" s="28"/>
      <c r="P37" s="28"/>
    </row>
    <row r="38" spans="1:16" ht="14.4" thickBot="1" x14ac:dyDescent="0.3">
      <c r="A38" s="39" t="s">
        <v>67</v>
      </c>
      <c r="B38" s="24">
        <f>B35*(1+B36)</f>
        <v>63291.07462696224</v>
      </c>
      <c r="C38" s="24">
        <f>C35*(1+C36)</f>
        <v>6270</v>
      </c>
      <c r="D38" s="74">
        <f t="shared" ref="D38" si="1">D35*(1+D36)</f>
        <v>71390.696805136293</v>
      </c>
      <c r="E38" s="39"/>
      <c r="F38" s="39"/>
      <c r="K38" s="10"/>
      <c r="L38" s="10"/>
      <c r="M38" s="28"/>
      <c r="N38" s="28"/>
      <c r="O38" s="28"/>
      <c r="P38" s="28"/>
    </row>
    <row r="39" spans="1:16" ht="15" thickTop="1" thickBot="1" x14ac:dyDescent="0.3">
      <c r="A39" s="80" t="s">
        <v>68</v>
      </c>
      <c r="B39" s="81">
        <f>B38*1.1</f>
        <v>69620.182089658469</v>
      </c>
      <c r="C39" s="81">
        <f t="shared" ref="C39:D39" si="2">C38*1.1</f>
        <v>6897.0000000000009</v>
      </c>
      <c r="D39" s="81">
        <f t="shared" si="2"/>
        <v>78529.766485649932</v>
      </c>
      <c r="E39" s="39"/>
      <c r="F39" s="39"/>
      <c r="K39" s="10"/>
      <c r="L39" s="10"/>
      <c r="M39" s="28"/>
      <c r="N39" s="28"/>
      <c r="O39" s="28"/>
      <c r="P39" s="28"/>
    </row>
    <row r="40" spans="1:16" ht="14.4" thickTop="1" x14ac:dyDescent="0.25">
      <c r="A40" s="39" t="s">
        <v>70</v>
      </c>
      <c r="B40" s="24">
        <f>+B39/B5</f>
        <v>69.620182089658471</v>
      </c>
      <c r="C40" s="24">
        <f>+C39/C5</f>
        <v>6.8970000000000011</v>
      </c>
      <c r="D40" s="74">
        <f>+D39/D5</f>
        <v>78.52976648564993</v>
      </c>
      <c r="E40" s="39"/>
      <c r="F40" s="39"/>
      <c r="K40" s="10"/>
      <c r="L40" s="10"/>
      <c r="M40" s="28"/>
      <c r="N40" s="28"/>
      <c r="O40" s="28"/>
      <c r="P40" s="28"/>
    </row>
    <row r="41" spans="1:16" x14ac:dyDescent="0.25">
      <c r="A41" s="39" t="s">
        <v>72</v>
      </c>
      <c r="B41" s="24">
        <v>19</v>
      </c>
      <c r="C41" s="24">
        <v>19</v>
      </c>
      <c r="D41" s="74">
        <v>19</v>
      </c>
      <c r="E41" s="39"/>
      <c r="F41" s="39"/>
      <c r="K41" s="10"/>
      <c r="L41" s="10"/>
      <c r="M41" s="28"/>
      <c r="N41" s="28"/>
      <c r="O41" s="28"/>
      <c r="P41" s="28"/>
    </row>
    <row r="42" spans="1:16" ht="14.4" thickBot="1" x14ac:dyDescent="0.3">
      <c r="A42" s="39" t="s">
        <v>74</v>
      </c>
      <c r="B42" s="32">
        <f>+B40/B41</f>
        <v>3.6642201099820246</v>
      </c>
      <c r="C42" s="32">
        <f t="shared" ref="C42" si="3">+C40/C41</f>
        <v>0.36300000000000004</v>
      </c>
      <c r="D42" s="79">
        <f>+D40/D41</f>
        <v>4.1331456045078907</v>
      </c>
      <c r="E42" s="45"/>
      <c r="F42" s="39"/>
      <c r="K42" s="10"/>
      <c r="L42" s="10"/>
      <c r="M42" s="28"/>
      <c r="N42" s="28"/>
      <c r="O42" s="28"/>
      <c r="P42" s="28"/>
    </row>
    <row r="43" spans="1:16" ht="16.2" thickTop="1" thickBot="1" x14ac:dyDescent="0.3">
      <c r="A43" s="82" t="s">
        <v>76</v>
      </c>
      <c r="B43" s="83">
        <f>+B42*1000</f>
        <v>3664.2201099820245</v>
      </c>
      <c r="C43" s="83">
        <f t="shared" ref="C43" si="4">+C42*1000</f>
        <v>363.00000000000006</v>
      </c>
      <c r="D43" s="84">
        <f t="shared" ref="D43" si="5">+D42*1000</f>
        <v>4133.1456045078903</v>
      </c>
      <c r="E43" s="46"/>
      <c r="F43" s="39"/>
      <c r="K43" s="10"/>
      <c r="L43" s="10"/>
      <c r="M43" s="28"/>
      <c r="N43" s="28"/>
      <c r="O43" s="28"/>
      <c r="P43" s="28"/>
    </row>
    <row r="44" spans="1:16" ht="15.6" thickTop="1" x14ac:dyDescent="0.25">
      <c r="A44" s="57" t="s">
        <v>77</v>
      </c>
      <c r="B44" s="58"/>
      <c r="C44" s="58"/>
      <c r="D44" s="97">
        <f>0.907*1000</f>
        <v>907</v>
      </c>
      <c r="E44" s="47"/>
      <c r="F44" s="39"/>
      <c r="K44" s="10"/>
      <c r="L44" s="10"/>
      <c r="M44" s="28"/>
      <c r="N44" s="28"/>
      <c r="O44" s="28"/>
      <c r="P44" s="28"/>
    </row>
    <row r="45" spans="1:16" ht="15" x14ac:dyDescent="0.25">
      <c r="A45" s="39"/>
      <c r="B45" s="33">
        <f t="shared" ref="B45:D45" si="6">+B43-B44</f>
        <v>3664.2201099820245</v>
      </c>
      <c r="C45" s="33">
        <f t="shared" ref="C45" si="7">+C43-C44</f>
        <v>363.00000000000006</v>
      </c>
      <c r="D45" s="33">
        <f t="shared" si="6"/>
        <v>3226.1456045078903</v>
      </c>
      <c r="E45" s="47"/>
      <c r="F45" s="39"/>
      <c r="K45" s="10"/>
      <c r="L45" s="10"/>
      <c r="M45" s="28"/>
      <c r="N45" s="28"/>
      <c r="O45" s="28"/>
      <c r="P45" s="28"/>
    </row>
    <row r="46" spans="1:16" x14ac:dyDescent="0.25">
      <c r="A46" s="39" t="s">
        <v>78</v>
      </c>
      <c r="B46" s="48">
        <f>+B40*B5</f>
        <v>69620.182089658469</v>
      </c>
      <c r="C46" s="48">
        <f>+C40*C5</f>
        <v>6897.0000000000009</v>
      </c>
      <c r="D46" s="48">
        <f>+D40*D5</f>
        <v>78529.766485649932</v>
      </c>
      <c r="E46" s="39"/>
      <c r="F46" s="39"/>
      <c r="M46" s="28"/>
      <c r="N46" s="28"/>
      <c r="O46" s="28"/>
      <c r="P46" s="28"/>
    </row>
    <row r="47" spans="1:16" x14ac:dyDescent="0.25">
      <c r="A47" s="39" t="s">
        <v>1</v>
      </c>
      <c r="B47" s="48">
        <f>B35</f>
        <v>38358.227046643784</v>
      </c>
      <c r="C47" s="48">
        <f>C35</f>
        <v>3800</v>
      </c>
      <c r="D47" s="48">
        <f>D35</f>
        <v>43267.088972809877</v>
      </c>
      <c r="E47" s="39"/>
      <c r="F47" s="39"/>
      <c r="M47" s="28"/>
      <c r="N47" s="28"/>
      <c r="O47" s="28"/>
      <c r="P47" s="28"/>
    </row>
    <row r="48" spans="1:16" x14ac:dyDescent="0.25">
      <c r="A48" s="39" t="s">
        <v>79</v>
      </c>
      <c r="B48" s="49">
        <f>+B46-B35</f>
        <v>31261.955043014685</v>
      </c>
      <c r="C48" s="49">
        <f>+C46-C35</f>
        <v>3097.0000000000009</v>
      </c>
      <c r="D48" s="49">
        <f>+D46-D35</f>
        <v>35262.677512840055</v>
      </c>
      <c r="E48" s="39"/>
      <c r="F48" s="34"/>
      <c r="G48" s="26"/>
      <c r="K48" s="10"/>
      <c r="L48" s="10"/>
      <c r="M48" s="28"/>
      <c r="N48" s="28"/>
      <c r="O48" s="28"/>
      <c r="P48" s="28"/>
    </row>
    <row r="49" spans="1:18" x14ac:dyDescent="0.25">
      <c r="A49" s="39" t="s">
        <v>80</v>
      </c>
      <c r="B49" s="50">
        <f t="shared" ref="B49:D49" si="8">+B48/B46</f>
        <v>0.44903581267217629</v>
      </c>
      <c r="C49" s="96">
        <f>+C48/C46</f>
        <v>0.4490358126721764</v>
      </c>
      <c r="D49" s="50">
        <f t="shared" si="8"/>
        <v>0.44903581267217635</v>
      </c>
      <c r="E49" s="39"/>
      <c r="F49" s="44"/>
      <c r="G49" s="26"/>
      <c r="K49" s="10"/>
      <c r="L49" s="10"/>
      <c r="M49" s="28"/>
      <c r="N49" s="28"/>
      <c r="O49" s="28"/>
      <c r="P49" s="28"/>
    </row>
    <row r="50" spans="1:18" x14ac:dyDescent="0.25">
      <c r="A50" s="39" t="s">
        <v>81</v>
      </c>
      <c r="B50" s="50">
        <f t="shared" ref="B50:D50" si="9">B47/B46</f>
        <v>0.55096418732782371</v>
      </c>
      <c r="C50" s="50">
        <f t="shared" ref="C50" si="10">C47/C46</f>
        <v>0.5509641873278236</v>
      </c>
      <c r="D50" s="50">
        <f t="shared" si="9"/>
        <v>0.55096418732782371</v>
      </c>
      <c r="E50" s="39"/>
      <c r="F50" s="44"/>
      <c r="G50" s="39"/>
      <c r="H50" s="44"/>
      <c r="I50" s="26"/>
      <c r="K50" s="10"/>
      <c r="L50" s="10"/>
      <c r="O50" s="28"/>
      <c r="P50" s="28"/>
      <c r="Q50" s="28"/>
      <c r="R50" s="28"/>
    </row>
    <row r="51" spans="1:18" x14ac:dyDescent="0.25">
      <c r="A51" s="39"/>
      <c r="B51" s="50"/>
      <c r="C51" s="50"/>
      <c r="D51" s="50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/>
      <c r="B52"/>
      <c r="C52"/>
      <c r="D52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x14ac:dyDescent="0.25">
      <c r="A53" s="70" t="s">
        <v>150</v>
      </c>
      <c r="B53" s="34">
        <f>$I$12*1.05</f>
        <v>2089.5131249999999</v>
      </c>
      <c r="C53" s="34">
        <f>$I$12*1.05</f>
        <v>2089.5131249999999</v>
      </c>
      <c r="D53" s="34">
        <f>$I$12*1.05</f>
        <v>2089.5131249999999</v>
      </c>
      <c r="E53" s="51"/>
      <c r="F53" s="51"/>
      <c r="G53" s="34"/>
      <c r="H53" s="20"/>
      <c r="I53" s="20"/>
      <c r="J53" s="20"/>
      <c r="K53" s="10"/>
      <c r="L53" s="10"/>
      <c r="M53" s="28"/>
      <c r="N53" s="28"/>
      <c r="O53" s="28"/>
      <c r="P53" s="28"/>
    </row>
    <row r="54" spans="1:18" x14ac:dyDescent="0.25">
      <c r="A54" s="70" t="s">
        <v>151</v>
      </c>
      <c r="B54" s="34">
        <f>B53/1000</f>
        <v>2.0895131249999999</v>
      </c>
      <c r="C54" s="34">
        <f>C53/1000</f>
        <v>2.0895131249999999</v>
      </c>
      <c r="D54" s="34">
        <f>D53/1000</f>
        <v>2.0895131249999999</v>
      </c>
      <c r="E54" s="39"/>
      <c r="F54" s="39"/>
      <c r="G54" s="34"/>
      <c r="K54" s="10"/>
      <c r="L54" s="10"/>
      <c r="M54" s="28"/>
      <c r="N54" s="28"/>
      <c r="O54" s="28"/>
      <c r="P54" s="28"/>
    </row>
    <row r="55" spans="1:18" x14ac:dyDescent="0.25">
      <c r="A55" s="70" t="s">
        <v>82</v>
      </c>
      <c r="B55" s="53">
        <f>ROUNDUP(B5*$I$17,0)</f>
        <v>10000</v>
      </c>
      <c r="C55" s="53">
        <f>ROUNDUP(C5*$I$17,0)</f>
        <v>10000</v>
      </c>
      <c r="D55" s="53">
        <f>ROUNDUP(D5*$I$17,0)</f>
        <v>10000</v>
      </c>
      <c r="E55" s="54"/>
      <c r="F55" s="55"/>
      <c r="M55" s="28"/>
      <c r="N55" s="28"/>
      <c r="O55" s="28"/>
      <c r="P55" s="28"/>
    </row>
    <row r="56" spans="1:18" x14ac:dyDescent="0.25">
      <c r="A56" s="70" t="s">
        <v>83</v>
      </c>
      <c r="B56" s="53">
        <f>ROUNDUP(B5/$I$22,0)*($I$21*$I$17)</f>
        <v>2000</v>
      </c>
      <c r="C56" s="53">
        <f>ROUNDUP(C5/$I$22,0)*($I$21*$I$17)</f>
        <v>2000</v>
      </c>
      <c r="D56" s="53">
        <f>ROUNDUP(D5/$I$22,0)*($I$21*$I$17)</f>
        <v>2000</v>
      </c>
      <c r="E56" s="39"/>
      <c r="F56" s="55"/>
      <c r="K56" s="10"/>
      <c r="L56" s="10"/>
      <c r="M56" s="28"/>
      <c r="N56" s="28"/>
      <c r="O56" s="28"/>
      <c r="P56" s="28"/>
    </row>
    <row r="57" spans="1:18" ht="14.4" customHeight="1" x14ac:dyDescent="0.25">
      <c r="A57" s="70" t="s">
        <v>84</v>
      </c>
      <c r="B57" s="53">
        <f>SUM(B55:B56)</f>
        <v>12000</v>
      </c>
      <c r="C57" s="53">
        <f t="shared" ref="C57" si="11">SUM(C55:C56)</f>
        <v>12000</v>
      </c>
      <c r="D57" s="53">
        <f>SUM(D55:D56)</f>
        <v>12000</v>
      </c>
      <c r="E57" s="39"/>
      <c r="F57" s="56"/>
      <c r="K57" s="10"/>
      <c r="L57" s="10"/>
      <c r="M57" s="28"/>
      <c r="N57" s="28"/>
      <c r="O57" s="28"/>
      <c r="P57" s="28"/>
    </row>
    <row r="58" spans="1:18" x14ac:dyDescent="0.25">
      <c r="A58" s="70" t="s">
        <v>85</v>
      </c>
      <c r="B58" s="34">
        <f>+B54*B57</f>
        <v>25074.157499999998</v>
      </c>
      <c r="C58" s="34">
        <f>+C54*C57</f>
        <v>25074.157499999998</v>
      </c>
      <c r="D58" s="34">
        <f>+D54*D57</f>
        <v>25074.157499999998</v>
      </c>
      <c r="E58" s="39"/>
      <c r="F58" s="39"/>
      <c r="K58" s="10"/>
      <c r="L58" s="10"/>
      <c r="M58" s="28"/>
      <c r="N58" s="28"/>
      <c r="O58" s="28"/>
      <c r="P58" s="28"/>
    </row>
    <row r="59" spans="1:18" x14ac:dyDescent="0.3">
      <c r="A59" s="70" t="s">
        <v>154</v>
      </c>
      <c r="B59" s="54">
        <f>B56/B55</f>
        <v>0.2</v>
      </c>
      <c r="C59" s="54">
        <f>C56/C55</f>
        <v>0.2</v>
      </c>
      <c r="D59" s="54">
        <f>D56/D55</f>
        <v>0.2</v>
      </c>
      <c r="E59" s="39"/>
      <c r="F59" s="39"/>
      <c r="G59" s="39"/>
      <c r="H59" s="39"/>
      <c r="K59" s="10"/>
      <c r="L59" s="10"/>
    </row>
    <row r="60" spans="1:18" x14ac:dyDescent="0.3">
      <c r="A60" s="70"/>
      <c r="B60" s="53"/>
      <c r="C60" s="53"/>
      <c r="D60" s="53"/>
      <c r="E60" s="53"/>
      <c r="F60" s="53"/>
      <c r="M60" s="18"/>
      <c r="N60" s="18"/>
    </row>
    <row r="61" spans="1:18" x14ac:dyDescent="0.3">
      <c r="A61" s="23" t="s">
        <v>69</v>
      </c>
      <c r="B61" s="35">
        <f>B38*10%</f>
        <v>6329.1074626962245</v>
      </c>
      <c r="C61" s="35">
        <f>C38*10%</f>
        <v>627</v>
      </c>
      <c r="D61" s="35">
        <f>D38*10%</f>
        <v>7139.0696805136295</v>
      </c>
      <c r="E61" s="18"/>
      <c r="F61" s="18"/>
      <c r="M61" s="18"/>
      <c r="N61" s="18"/>
    </row>
    <row r="62" spans="1:18" x14ac:dyDescent="0.3">
      <c r="A62" s="24" t="s">
        <v>71</v>
      </c>
      <c r="B62" s="35">
        <f>B35+B61</f>
        <v>44687.334509340006</v>
      </c>
      <c r="C62" s="35">
        <f>C35+C61</f>
        <v>4427</v>
      </c>
      <c r="D62" s="35">
        <f>D35+D61</f>
        <v>50406.158653323509</v>
      </c>
      <c r="E62" s="18"/>
      <c r="F62" s="18"/>
      <c r="M62" s="18"/>
      <c r="N62" s="18"/>
    </row>
    <row r="63" spans="1:18" x14ac:dyDescent="0.3">
      <c r="A63" s="23" t="s">
        <v>73</v>
      </c>
      <c r="B63" s="35">
        <f>B39</f>
        <v>69620.182089658469</v>
      </c>
      <c r="C63" s="35">
        <f>C39</f>
        <v>6897.0000000000009</v>
      </c>
      <c r="D63" s="35">
        <f>D39</f>
        <v>78529.766485649932</v>
      </c>
      <c r="E63" s="18"/>
      <c r="F63" s="18"/>
      <c r="M63" s="18"/>
      <c r="N63" s="18"/>
    </row>
    <row r="64" spans="1:18" x14ac:dyDescent="0.3">
      <c r="A64" s="35" t="s">
        <v>75</v>
      </c>
      <c r="B64" s="71">
        <f>(B63-B62)/B63</f>
        <v>0.35812672176308546</v>
      </c>
      <c r="C64" s="71">
        <f t="shared" ref="C64:D64" si="12">(C63-C62)/C63</f>
        <v>0.35812672176308546</v>
      </c>
      <c r="D64" s="71">
        <f t="shared" si="12"/>
        <v>0.35812672176308541</v>
      </c>
      <c r="E64" s="18"/>
      <c r="F64" s="18"/>
    </row>
  </sheetData>
  <mergeCells count="2">
    <mergeCell ref="B2:F2"/>
    <mergeCell ref="B3:F3"/>
  </mergeCells>
  <dataValidations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0">
    <tabColor rgb="FF92D050"/>
  </sheetPr>
  <dimension ref="E3:F24"/>
  <sheetViews>
    <sheetView workbookViewId="0"/>
  </sheetViews>
  <sheetFormatPr baseColWidth="10" defaultColWidth="11.5546875" defaultRowHeight="13.8" x14ac:dyDescent="0.25"/>
  <cols>
    <col min="1" max="4" width="11.5546875" style="28"/>
    <col min="5" max="5" width="39.33203125" style="28" bestFit="1" customWidth="1"/>
    <col min="6" max="6" width="12.6640625" style="28" bestFit="1" customWidth="1"/>
    <col min="7" max="16384" width="11.5546875" style="28"/>
  </cols>
  <sheetData>
    <row r="3" spans="5:6" x14ac:dyDescent="0.25">
      <c r="F3" s="28" t="s">
        <v>158</v>
      </c>
    </row>
    <row r="4" spans="5:6" x14ac:dyDescent="0.25">
      <c r="E4" s="28" t="s">
        <v>159</v>
      </c>
      <c r="F4" s="85">
        <v>8000</v>
      </c>
    </row>
    <row r="5" spans="5:6" x14ac:dyDescent="0.25">
      <c r="E5" s="28" t="s">
        <v>160</v>
      </c>
      <c r="F5" s="85">
        <v>7000</v>
      </c>
    </row>
    <row r="6" spans="5:6" x14ac:dyDescent="0.25">
      <c r="E6" s="28" t="s">
        <v>161</v>
      </c>
      <c r="F6" s="85">
        <v>7000</v>
      </c>
    </row>
    <row r="7" spans="5:6" x14ac:dyDescent="0.25">
      <c r="E7" s="28" t="s">
        <v>162</v>
      </c>
      <c r="F7" s="85">
        <v>7000</v>
      </c>
    </row>
    <row r="8" spans="5:6" x14ac:dyDescent="0.25">
      <c r="E8" s="28" t="s">
        <v>163</v>
      </c>
      <c r="F8" s="86">
        <f>SUM(F4:F7)</f>
        <v>29000</v>
      </c>
    </row>
    <row r="9" spans="5:6" x14ac:dyDescent="0.25">
      <c r="E9" s="28" t="s">
        <v>164</v>
      </c>
      <c r="F9" s="86">
        <v>1500</v>
      </c>
    </row>
    <row r="10" spans="5:6" x14ac:dyDescent="0.25">
      <c r="E10" s="28" t="s">
        <v>165</v>
      </c>
      <c r="F10" s="86">
        <v>2000</v>
      </c>
    </row>
    <row r="11" spans="5:6" x14ac:dyDescent="0.25">
      <c r="F11" s="87">
        <f>SUM(F8:F10)</f>
        <v>32500</v>
      </c>
    </row>
    <row r="12" spans="5:6" x14ac:dyDescent="0.25">
      <c r="E12" s="88" t="s">
        <v>166</v>
      </c>
      <c r="F12" s="89">
        <v>5000</v>
      </c>
    </row>
    <row r="13" spans="5:6" x14ac:dyDescent="0.25">
      <c r="E13" s="88" t="s">
        <v>167</v>
      </c>
      <c r="F13" s="89">
        <v>2500</v>
      </c>
    </row>
    <row r="14" spans="5:6" x14ac:dyDescent="0.25">
      <c r="E14" s="28" t="s">
        <v>168</v>
      </c>
      <c r="F14" s="85">
        <v>166636.48695729114</v>
      </c>
    </row>
    <row r="16" spans="5:6" x14ac:dyDescent="0.25">
      <c r="E16" s="28" t="s">
        <v>169</v>
      </c>
      <c r="F16" s="86">
        <f>+F11+F12+F13</f>
        <v>40000</v>
      </c>
    </row>
    <row r="18" spans="5:6" x14ac:dyDescent="0.25">
      <c r="E18" s="28" t="s">
        <v>170</v>
      </c>
      <c r="F18" s="85">
        <f>+F16/F14</f>
        <v>0.24004346665236637</v>
      </c>
    </row>
    <row r="19" spans="5:6" x14ac:dyDescent="0.25">
      <c r="F19" s="85"/>
    </row>
    <row r="20" spans="5:6" x14ac:dyDescent="0.25">
      <c r="E20" s="90" t="s">
        <v>2</v>
      </c>
      <c r="F20" s="91">
        <f>TEMPLATE!D5</f>
        <v>1000</v>
      </c>
    </row>
    <row r="21" spans="5:6" x14ac:dyDescent="0.25">
      <c r="F21" s="85"/>
    </row>
    <row r="22" spans="5:6" x14ac:dyDescent="0.25">
      <c r="E22" s="28" t="s">
        <v>171</v>
      </c>
      <c r="F22" s="85">
        <f>+F18*F20</f>
        <v>240.04346665236636</v>
      </c>
    </row>
    <row r="24" spans="5:6" x14ac:dyDescent="0.25">
      <c r="E24" s="28" t="s">
        <v>172</v>
      </c>
      <c r="F24" s="95">
        <f>+F22*1.6</f>
        <v>384.06954664378623</v>
      </c>
    </row>
  </sheetData>
  <pageMargins left="0.7" right="0.7" top="0.75" bottom="0.75" header="0.3" footer="0.3"/>
  <pageSetup paperSize="0" orientation="portrait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1"/>
  <dimension ref="B3:U32"/>
  <sheetViews>
    <sheetView workbookViewId="0"/>
  </sheetViews>
  <sheetFormatPr baseColWidth="10" defaultColWidth="11.5546875" defaultRowHeight="13.8" x14ac:dyDescent="0.3"/>
  <cols>
    <col min="1" max="1" width="11.5546875" style="18"/>
    <col min="2" max="2" width="25.88671875" style="18" bestFit="1" customWidth="1"/>
    <col min="3" max="3" width="6" style="18" bestFit="1" customWidth="1"/>
    <col min="4" max="4" width="9.5546875" style="61" bestFit="1" customWidth="1"/>
    <col min="5" max="5" width="9.33203125" style="61" bestFit="1" customWidth="1"/>
    <col min="6" max="6" width="9.44140625" style="61" bestFit="1" customWidth="1"/>
    <col min="7" max="7" width="9.33203125" style="61" customWidth="1"/>
    <col min="8" max="8" width="9.33203125" style="61" bestFit="1" customWidth="1"/>
    <col min="9" max="9" width="11.44140625" style="61" customWidth="1"/>
    <col min="10" max="11" width="11.5546875" style="61"/>
    <col min="12" max="12" width="11.5546875" style="18"/>
    <col min="13" max="13" width="16.6640625" style="18" customWidth="1"/>
    <col min="14" max="14" width="11.5546875" style="18"/>
    <col min="15" max="21" width="11.5546875" style="61"/>
    <col min="22" max="16384" width="11.5546875" style="18"/>
  </cols>
  <sheetData>
    <row r="3" spans="2:21" s="10" customFormat="1" x14ac:dyDescent="0.3">
      <c r="B3" s="10" t="s">
        <v>126</v>
      </c>
      <c r="C3" s="10" t="s">
        <v>127</v>
      </c>
      <c r="D3" s="15" t="s">
        <v>133</v>
      </c>
      <c r="E3" s="15" t="s">
        <v>177</v>
      </c>
      <c r="F3" s="15" t="s">
        <v>132</v>
      </c>
      <c r="G3" s="15" t="s">
        <v>129</v>
      </c>
      <c r="H3" s="15" t="s">
        <v>134</v>
      </c>
      <c r="I3" s="15" t="s">
        <v>130</v>
      </c>
      <c r="J3" s="15" t="s">
        <v>131</v>
      </c>
      <c r="K3" s="15"/>
      <c r="M3" s="10" t="s">
        <v>126</v>
      </c>
      <c r="N3" s="10" t="s">
        <v>127</v>
      </c>
      <c r="O3" s="15" t="s">
        <v>133</v>
      </c>
      <c r="P3" s="15" t="s">
        <v>128</v>
      </c>
      <c r="Q3" s="15" t="s">
        <v>132</v>
      </c>
      <c r="R3" s="15" t="s">
        <v>129</v>
      </c>
      <c r="S3" s="15" t="s">
        <v>134</v>
      </c>
      <c r="T3" s="15" t="s">
        <v>130</v>
      </c>
      <c r="U3" s="15" t="s">
        <v>131</v>
      </c>
    </row>
    <row r="4" spans="2:21" x14ac:dyDescent="0.3">
      <c r="B4" s="18" t="s">
        <v>142</v>
      </c>
      <c r="C4" s="18">
        <v>75</v>
      </c>
      <c r="D4" s="60">
        <v>1210.24</v>
      </c>
      <c r="E4" s="60">
        <f>1.4958*1000</f>
        <v>1495.8</v>
      </c>
      <c r="F4" s="60">
        <v>1339.83</v>
      </c>
      <c r="G4" s="60"/>
      <c r="H4" s="61">
        <v>1622.93</v>
      </c>
      <c r="M4" s="18" t="s">
        <v>143</v>
      </c>
      <c r="N4" s="18">
        <v>80</v>
      </c>
      <c r="O4" s="61">
        <v>1362.34</v>
      </c>
    </row>
    <row r="5" spans="2:21" x14ac:dyDescent="0.3">
      <c r="B5" s="18" t="s">
        <v>142</v>
      </c>
      <c r="C5" s="18">
        <v>90</v>
      </c>
      <c r="D5" s="60">
        <v>1452.29</v>
      </c>
      <c r="E5" s="60"/>
      <c r="F5" s="60">
        <v>1607.8</v>
      </c>
      <c r="G5" s="60"/>
      <c r="H5" s="61">
        <v>1947.52</v>
      </c>
      <c r="M5" s="18" t="s">
        <v>143</v>
      </c>
      <c r="N5" s="18">
        <v>90</v>
      </c>
      <c r="O5" s="61">
        <v>1505.85</v>
      </c>
      <c r="Q5" s="61">
        <v>1667.09</v>
      </c>
      <c r="S5" s="61">
        <v>2019.34</v>
      </c>
    </row>
    <row r="6" spans="2:21" x14ac:dyDescent="0.3">
      <c r="B6" s="18" t="s">
        <v>142</v>
      </c>
      <c r="C6" s="18">
        <v>120</v>
      </c>
      <c r="D6" s="60">
        <v>1960.19</v>
      </c>
      <c r="E6" s="60"/>
      <c r="F6" s="60">
        <v>2170.09</v>
      </c>
      <c r="G6" s="60"/>
      <c r="H6" s="61">
        <v>2628.61</v>
      </c>
      <c r="M6" s="18" t="s">
        <v>143</v>
      </c>
      <c r="N6" s="18">
        <v>100</v>
      </c>
      <c r="O6" s="61">
        <v>1633.49</v>
      </c>
      <c r="Q6" s="61">
        <v>1808.41</v>
      </c>
      <c r="S6" s="61">
        <v>2190.5100000000002</v>
      </c>
    </row>
    <row r="7" spans="2:21" ht="14.4" x14ac:dyDescent="0.3">
      <c r="B7"/>
      <c r="C7"/>
      <c r="D7"/>
      <c r="E7"/>
      <c r="F7"/>
      <c r="G7"/>
      <c r="H7"/>
      <c r="I7"/>
      <c r="J7"/>
      <c r="K7"/>
      <c r="M7" s="18" t="s">
        <v>143</v>
      </c>
      <c r="N7" s="18">
        <v>115</v>
      </c>
      <c r="O7" s="61">
        <v>1878.52</v>
      </c>
      <c r="Q7" s="61">
        <v>2079.67</v>
      </c>
      <c r="S7" s="61">
        <v>2519.09</v>
      </c>
    </row>
    <row r="8" spans="2:21" ht="14.4" x14ac:dyDescent="0.3">
      <c r="B8"/>
      <c r="C8"/>
      <c r="D8"/>
      <c r="E8"/>
      <c r="F8"/>
      <c r="G8"/>
      <c r="H8"/>
      <c r="I8"/>
      <c r="J8"/>
      <c r="K8"/>
      <c r="M8" s="18" t="s">
        <v>143</v>
      </c>
      <c r="N8" s="18">
        <v>130</v>
      </c>
      <c r="O8" s="61">
        <v>2123.54</v>
      </c>
      <c r="Q8" s="61">
        <v>2350.9299999999998</v>
      </c>
      <c r="S8" s="61">
        <v>2847.66</v>
      </c>
    </row>
    <row r="9" spans="2:21" ht="14.4" x14ac:dyDescent="0.3">
      <c r="B9"/>
      <c r="C9"/>
      <c r="D9"/>
      <c r="E9"/>
      <c r="F9"/>
      <c r="G9"/>
      <c r="H9"/>
      <c r="I9"/>
      <c r="J9"/>
      <c r="K9"/>
      <c r="M9" s="18" t="s">
        <v>143</v>
      </c>
      <c r="N9" s="18">
        <v>150</v>
      </c>
      <c r="O9" s="61">
        <v>2450.2399999999998</v>
      </c>
      <c r="Q9" s="61">
        <v>2712.61</v>
      </c>
      <c r="S9" s="61">
        <v>3285.77</v>
      </c>
    </row>
    <row r="10" spans="2:21" ht="14.4" x14ac:dyDescent="0.3">
      <c r="B10"/>
      <c r="C10"/>
      <c r="D10"/>
      <c r="E10"/>
      <c r="F10"/>
      <c r="G10"/>
      <c r="H10"/>
      <c r="I10"/>
      <c r="J10"/>
      <c r="K10"/>
      <c r="M10" s="18" t="s">
        <v>143</v>
      </c>
      <c r="N10" s="18">
        <v>200</v>
      </c>
      <c r="O10" s="61">
        <v>3266.99</v>
      </c>
      <c r="Q10" s="61">
        <v>3616.81</v>
      </c>
      <c r="S10" s="61">
        <v>4381.0200000000004</v>
      </c>
    </row>
    <row r="11" spans="2:21" ht="14.4" x14ac:dyDescent="0.3">
      <c r="B11"/>
      <c r="C11"/>
      <c r="D11"/>
      <c r="E11"/>
      <c r="F11"/>
      <c r="G11"/>
      <c r="H11"/>
      <c r="I11"/>
      <c r="J11"/>
      <c r="K11"/>
      <c r="M11" s="18" t="s">
        <v>143</v>
      </c>
      <c r="N11" s="18">
        <v>250</v>
      </c>
      <c r="O11" s="61">
        <v>4083.74</v>
      </c>
      <c r="Q11" s="61">
        <v>4521.0200000000004</v>
      </c>
      <c r="S11" s="61">
        <v>5476.28</v>
      </c>
    </row>
    <row r="12" spans="2:21" ht="14.4" x14ac:dyDescent="0.3">
      <c r="B12"/>
      <c r="C12"/>
      <c r="D12"/>
      <c r="E12"/>
      <c r="F12"/>
      <c r="G12"/>
      <c r="H12"/>
      <c r="I12"/>
      <c r="J12"/>
      <c r="K12"/>
      <c r="M12" s="18" t="s">
        <v>143</v>
      </c>
      <c r="N12" s="18">
        <v>300</v>
      </c>
      <c r="O12" s="61">
        <v>5019.5</v>
      </c>
      <c r="Q12" s="61">
        <v>5556.98</v>
      </c>
      <c r="S12" s="61">
        <v>6731.13</v>
      </c>
    </row>
    <row r="13" spans="2:21" ht="14.4" x14ac:dyDescent="0.3">
      <c r="B13"/>
      <c r="C13"/>
      <c r="D13"/>
      <c r="E13"/>
      <c r="F13"/>
      <c r="G13"/>
      <c r="H13"/>
      <c r="I13"/>
      <c r="J13"/>
      <c r="K13"/>
    </row>
    <row r="14" spans="2:21" ht="14.4" x14ac:dyDescent="0.3">
      <c r="B14"/>
      <c r="C14"/>
      <c r="D14"/>
      <c r="E14"/>
      <c r="F14"/>
      <c r="G14"/>
      <c r="H14"/>
      <c r="I14"/>
      <c r="J14"/>
      <c r="K14"/>
    </row>
    <row r="15" spans="2:21" ht="14.4" x14ac:dyDescent="0.3">
      <c r="B15"/>
      <c r="C15"/>
      <c r="D15"/>
      <c r="E15"/>
      <c r="F15"/>
      <c r="G15"/>
      <c r="H15"/>
      <c r="I15"/>
      <c r="J15"/>
      <c r="K15"/>
    </row>
    <row r="32" spans="5:5" ht="14.4" x14ac:dyDescent="0.3">
      <c r="E32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107</vt:i4>
      </vt:variant>
    </vt:vector>
  </HeadingPairs>
  <TitlesOfParts>
    <vt:vector size="107" baseType="lpstr">
      <vt:lpstr>Hoja16</vt:lpstr>
      <vt:lpstr>BASE DE DATOS</vt:lpstr>
      <vt:lpstr>002A2027</vt:lpstr>
      <vt:lpstr>114-5566-000</vt:lpstr>
      <vt:lpstr>114-5681-000</vt:lpstr>
      <vt:lpstr>114A3935E</vt:lpstr>
      <vt:lpstr>114-5692-000</vt:lpstr>
      <vt:lpstr>114A4464</vt:lpstr>
      <vt:lpstr>Acomodo Familia E2</vt:lpstr>
      <vt:lpstr>Embalaje Familia E2</vt:lpstr>
      <vt:lpstr>Hoja1</vt:lpstr>
      <vt:lpstr>114A4714B</vt:lpstr>
      <vt:lpstr>Acomodo Familia A1</vt:lpstr>
      <vt:lpstr>Embalaje Familia A1</vt:lpstr>
      <vt:lpstr>01-39502</vt:lpstr>
      <vt:lpstr>Acomodo Familia A2</vt:lpstr>
      <vt:lpstr>Embalaje Familia A2</vt:lpstr>
      <vt:lpstr>Acomodo Familia A3</vt:lpstr>
      <vt:lpstr>Embalaje Familia A3</vt:lpstr>
      <vt:lpstr>114A5043</vt:lpstr>
      <vt:lpstr>114A5044</vt:lpstr>
      <vt:lpstr>01-38939</vt:lpstr>
      <vt:lpstr>114-5433-000</vt:lpstr>
      <vt:lpstr>114A4109D</vt:lpstr>
      <vt:lpstr>114-5801-000</vt:lpstr>
      <vt:lpstr>Acomodo Familia A4</vt:lpstr>
      <vt:lpstr>Embalaje Familia A4</vt:lpstr>
      <vt:lpstr>114A2074I-1</vt:lpstr>
      <vt:lpstr>Acomodo Familia A5</vt:lpstr>
      <vt:lpstr>Embalaje Familia A5</vt:lpstr>
      <vt:lpstr>01-34213</vt:lpstr>
      <vt:lpstr>Acomodo Familia A6</vt:lpstr>
      <vt:lpstr>Embalaje Familia A6</vt:lpstr>
      <vt:lpstr>01-34005</vt:lpstr>
      <vt:lpstr>01-39384B</vt:lpstr>
      <vt:lpstr>01-39413B</vt:lpstr>
      <vt:lpstr>Acomodo Familia A7</vt:lpstr>
      <vt:lpstr>Embalaje Familia A7</vt:lpstr>
      <vt:lpstr>01-39405B</vt:lpstr>
      <vt:lpstr>01-39380B</vt:lpstr>
      <vt:lpstr>Acomodo Familia A8</vt:lpstr>
      <vt:lpstr>Embalaje Familia A8</vt:lpstr>
      <vt:lpstr>01-39381B</vt:lpstr>
      <vt:lpstr>01-39407B</vt:lpstr>
      <vt:lpstr>01-39382C</vt:lpstr>
      <vt:lpstr>01-39409C</vt:lpstr>
      <vt:lpstr>Acomodo Familia A9</vt:lpstr>
      <vt:lpstr>Embalaje Familia A9</vt:lpstr>
      <vt:lpstr>8114A2935E</vt:lpstr>
      <vt:lpstr>Acomodo Familia A10</vt:lpstr>
      <vt:lpstr>Embalaje Familia A10</vt:lpstr>
      <vt:lpstr>8114A3656D</vt:lpstr>
      <vt:lpstr>8114A3657E</vt:lpstr>
      <vt:lpstr>114A4962</vt:lpstr>
      <vt:lpstr>Acomodo Familia A11</vt:lpstr>
      <vt:lpstr>Embalaje Familia A11</vt:lpstr>
      <vt:lpstr>Acomodo Familia A12</vt:lpstr>
      <vt:lpstr>Embalaje Familia A12</vt:lpstr>
      <vt:lpstr>114-5741-000</vt:lpstr>
      <vt:lpstr>Acomodo Familia A13</vt:lpstr>
      <vt:lpstr>Embalaje Familia A13</vt:lpstr>
      <vt:lpstr>Acomodo Familia B1</vt:lpstr>
      <vt:lpstr>Embalaje Familia B1</vt:lpstr>
      <vt:lpstr>01-34006</vt:lpstr>
      <vt:lpstr>Acomodo Familia A14</vt:lpstr>
      <vt:lpstr>Embalaje Familia A14</vt:lpstr>
      <vt:lpstr>01-39055</vt:lpstr>
      <vt:lpstr>01-35670B</vt:lpstr>
      <vt:lpstr>114-5709-000</vt:lpstr>
      <vt:lpstr>114-5711-010</vt:lpstr>
      <vt:lpstr>114-5819-000</vt:lpstr>
      <vt:lpstr>Acomodo Familia B2</vt:lpstr>
      <vt:lpstr>Embalaje Familia B2</vt:lpstr>
      <vt:lpstr>002-2389-000</vt:lpstr>
      <vt:lpstr>002-2372-000</vt:lpstr>
      <vt:lpstr>Acomodo Familia B3</vt:lpstr>
      <vt:lpstr>Embalaje Familia B3</vt:lpstr>
      <vt:lpstr>Acomodo Familia B4</vt:lpstr>
      <vt:lpstr>Embalaje Familia B4</vt:lpstr>
      <vt:lpstr>114-5589-000</vt:lpstr>
      <vt:lpstr>Acomodo Familia B5</vt:lpstr>
      <vt:lpstr>Embalaje Familia B5</vt:lpstr>
      <vt:lpstr>002-2373-000</vt:lpstr>
      <vt:lpstr>Acomodo Familia B6</vt:lpstr>
      <vt:lpstr>Embalaje Familia B6</vt:lpstr>
      <vt:lpstr>01-39240-2</vt:lpstr>
      <vt:lpstr>01-39240-1</vt:lpstr>
      <vt:lpstr>01-39240-10</vt:lpstr>
      <vt:lpstr>01-39240-9</vt:lpstr>
      <vt:lpstr>01-39240-4</vt:lpstr>
      <vt:lpstr>01-39240-11</vt:lpstr>
      <vt:lpstr>01-39240-5</vt:lpstr>
      <vt:lpstr>Acomodo Familia C1</vt:lpstr>
      <vt:lpstr>Embalaje Familia C1</vt:lpstr>
      <vt:lpstr>114-5463-000</vt:lpstr>
      <vt:lpstr>Acomodo Familia D1</vt:lpstr>
      <vt:lpstr>Embalaje Familia D1</vt:lpstr>
      <vt:lpstr>01-34219</vt:lpstr>
      <vt:lpstr>114-5461-000</vt:lpstr>
      <vt:lpstr>Acomodo Familia Z1</vt:lpstr>
      <vt:lpstr>Embalaje Familia Z1</vt:lpstr>
      <vt:lpstr>114-5685-000</vt:lpstr>
      <vt:lpstr>Acomodo Familia E1</vt:lpstr>
      <vt:lpstr>Embalaje Familia E1</vt:lpstr>
      <vt:lpstr>TEMPLATE</vt:lpstr>
      <vt:lpstr>Compaginado</vt:lpstr>
      <vt:lpstr>Precios Papel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</dc:creator>
  <cp:lastModifiedBy>DELL</cp:lastModifiedBy>
  <cp:lastPrinted>2023-02-01T02:44:15Z</cp:lastPrinted>
  <dcterms:created xsi:type="dcterms:W3CDTF">2022-04-28T17:25:52Z</dcterms:created>
  <dcterms:modified xsi:type="dcterms:W3CDTF">2023-06-06T18:12:42Z</dcterms:modified>
</cp:coreProperties>
</file>