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bookViews>
    <workbookView xWindow="0" yWindow="0" windowWidth="25600" windowHeight="16000" tabRatio="500"/>
  </bookViews>
  <sheets>
    <sheet name="Gas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D37" i="1"/>
  <c r="D36" i="1"/>
  <c r="D28" i="1"/>
  <c r="D11" i="1"/>
  <c r="D12" i="1"/>
  <c r="D13" i="1"/>
  <c r="D14" i="1"/>
  <c r="D15" i="1"/>
  <c r="D16" i="1"/>
  <c r="D30" i="1"/>
  <c r="H13" i="1"/>
  <c r="D38" i="1"/>
  <c r="H11" i="1"/>
  <c r="N13" i="1"/>
  <c r="N14" i="1"/>
  <c r="N4" i="1"/>
  <c r="L5" i="1"/>
  <c r="O19" i="1"/>
  <c r="O20" i="1"/>
  <c r="O21" i="1"/>
  <c r="O22" i="1"/>
  <c r="L29" i="1"/>
  <c r="Q20" i="1"/>
  <c r="Q13" i="1"/>
  <c r="D7" i="1"/>
  <c r="Q4" i="1"/>
  <c r="O5" i="1"/>
  <c r="Q19" i="1"/>
  <c r="Q21" i="1"/>
  <c r="Q22" i="1"/>
  <c r="L30" i="1"/>
  <c r="H3" i="1"/>
  <c r="D19" i="1"/>
  <c r="H4" i="1"/>
  <c r="H5" i="1"/>
  <c r="H14" i="1"/>
  <c r="N12" i="1"/>
  <c r="N22" i="1"/>
  <c r="L28" i="1"/>
  <c r="N28" i="1"/>
  <c r="N29" i="1"/>
  <c r="N30" i="1"/>
  <c r="N31" i="1"/>
  <c r="N32" i="1"/>
  <c r="H15" i="1"/>
  <c r="H16" i="1"/>
  <c r="H17" i="1"/>
</calcChain>
</file>

<file path=xl/sharedStrings.xml><?xml version="1.0" encoding="utf-8"?>
<sst xmlns="http://schemas.openxmlformats.org/spreadsheetml/2006/main" count="99" uniqueCount="84">
  <si>
    <t>Maquinaria y Equipos Actuales</t>
  </si>
  <si>
    <t>No.</t>
  </si>
  <si>
    <t>Cantidad</t>
  </si>
  <si>
    <t>Nombre</t>
  </si>
  <si>
    <t xml:space="preserve">Valor </t>
  </si>
  <si>
    <t>Laptop Dell Color Rojo, tarjeta de video AMD, procesador intel i5</t>
  </si>
  <si>
    <t>Tapas Laterales Zortrax</t>
  </si>
  <si>
    <t>Impresora Zortrax M200 20x20x20(centímetros)</t>
  </si>
  <si>
    <t>Subtotal Maquinaria y Equipo Actual</t>
  </si>
  <si>
    <t>Mobilirario y Equipo Adicional</t>
  </si>
  <si>
    <t>Inversión</t>
  </si>
  <si>
    <t>MacBook Pro de 13 pulgadas (Procesador de 2.3 GHz Almacenamiento de 256 GB)</t>
  </si>
  <si>
    <t>Samsung - Monitor Curvo de 27" para la visualización en doble pantalla (laptop/monitor) que ayuden a los procesos de programación</t>
  </si>
  <si>
    <t>Reguladores</t>
  </si>
  <si>
    <t>Equipo de oficina (sillas, mesas, impresora, papel)</t>
  </si>
  <si>
    <t>Total Maquinaria y Equipo Adicional</t>
  </si>
  <si>
    <t>Inversión Diferida</t>
  </si>
  <si>
    <t>Registro de marca</t>
  </si>
  <si>
    <t>Hosting</t>
  </si>
  <si>
    <t>Diseño de página web</t>
  </si>
  <si>
    <t>Dominio</t>
  </si>
  <si>
    <t>Total Inversión Directa</t>
  </si>
  <si>
    <t>Capital de Trabajo</t>
  </si>
  <si>
    <t>Concepto</t>
  </si>
  <si>
    <t xml:space="preserve">Descripción </t>
  </si>
  <si>
    <t>Requerimiento</t>
  </si>
  <si>
    <t>Total Capital de Trabajo</t>
  </si>
  <si>
    <t>Efectivo para operación</t>
  </si>
  <si>
    <t>Maquinaria y Equipo</t>
  </si>
  <si>
    <t>Actual</t>
  </si>
  <si>
    <t>Adicional</t>
  </si>
  <si>
    <t>Subtotal Maquinaria y equipo</t>
  </si>
  <si>
    <t>Construcción e Instalaciones</t>
  </si>
  <si>
    <t>Subtotal Construcción e Instalaciones</t>
  </si>
  <si>
    <t>Presupuesto de Inversión</t>
  </si>
  <si>
    <t>Año (0)</t>
  </si>
  <si>
    <t>Inversión en capital de trabajo</t>
  </si>
  <si>
    <t>Activos Diferidos</t>
  </si>
  <si>
    <t>Inversión Adicional</t>
  </si>
  <si>
    <t>Total de Inversiones</t>
  </si>
  <si>
    <t>Efectivo para administración</t>
  </si>
  <si>
    <t>Año 1</t>
  </si>
  <si>
    <t>Precio $/unidad</t>
  </si>
  <si>
    <t>Venta unidad</t>
  </si>
  <si>
    <t>Ingreso $</t>
  </si>
  <si>
    <t>Año 2</t>
  </si>
  <si>
    <t>Producto</t>
  </si>
  <si>
    <t>Total</t>
  </si>
  <si>
    <t>Presupuesto de Venta</t>
  </si>
  <si>
    <t>Flujo de Efectivo</t>
  </si>
  <si>
    <t>Estado del Flujo de Efectivo</t>
  </si>
  <si>
    <t>Año de inversión 0</t>
  </si>
  <si>
    <t>Años de Operación</t>
  </si>
  <si>
    <t>Construcción e instalaciones</t>
  </si>
  <si>
    <t>Cambios en Capital de Trabajo</t>
  </si>
  <si>
    <t>Activos diferidos</t>
  </si>
  <si>
    <t>Valor de Rescate Construcción</t>
  </si>
  <si>
    <t>Valor de Rescate Equipo</t>
  </si>
  <si>
    <t>Flujos de inversión</t>
  </si>
  <si>
    <t>Flujos Operativos</t>
  </si>
  <si>
    <t>Entradas de efectivo</t>
  </si>
  <si>
    <t>Gastos</t>
  </si>
  <si>
    <t>Impuestos (aproximados)</t>
  </si>
  <si>
    <t>Flujo de Efectivo Relevante</t>
  </si>
  <si>
    <t>Año</t>
  </si>
  <si>
    <t>Flujo Efectivo</t>
  </si>
  <si>
    <t>Flujo Acumulado</t>
  </si>
  <si>
    <t>Tasa de Rendimiento Económico</t>
  </si>
  <si>
    <t>Tasa Interna de Retorno (2 años)</t>
  </si>
  <si>
    <t>Tiempo de recuperación</t>
  </si>
  <si>
    <t>iMac 4k 2017</t>
  </si>
  <si>
    <t>PC Escritorio</t>
  </si>
  <si>
    <t>Inversion en dolares a dia 27/sep/2018</t>
  </si>
  <si>
    <t>Marketing</t>
  </si>
  <si>
    <t>Samsung Galaxy Note 9 para pruebas de la app bajo el sistema operativo Android</t>
  </si>
  <si>
    <t>iPhone XS (64 GB) para pruebas de la app bajo el sistema operativo iOS</t>
  </si>
  <si>
    <t>Renta de oficina</t>
  </si>
  <si>
    <t>Desarrollo de software</t>
  </si>
  <si>
    <t>Efectivo destinado para app Android</t>
  </si>
  <si>
    <t>Efectivo destinado para app iOS</t>
  </si>
  <si>
    <t>Sueldos y salarios (desarrollo del producto 6 meses)</t>
  </si>
  <si>
    <t>Contempla todos aquellos activos fijos (6 meses)</t>
  </si>
  <si>
    <t>Proteccion derechos de autor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</si>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</sst>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C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/>
    <xf numFmtId="44" fontId="0" fillId="0" borderId="1" xfId="2" applyFont="1" applyBorder="1"/>
    <xf numFmtId="44" fontId="0" fillId="0" borderId="1" xfId="0" applyNumberFormat="1" applyBorder="1"/>
    <xf numFmtId="44" fontId="0" fillId="0" borderId="1" xfId="0" applyNumberFormat="1" applyBorder="1" applyAlignment="1"/>
    <xf numFmtId="0" fontId="0" fillId="0" borderId="0" xfId="0" applyAlignment="1">
      <alignment wrapText="1"/>
    </xf>
    <xf numFmtId="44" fontId="0" fillId="0" borderId="1" xfId="0" applyNumberFormat="1" applyBorder="1" applyAlignment="1">
      <alignment wrapText="1"/>
    </xf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4" fontId="0" fillId="0" borderId="1" xfId="2" applyFont="1" applyBorder="1" applyAlignment="1">
      <alignment horizontal="center"/>
    </xf>
    <xf numFmtId="44" fontId="5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4" fontId="0" fillId="0" borderId="1" xfId="2" applyFont="1" applyFill="1" applyBorder="1"/>
    <xf numFmtId="44" fontId="0" fillId="0" borderId="1" xfId="2" applyFont="1" applyBorder="1" applyAlignment="1">
      <alignment vertical="center" wrapText="1"/>
    </xf>
    <xf numFmtId="44" fontId="5" fillId="0" borderId="1" xfId="0" applyNumberFormat="1" applyFont="1" applyBorder="1" applyAlignment="1">
      <alignment wrapText="1"/>
    </xf>
    <xf numFmtId="0" fontId="8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44" fontId="6" fillId="4" borderId="1" xfId="0" applyNumberFormat="1" applyFon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2" applyFont="1" applyBorder="1"/>
    <xf numFmtId="44" fontId="0" fillId="0" borderId="4" xfId="0" applyNumberFormat="1" applyBorder="1"/>
    <xf numFmtId="44" fontId="0" fillId="0" borderId="4" xfId="0" applyNumberFormat="1" applyBorder="1" applyAlignment="1">
      <alignment wrapText="1"/>
    </xf>
    <xf numFmtId="44" fontId="0" fillId="0" borderId="4" xfId="0" applyNumberFormat="1" applyBorder="1" applyAlignment="1"/>
    <xf numFmtId="44" fontId="0" fillId="0" borderId="4" xfId="2" applyFont="1" applyFill="1" applyBorder="1"/>
    <xf numFmtId="44" fontId="5" fillId="0" borderId="4" xfId="0" applyNumberFormat="1" applyFont="1" applyBorder="1"/>
    <xf numFmtId="9" fontId="0" fillId="0" borderId="0" xfId="0" applyNumberFormat="1"/>
    <xf numFmtId="0" fontId="8" fillId="0" borderId="0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9" fontId="5" fillId="0" borderId="10" xfId="1" applyNumberFormat="1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9" fontId="5" fillId="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7" xfId="2" applyFont="1" applyBorder="1" applyAlignment="1">
      <alignment horizontal="center"/>
    </xf>
    <xf numFmtId="44" fontId="5" fillId="0" borderId="5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2" borderId="8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4" fontId="0" fillId="0" borderId="5" xfId="2" applyFont="1" applyBorder="1" applyAlignment="1">
      <alignment horizontal="center" wrapText="1"/>
    </xf>
    <xf numFmtId="44" fontId="0" fillId="0" borderId="7" xfId="2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4" xfId="0" applyNumberFormat="1" applyBorder="1"/>
    <xf numFmtId="44" fontId="5" fillId="0" borderId="7" xfId="0" applyNumberFormat="1" applyFon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78" zoomScaleNormal="78" zoomScalePageLayoutView="78" workbookViewId="0">
      <selection activeCell="O5" sqref="O5:Q5"/>
    </sheetView>
  </sheetViews>
  <sheetFormatPr baseColWidth="10" defaultRowHeight="16" x14ac:dyDescent="0.2"/>
  <cols>
    <col min="1" max="1" width="7.5" customWidth="1"/>
    <col min="2" max="2" width="8.6640625" customWidth="1"/>
    <col min="3" max="3" width="109.1640625" customWidth="1"/>
    <col min="4" max="4" width="18" customWidth="1"/>
    <col min="7" max="7" width="35.5" customWidth="1"/>
    <col min="8" max="8" width="20" customWidth="1"/>
    <col min="11" max="11" width="21.1640625" customWidth="1"/>
    <col min="12" max="12" width="18.6640625" customWidth="1"/>
    <col min="13" max="13" width="13.1640625" customWidth="1"/>
    <col min="14" max="14" width="17" customWidth="1"/>
    <col min="15" max="15" width="16.1640625" customWidth="1"/>
    <col min="16" max="16" width="12.83203125" customWidth="1"/>
    <col min="17" max="17" width="14.1640625" customWidth="1"/>
    <col min="18" max="18" width="12" customWidth="1"/>
    <col min="19" max="19" width="13.33203125" customWidth="1"/>
  </cols>
  <sheetData>
    <row r="1" spans="1:18" ht="21" x14ac:dyDescent="0.25">
      <c r="A1" s="85" t="s">
        <v>0</v>
      </c>
      <c r="B1" s="85"/>
      <c r="C1" s="85"/>
      <c r="D1" s="85"/>
      <c r="E1" s="1"/>
      <c r="F1" s="1"/>
      <c r="G1" s="21" t="s">
        <v>34</v>
      </c>
      <c r="H1" s="21" t="s">
        <v>35</v>
      </c>
      <c r="I1" s="1"/>
      <c r="J1" s="59" t="s">
        <v>48</v>
      </c>
      <c r="K1" s="59"/>
      <c r="L1" s="59"/>
      <c r="M1" s="59"/>
      <c r="N1" s="59"/>
      <c r="O1" s="59"/>
      <c r="P1" s="59"/>
      <c r="Q1" s="59"/>
    </row>
    <row r="2" spans="1:18" ht="16" customHeight="1" x14ac:dyDescent="0.2">
      <c r="A2" s="15" t="s">
        <v>1</v>
      </c>
      <c r="B2" s="15" t="s">
        <v>2</v>
      </c>
      <c r="C2" s="15" t="s">
        <v>3</v>
      </c>
      <c r="D2" s="15" t="s">
        <v>4</v>
      </c>
      <c r="G2" s="69" t="s">
        <v>28</v>
      </c>
      <c r="H2" s="70"/>
      <c r="J2" s="64" t="s">
        <v>46</v>
      </c>
      <c r="K2" s="64"/>
      <c r="L2" s="63" t="s">
        <v>41</v>
      </c>
      <c r="M2" s="63"/>
      <c r="N2" s="63"/>
      <c r="O2" s="63" t="s">
        <v>45</v>
      </c>
      <c r="P2" s="63"/>
      <c r="Q2" s="63"/>
    </row>
    <row r="3" spans="1:18" x14ac:dyDescent="0.2">
      <c r="A3" s="8">
        <v>1</v>
      </c>
      <c r="B3" s="8">
        <v>1</v>
      </c>
      <c r="C3" s="12" t="s">
        <v>7</v>
      </c>
      <c r="D3" s="13">
        <v>42000</v>
      </c>
      <c r="G3" s="8" t="s">
        <v>29</v>
      </c>
      <c r="H3" s="3">
        <f>D7</f>
        <v>96998.1</v>
      </c>
      <c r="J3" s="64"/>
      <c r="K3" s="64"/>
      <c r="L3" s="25" t="s">
        <v>42</v>
      </c>
      <c r="M3" s="25" t="s">
        <v>43</v>
      </c>
      <c r="N3" s="25" t="s">
        <v>44</v>
      </c>
      <c r="O3" s="25" t="s">
        <v>42</v>
      </c>
      <c r="P3" s="25" t="s">
        <v>43</v>
      </c>
      <c r="Q3" s="25" t="s">
        <v>44</v>
      </c>
    </row>
    <row r="4" spans="1:18" x14ac:dyDescent="0.2">
      <c r="A4" s="8">
        <v>2</v>
      </c>
      <c r="B4" s="8">
        <v>1</v>
      </c>
      <c r="C4" s="12" t="s">
        <v>6</v>
      </c>
      <c r="D4" s="13">
        <v>2000</v>
      </c>
      <c r="G4" s="8" t="s">
        <v>30</v>
      </c>
      <c r="H4" s="3">
        <f>D19</f>
        <v>393192</v>
      </c>
      <c r="J4" s="26">
        <v>1</v>
      </c>
      <c r="K4" s="26" t="s">
        <v>83</v>
      </c>
      <c r="L4" s="27">
        <v>5000000</v>
      </c>
      <c r="M4" s="97">
        <v>0.16</v>
      </c>
      <c r="N4" s="27">
        <f>L4*M4</f>
        <v>800000</v>
      </c>
      <c r="O4" s="28">
        <f>10000000</f>
        <v>10000000</v>
      </c>
      <c r="P4" s="98">
        <v>0.16</v>
      </c>
      <c r="Q4" s="28">
        <f>O4*P4</f>
        <v>1600000</v>
      </c>
    </row>
    <row r="5" spans="1:18" s="1" customFormat="1" x14ac:dyDescent="0.2">
      <c r="A5" s="9">
        <v>4</v>
      </c>
      <c r="B5" s="9">
        <v>1</v>
      </c>
      <c r="C5" s="9" t="s">
        <v>5</v>
      </c>
      <c r="D5" s="11">
        <v>17999.099999999999</v>
      </c>
      <c r="G5" s="8" t="s">
        <v>31</v>
      </c>
      <c r="H5" s="4">
        <f>SUM(H3:H4)</f>
        <v>490190.1</v>
      </c>
      <c r="J5" s="46" t="s">
        <v>47</v>
      </c>
      <c r="K5" s="46"/>
      <c r="L5" s="50">
        <f>N4</f>
        <v>800000</v>
      </c>
      <c r="M5" s="65"/>
      <c r="N5" s="49"/>
      <c r="O5" s="50">
        <f>Q4</f>
        <v>1600000</v>
      </c>
      <c r="P5" s="65"/>
      <c r="Q5" s="49"/>
    </row>
    <row r="6" spans="1:18" x14ac:dyDescent="0.2">
      <c r="A6" s="9">
        <v>5</v>
      </c>
      <c r="B6" s="9">
        <v>1</v>
      </c>
      <c r="C6" s="9" t="s">
        <v>70</v>
      </c>
      <c r="D6" s="11">
        <v>34999</v>
      </c>
      <c r="G6" s="69" t="s">
        <v>32</v>
      </c>
      <c r="H6" s="70"/>
    </row>
    <row r="7" spans="1:18" ht="19" x14ac:dyDescent="0.25">
      <c r="A7" s="81" t="s">
        <v>8</v>
      </c>
      <c r="B7" s="81"/>
      <c r="C7" s="81"/>
      <c r="D7" s="14">
        <f>SUM(D3:D6)</f>
        <v>96998.1</v>
      </c>
      <c r="G7" s="8" t="s">
        <v>29</v>
      </c>
      <c r="H7" s="2">
        <v>0</v>
      </c>
    </row>
    <row r="8" spans="1:18" ht="21" x14ac:dyDescent="0.25">
      <c r="G8" s="8" t="s">
        <v>30</v>
      </c>
      <c r="H8" s="2">
        <v>0</v>
      </c>
      <c r="J8" s="59" t="s">
        <v>50</v>
      </c>
      <c r="K8" s="59"/>
      <c r="L8" s="59"/>
      <c r="M8" s="59"/>
      <c r="N8" s="59"/>
      <c r="O8" s="59"/>
      <c r="P8" s="59"/>
      <c r="Q8" s="59"/>
      <c r="R8" s="59"/>
    </row>
    <row r="9" spans="1:18" ht="21" x14ac:dyDescent="0.25">
      <c r="A9" s="85" t="s">
        <v>9</v>
      </c>
      <c r="B9" s="85"/>
      <c r="C9" s="85"/>
      <c r="D9" s="85"/>
      <c r="G9" s="8" t="s">
        <v>33</v>
      </c>
      <c r="H9" s="2">
        <v>0</v>
      </c>
      <c r="J9" s="62" t="s">
        <v>49</v>
      </c>
      <c r="K9" s="62"/>
      <c r="L9" s="62"/>
      <c r="M9" s="62"/>
      <c r="N9" s="60" t="s">
        <v>51</v>
      </c>
      <c r="O9" s="103" t="s">
        <v>52</v>
      </c>
      <c r="P9" s="104"/>
      <c r="Q9" s="104"/>
      <c r="R9" s="105"/>
    </row>
    <row r="10" spans="1:18" s="5" customFormat="1" x14ac:dyDescent="0.2">
      <c r="A10" s="15" t="s">
        <v>1</v>
      </c>
      <c r="B10" s="15" t="s">
        <v>2</v>
      </c>
      <c r="C10" s="15" t="s">
        <v>3</v>
      </c>
      <c r="D10" s="15" t="s">
        <v>10</v>
      </c>
      <c r="G10" s="79" t="s">
        <v>22</v>
      </c>
      <c r="H10" s="79"/>
      <c r="J10" s="62"/>
      <c r="K10" s="62"/>
      <c r="L10" s="62"/>
      <c r="M10" s="62"/>
      <c r="N10" s="60"/>
      <c r="O10" s="60">
        <v>1</v>
      </c>
      <c r="P10" s="60"/>
      <c r="Q10" s="101">
        <v>2</v>
      </c>
      <c r="R10" s="102"/>
    </row>
    <row r="11" spans="1:18" s="5" customFormat="1" ht="16" customHeight="1" x14ac:dyDescent="0.2">
      <c r="A11" s="10">
        <v>1</v>
      </c>
      <c r="B11" s="10">
        <v>2</v>
      </c>
      <c r="C11" s="10" t="s">
        <v>11</v>
      </c>
      <c r="D11" s="19">
        <f>34999*B11</f>
        <v>69998</v>
      </c>
      <c r="G11" s="12" t="s">
        <v>36</v>
      </c>
      <c r="H11" s="6">
        <f>D38</f>
        <v>500000</v>
      </c>
      <c r="J11" s="71" t="s">
        <v>58</v>
      </c>
      <c r="K11" s="72"/>
      <c r="L11" s="72"/>
      <c r="M11" s="72"/>
      <c r="N11" s="73"/>
      <c r="O11" s="57"/>
      <c r="P11" s="58"/>
      <c r="Q11" s="57"/>
      <c r="R11" s="58"/>
    </row>
    <row r="12" spans="1:18" s="5" customFormat="1" x14ac:dyDescent="0.2">
      <c r="A12" s="10">
        <v>2</v>
      </c>
      <c r="B12" s="10">
        <v>2</v>
      </c>
      <c r="C12" s="10" t="s">
        <v>75</v>
      </c>
      <c r="D12" s="19">
        <f>B12*23999</f>
        <v>47998</v>
      </c>
      <c r="G12" s="79" t="s">
        <v>37</v>
      </c>
      <c r="H12" s="79"/>
      <c r="J12" s="74" t="s">
        <v>28</v>
      </c>
      <c r="K12" s="74"/>
      <c r="L12" s="74"/>
      <c r="M12" s="74"/>
      <c r="N12" s="29">
        <f>-D19</f>
        <v>-393192</v>
      </c>
      <c r="O12" s="88">
        <v>0</v>
      </c>
      <c r="P12" s="89"/>
      <c r="Q12" s="88">
        <v>0</v>
      </c>
      <c r="R12" s="89"/>
    </row>
    <row r="13" spans="1:18" s="1" customFormat="1" x14ac:dyDescent="0.2">
      <c r="A13" s="10">
        <v>3</v>
      </c>
      <c r="B13" s="10">
        <v>2</v>
      </c>
      <c r="C13" s="10" t="s">
        <v>74</v>
      </c>
      <c r="D13" s="19">
        <f>B13*24999</f>
        <v>49998</v>
      </c>
      <c r="G13" s="8" t="s">
        <v>37</v>
      </c>
      <c r="H13" s="4">
        <f>D30</f>
        <v>324270</v>
      </c>
      <c r="J13" s="46" t="s">
        <v>54</v>
      </c>
      <c r="K13" s="46"/>
      <c r="L13" s="46"/>
      <c r="M13" s="46"/>
      <c r="N13" s="30">
        <f>-D38</f>
        <v>-500000</v>
      </c>
      <c r="O13" s="51">
        <v>0</v>
      </c>
      <c r="P13" s="52"/>
      <c r="Q13" s="51">
        <f>-(240000+(1200*600))</f>
        <v>-960000</v>
      </c>
      <c r="R13" s="52"/>
    </row>
    <row r="14" spans="1:18" x14ac:dyDescent="0.2">
      <c r="A14" s="9">
        <v>4</v>
      </c>
      <c r="B14" s="9">
        <v>2</v>
      </c>
      <c r="C14" s="22" t="s">
        <v>12</v>
      </c>
      <c r="D14" s="11">
        <f>B14*10999</f>
        <v>21998</v>
      </c>
      <c r="G14" s="8" t="s">
        <v>39</v>
      </c>
      <c r="H14" s="3">
        <f>SUM(H3+H4+H11+H13)</f>
        <v>1314460.1000000001</v>
      </c>
      <c r="J14" s="46" t="s">
        <v>55</v>
      </c>
      <c r="K14" s="46"/>
      <c r="L14" s="46"/>
      <c r="M14" s="46"/>
      <c r="N14" s="28">
        <f>-D30</f>
        <v>-324270</v>
      </c>
      <c r="O14" s="51">
        <v>0</v>
      </c>
      <c r="P14" s="52"/>
      <c r="Q14" s="51">
        <v>0</v>
      </c>
      <c r="R14" s="52"/>
    </row>
    <row r="15" spans="1:18" ht="24" customHeight="1" x14ac:dyDescent="0.25">
      <c r="A15" s="9">
        <v>5</v>
      </c>
      <c r="B15" s="9">
        <v>2</v>
      </c>
      <c r="C15" s="10" t="s">
        <v>70</v>
      </c>
      <c r="D15" s="11">
        <f>B15*40000</f>
        <v>80000</v>
      </c>
      <c r="G15" s="23" t="s">
        <v>38</v>
      </c>
      <c r="H15" s="24">
        <f>H4+H11+H13</f>
        <v>1217462</v>
      </c>
      <c r="J15" s="46" t="s">
        <v>53</v>
      </c>
      <c r="K15" s="46"/>
      <c r="L15" s="46"/>
      <c r="M15" s="46"/>
      <c r="N15" s="27">
        <v>0</v>
      </c>
      <c r="O15" s="51">
        <v>0</v>
      </c>
      <c r="P15" s="52"/>
      <c r="Q15" s="51">
        <v>0</v>
      </c>
      <c r="R15" s="52"/>
    </row>
    <row r="16" spans="1:18" x14ac:dyDescent="0.2">
      <c r="A16" s="16">
        <v>12</v>
      </c>
      <c r="B16" s="16">
        <v>4</v>
      </c>
      <c r="C16" s="17" t="s">
        <v>13</v>
      </c>
      <c r="D16" s="2">
        <f>800*B16</f>
        <v>3200</v>
      </c>
      <c r="G16" s="90" t="s">
        <v>72</v>
      </c>
      <c r="H16" s="91">
        <f>H15/17.83</f>
        <v>68281.660123387555</v>
      </c>
      <c r="J16" s="46" t="s">
        <v>56</v>
      </c>
      <c r="K16" s="46"/>
      <c r="L16" s="46"/>
      <c r="M16" s="46"/>
      <c r="N16" s="27">
        <v>0</v>
      </c>
      <c r="O16" s="51">
        <v>0</v>
      </c>
      <c r="P16" s="52"/>
      <c r="Q16" s="51">
        <v>0</v>
      </c>
      <c r="R16" s="52"/>
    </row>
    <row r="17" spans="1:19" x14ac:dyDescent="0.2">
      <c r="A17" s="16">
        <v>13</v>
      </c>
      <c r="B17" s="16">
        <v>1</v>
      </c>
      <c r="C17" s="17" t="s">
        <v>14</v>
      </c>
      <c r="D17" s="2">
        <v>60000</v>
      </c>
      <c r="H17" s="7">
        <f>H15/H16</f>
        <v>17.829999999999998</v>
      </c>
      <c r="J17" s="46" t="s">
        <v>57</v>
      </c>
      <c r="K17" s="46"/>
      <c r="L17" s="46"/>
      <c r="M17" s="46"/>
      <c r="N17" s="27">
        <v>0</v>
      </c>
      <c r="O17" s="51">
        <v>0</v>
      </c>
      <c r="P17" s="52"/>
      <c r="Q17" s="51">
        <v>0</v>
      </c>
      <c r="R17" s="52"/>
    </row>
    <row r="18" spans="1:19" x14ac:dyDescent="0.2">
      <c r="A18" s="16">
        <v>14</v>
      </c>
      <c r="B18" s="16">
        <v>1</v>
      </c>
      <c r="C18" s="17" t="s">
        <v>71</v>
      </c>
      <c r="D18" s="2">
        <v>60000</v>
      </c>
      <c r="J18" s="76" t="s">
        <v>59</v>
      </c>
      <c r="K18" s="77"/>
      <c r="L18" s="77"/>
      <c r="M18" s="77"/>
      <c r="N18" s="78"/>
      <c r="O18" s="48"/>
      <c r="P18" s="49"/>
      <c r="Q18" s="48"/>
      <c r="R18" s="49"/>
    </row>
    <row r="19" spans="1:19" ht="19" x14ac:dyDescent="0.25">
      <c r="A19" s="81" t="s">
        <v>15</v>
      </c>
      <c r="B19" s="81"/>
      <c r="C19" s="81"/>
      <c r="D19" s="14">
        <f>SUM(D11:D18)</f>
        <v>393192</v>
      </c>
      <c r="J19" s="46" t="s">
        <v>60</v>
      </c>
      <c r="K19" s="46"/>
      <c r="L19" s="46"/>
      <c r="M19" s="46"/>
      <c r="N19" s="27">
        <v>0</v>
      </c>
      <c r="O19" s="50">
        <f>L5</f>
        <v>800000</v>
      </c>
      <c r="P19" s="49"/>
      <c r="Q19" s="50">
        <f>O5</f>
        <v>1600000</v>
      </c>
      <c r="R19" s="100"/>
    </row>
    <row r="20" spans="1:19" x14ac:dyDescent="0.2">
      <c r="J20" s="46" t="s">
        <v>61</v>
      </c>
      <c r="K20" s="46"/>
      <c r="L20" s="46"/>
      <c r="M20" s="46"/>
      <c r="N20" s="27">
        <v>0</v>
      </c>
      <c r="O20" s="51">
        <f>-(40000*12)+10000</f>
        <v>-470000</v>
      </c>
      <c r="P20" s="52"/>
      <c r="Q20" s="51">
        <f>-((40000*12))*1.04</f>
        <v>-499200</v>
      </c>
      <c r="R20" s="52"/>
    </row>
    <row r="21" spans="1:19" ht="21" x14ac:dyDescent="0.25">
      <c r="A21" s="83" t="s">
        <v>16</v>
      </c>
      <c r="B21" s="83"/>
      <c r="C21" s="83"/>
      <c r="D21" s="83"/>
      <c r="J21" s="46" t="s">
        <v>62</v>
      </c>
      <c r="K21" s="46"/>
      <c r="L21" s="46"/>
      <c r="M21" s="46"/>
      <c r="N21" s="31">
        <v>0</v>
      </c>
      <c r="O21" s="50">
        <f>-20500</f>
        <v>-20500</v>
      </c>
      <c r="P21" s="49"/>
      <c r="Q21" s="51">
        <f>-58000</f>
        <v>-58000</v>
      </c>
      <c r="R21" s="52"/>
    </row>
    <row r="22" spans="1:19" ht="19" x14ac:dyDescent="0.25">
      <c r="A22" s="84" t="s">
        <v>3</v>
      </c>
      <c r="B22" s="84"/>
      <c r="C22" s="84"/>
      <c r="D22" s="15" t="s">
        <v>10</v>
      </c>
      <c r="J22" s="75" t="s">
        <v>63</v>
      </c>
      <c r="K22" s="75"/>
      <c r="L22" s="75"/>
      <c r="M22" s="75"/>
      <c r="N22" s="32">
        <f>N12+N13+N14</f>
        <v>-1217462</v>
      </c>
      <c r="O22" s="53">
        <f>SUM(O19:P21)</f>
        <v>309500</v>
      </c>
      <c r="P22" s="54"/>
      <c r="Q22" s="53">
        <f>Q19+Q20+Q21</f>
        <v>1042800</v>
      </c>
      <c r="R22" s="99"/>
    </row>
    <row r="23" spans="1:19" x14ac:dyDescent="0.2">
      <c r="A23" s="80" t="s">
        <v>17</v>
      </c>
      <c r="B23" s="80"/>
      <c r="C23" s="80"/>
      <c r="D23" s="2">
        <v>3500</v>
      </c>
      <c r="O23" s="7"/>
    </row>
    <row r="24" spans="1:19" x14ac:dyDescent="0.2">
      <c r="A24" s="80" t="s">
        <v>18</v>
      </c>
      <c r="B24" s="80"/>
      <c r="C24" s="80"/>
      <c r="D24" s="2">
        <v>900</v>
      </c>
      <c r="P24" s="7"/>
    </row>
    <row r="25" spans="1:19" x14ac:dyDescent="0.2">
      <c r="A25" s="80" t="s">
        <v>19</v>
      </c>
      <c r="B25" s="80"/>
      <c r="C25" s="80"/>
      <c r="D25" s="2">
        <v>15000</v>
      </c>
      <c r="P25" s="7"/>
    </row>
    <row r="26" spans="1:19" ht="17" customHeight="1" x14ac:dyDescent="0.25">
      <c r="A26" s="80" t="s">
        <v>20</v>
      </c>
      <c r="B26" s="80"/>
      <c r="C26" s="80"/>
      <c r="D26" s="2">
        <v>870</v>
      </c>
      <c r="J26" s="55" t="s">
        <v>67</v>
      </c>
      <c r="K26" s="55"/>
      <c r="L26" s="55"/>
      <c r="M26" s="55"/>
      <c r="N26" s="55"/>
      <c r="O26" s="55"/>
      <c r="P26" s="34"/>
      <c r="Q26" s="34"/>
      <c r="R26" s="34"/>
      <c r="S26" s="34"/>
    </row>
    <row r="27" spans="1:19" x14ac:dyDescent="0.2">
      <c r="A27" s="92" t="s">
        <v>73</v>
      </c>
      <c r="B27" s="93"/>
      <c r="C27" s="94"/>
      <c r="D27" s="2">
        <v>60000</v>
      </c>
      <c r="J27" s="56" t="s">
        <v>64</v>
      </c>
      <c r="K27" s="56"/>
      <c r="L27" s="56" t="s">
        <v>65</v>
      </c>
      <c r="M27" s="56"/>
      <c r="N27" s="56" t="s">
        <v>66</v>
      </c>
      <c r="O27" s="56"/>
      <c r="P27" s="47"/>
      <c r="Q27" s="47"/>
      <c r="R27" s="47"/>
      <c r="S27" s="47"/>
    </row>
    <row r="28" spans="1:19" x14ac:dyDescent="0.2">
      <c r="A28" s="92" t="s">
        <v>76</v>
      </c>
      <c r="B28" s="93"/>
      <c r="C28" s="94"/>
      <c r="D28" s="2">
        <f>10000*24</f>
        <v>240000</v>
      </c>
      <c r="J28" s="46">
        <v>0</v>
      </c>
      <c r="K28" s="46"/>
      <c r="L28" s="45">
        <f>N22</f>
        <v>-1217462</v>
      </c>
      <c r="M28" s="46"/>
      <c r="N28" s="45">
        <f>L28</f>
        <v>-1217462</v>
      </c>
      <c r="O28" s="46"/>
      <c r="P28" s="41"/>
      <c r="Q28" s="41"/>
      <c r="R28" s="41"/>
      <c r="S28" s="41"/>
    </row>
    <row r="29" spans="1:19" x14ac:dyDescent="0.2">
      <c r="A29" s="80" t="s">
        <v>82</v>
      </c>
      <c r="B29" s="80"/>
      <c r="C29" s="80"/>
      <c r="D29" s="18">
        <v>4000</v>
      </c>
      <c r="J29" s="46">
        <v>1</v>
      </c>
      <c r="K29" s="46"/>
      <c r="L29" s="45">
        <f>O22</f>
        <v>309500</v>
      </c>
      <c r="M29" s="46"/>
      <c r="N29" s="45">
        <f>N28+L29</f>
        <v>-907962</v>
      </c>
      <c r="O29" s="46"/>
      <c r="P29" s="42"/>
      <c r="Q29" s="42"/>
      <c r="R29" s="42"/>
      <c r="S29" s="42"/>
    </row>
    <row r="30" spans="1:19" ht="19" x14ac:dyDescent="0.25">
      <c r="A30" s="81" t="s">
        <v>21</v>
      </c>
      <c r="B30" s="81"/>
      <c r="C30" s="81"/>
      <c r="D30" s="14">
        <f>SUM(D23:D29)</f>
        <v>324270</v>
      </c>
      <c r="J30" s="46">
        <v>2</v>
      </c>
      <c r="K30" s="46"/>
      <c r="L30" s="45">
        <f>Q22</f>
        <v>1042800</v>
      </c>
      <c r="M30" s="46"/>
      <c r="N30" s="45">
        <f>N29+L30</f>
        <v>134838</v>
      </c>
      <c r="O30" s="46"/>
      <c r="P30" s="42"/>
      <c r="Q30" s="42"/>
      <c r="R30" s="42"/>
      <c r="S30" s="42"/>
    </row>
    <row r="31" spans="1:19" ht="19" x14ac:dyDescent="0.25">
      <c r="J31" s="43" t="s">
        <v>69</v>
      </c>
      <c r="K31" s="43"/>
      <c r="L31" s="43"/>
      <c r="M31" s="43"/>
      <c r="N31" s="37">
        <f xml:space="preserve"> 1 + (ABS(N29)/L30)</f>
        <v>1.8706962025316456</v>
      </c>
      <c r="O31" s="37"/>
    </row>
    <row r="32" spans="1:19" ht="21" x14ac:dyDescent="0.25">
      <c r="A32" s="61" t="s">
        <v>22</v>
      </c>
      <c r="B32" s="61"/>
      <c r="C32" s="61"/>
      <c r="D32" s="61"/>
      <c r="J32" s="44" t="s">
        <v>68</v>
      </c>
      <c r="K32" s="44"/>
      <c r="L32" s="44"/>
      <c r="M32" s="44"/>
      <c r="N32" s="38">
        <f>IRR(L28:M30)</f>
        <v>6.1288861694867469E-2</v>
      </c>
      <c r="O32" s="39"/>
    </row>
    <row r="33" spans="1:15" ht="19" x14ac:dyDescent="0.25">
      <c r="A33" s="86" t="s">
        <v>23</v>
      </c>
      <c r="B33" s="86"/>
      <c r="C33" s="87" t="s">
        <v>24</v>
      </c>
      <c r="D33" s="87" t="s">
        <v>25</v>
      </c>
      <c r="J33" s="36"/>
      <c r="K33" s="36"/>
      <c r="L33" s="36"/>
      <c r="M33" s="36"/>
      <c r="N33" s="40"/>
      <c r="O33" s="36"/>
    </row>
    <row r="34" spans="1:15" ht="34" customHeight="1" x14ac:dyDescent="0.25">
      <c r="A34" s="82" t="s">
        <v>77</v>
      </c>
      <c r="B34" s="82"/>
      <c r="C34" s="10" t="s">
        <v>78</v>
      </c>
      <c r="D34" s="19">
        <v>50000</v>
      </c>
      <c r="J34" s="95"/>
      <c r="K34" s="95"/>
      <c r="L34" s="95"/>
      <c r="M34" s="95"/>
      <c r="N34" s="96"/>
      <c r="O34" s="95"/>
    </row>
    <row r="35" spans="1:15" x14ac:dyDescent="0.2">
      <c r="A35" s="67" t="s">
        <v>77</v>
      </c>
      <c r="B35" s="68"/>
      <c r="C35" s="35" t="s">
        <v>79</v>
      </c>
      <c r="D35" s="19">
        <v>50000</v>
      </c>
    </row>
    <row r="36" spans="1:15" x14ac:dyDescent="0.2">
      <c r="A36" s="67" t="s">
        <v>27</v>
      </c>
      <c r="B36" s="68"/>
      <c r="C36" s="10" t="s">
        <v>80</v>
      </c>
      <c r="D36" s="19">
        <f>60000*6</f>
        <v>360000</v>
      </c>
    </row>
    <row r="37" spans="1:15" x14ac:dyDescent="0.2">
      <c r="A37" s="67" t="s">
        <v>40</v>
      </c>
      <c r="B37" s="68"/>
      <c r="C37" s="10" t="s">
        <v>81</v>
      </c>
      <c r="D37" s="19">
        <f>40000</f>
        <v>40000</v>
      </c>
      <c r="M37" s="33"/>
    </row>
    <row r="38" spans="1:15" s="5" customFormat="1" ht="29" customHeight="1" x14ac:dyDescent="0.25">
      <c r="A38" s="66" t="s">
        <v>26</v>
      </c>
      <c r="B38" s="66"/>
      <c r="C38" s="66"/>
      <c r="D38" s="20">
        <f>SUM(D34:D37)</f>
        <v>500000</v>
      </c>
    </row>
    <row r="39" spans="1:15" s="5" customFormat="1" ht="25" customHeight="1" x14ac:dyDescent="0.2">
      <c r="A39"/>
      <c r="B39"/>
      <c r="C39"/>
      <c r="D39"/>
    </row>
    <row r="40" spans="1:15" s="5" customFormat="1" ht="39" customHeight="1" x14ac:dyDescent="0.2">
      <c r="A40"/>
      <c r="B40"/>
      <c r="C40"/>
      <c r="D40"/>
    </row>
    <row r="41" spans="1:15" s="5" customFormat="1" ht="40" customHeight="1" x14ac:dyDescent="0.2">
      <c r="A41"/>
      <c r="B41"/>
      <c r="C41"/>
      <c r="D41"/>
    </row>
    <row r="42" spans="1:15" s="5" customFormat="1" x14ac:dyDescent="0.2">
      <c r="A42"/>
      <c r="B42"/>
      <c r="C42"/>
      <c r="D42"/>
    </row>
    <row r="43" spans="1:15" s="5" customFormat="1" x14ac:dyDescent="0.2">
      <c r="A43"/>
      <c r="B43"/>
      <c r="C43"/>
      <c r="D43"/>
    </row>
  </sheetData>
  <mergeCells count="101">
    <mergeCell ref="A28:C28"/>
    <mergeCell ref="A35:B35"/>
    <mergeCell ref="Q20:R20"/>
    <mergeCell ref="Q19:R19"/>
    <mergeCell ref="R30:S30"/>
    <mergeCell ref="R29:S29"/>
    <mergeCell ref="R28:S28"/>
    <mergeCell ref="A1:D1"/>
    <mergeCell ref="A7:C7"/>
    <mergeCell ref="A9:D9"/>
    <mergeCell ref="G2:H2"/>
    <mergeCell ref="G10:H10"/>
    <mergeCell ref="G12:H12"/>
    <mergeCell ref="A37:B37"/>
    <mergeCell ref="A26:C26"/>
    <mergeCell ref="A29:C29"/>
    <mergeCell ref="A30:C30"/>
    <mergeCell ref="A32:D32"/>
    <mergeCell ref="A34:B34"/>
    <mergeCell ref="A33:B33"/>
    <mergeCell ref="A19:C19"/>
    <mergeCell ref="A21:D21"/>
    <mergeCell ref="A22:C22"/>
    <mergeCell ref="A23:C23"/>
    <mergeCell ref="A24:C24"/>
    <mergeCell ref="A25:C25"/>
    <mergeCell ref="A27:C27"/>
    <mergeCell ref="A38:C38"/>
    <mergeCell ref="A36:B36"/>
    <mergeCell ref="G6:H6"/>
    <mergeCell ref="J11:N11"/>
    <mergeCell ref="J12:M12"/>
    <mergeCell ref="J13:M13"/>
    <mergeCell ref="J14:M14"/>
    <mergeCell ref="J15:M15"/>
    <mergeCell ref="J16:M16"/>
    <mergeCell ref="J17:M17"/>
    <mergeCell ref="J19:M19"/>
    <mergeCell ref="J20:M20"/>
    <mergeCell ref="J21:M21"/>
    <mergeCell ref="J22:M22"/>
    <mergeCell ref="J18:N18"/>
    <mergeCell ref="J1:Q1"/>
    <mergeCell ref="N9:N10"/>
    <mergeCell ref="O9:R9"/>
    <mergeCell ref="J8:R8"/>
    <mergeCell ref="J9:M10"/>
    <mergeCell ref="O10:P10"/>
    <mergeCell ref="Q10:R10"/>
    <mergeCell ref="L2:N2"/>
    <mergeCell ref="O2:Q2"/>
    <mergeCell ref="J2:K3"/>
    <mergeCell ref="J5:K5"/>
    <mergeCell ref="L5:N5"/>
    <mergeCell ref="O5:Q5"/>
    <mergeCell ref="O11:P11"/>
    <mergeCell ref="O12:P12"/>
    <mergeCell ref="O13:P13"/>
    <mergeCell ref="O14:P14"/>
    <mergeCell ref="O15:P15"/>
    <mergeCell ref="Q16:R16"/>
    <mergeCell ref="O17:P17"/>
    <mergeCell ref="O18:P18"/>
    <mergeCell ref="O19:P19"/>
    <mergeCell ref="O20:P20"/>
    <mergeCell ref="O16:P16"/>
    <mergeCell ref="Q18:R18"/>
    <mergeCell ref="Q17:R17"/>
    <mergeCell ref="Q11:R11"/>
    <mergeCell ref="Q12:R12"/>
    <mergeCell ref="Q13:R13"/>
    <mergeCell ref="Q14:R14"/>
    <mergeCell ref="Q15:R15"/>
    <mergeCell ref="P27:Q27"/>
    <mergeCell ref="R27:S27"/>
    <mergeCell ref="Q21:R21"/>
    <mergeCell ref="Q22:R22"/>
    <mergeCell ref="O21:P21"/>
    <mergeCell ref="O22:P22"/>
    <mergeCell ref="J26:O26"/>
    <mergeCell ref="J27:K27"/>
    <mergeCell ref="L27:M27"/>
    <mergeCell ref="N27:O27"/>
    <mergeCell ref="J29:K29"/>
    <mergeCell ref="J30:K30"/>
    <mergeCell ref="L28:M28"/>
    <mergeCell ref="L29:M29"/>
    <mergeCell ref="L30:M30"/>
    <mergeCell ref="J33:M33"/>
    <mergeCell ref="N31:O31"/>
    <mergeCell ref="N32:O32"/>
    <mergeCell ref="N33:O33"/>
    <mergeCell ref="P28:Q28"/>
    <mergeCell ref="P29:Q29"/>
    <mergeCell ref="P30:Q30"/>
    <mergeCell ref="J31:M31"/>
    <mergeCell ref="J32:M32"/>
    <mergeCell ref="N28:O28"/>
    <mergeCell ref="N29:O29"/>
    <mergeCell ref="N30:O30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2018-07-12T22:40:52Z</dcterms:created>
  <dcterms:modified xsi:type="dcterms:W3CDTF">2018-09-27T23:38:19Z</dcterms:modified>
</cp:coreProperties>
</file>