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imite de precisao" sheetId="2" r:id="rId5"/>
    <sheet state="visible" name="teste guilherm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Coordenadas de orientação em quatérnio (a + bi + cj + dk).
O Jmol expressa o componente real por último (bi + cj + dk + a), então a coluna fw é da componente real.
	-Rodrigo Consoli</t>
      </text>
    </comment>
    <comment authorId="0" ref="G1">
      <text>
        <t xml:space="preserve">Unix Epoch partindo do início de cada tarefa.
https://www.epochconverter.com/
	-Rodrigo Consoli</t>
      </text>
    </comment>
    <comment authorId="0" ref="F1">
      <text>
        <t xml:space="preserve">Duração da tarefa
	-Rodrigo Consoli</t>
      </text>
    </comment>
    <comment authorId="0" ref="E1">
      <text>
        <t xml:space="preserve">Razão entre pixels da tela e unidades de distância entre os vértices (no Jmol é em Angstroms)
	-Rodrigo Consoli</t>
      </text>
    </comment>
    <comment authorId="0" ref="D1">
      <text>
        <t xml:space="preserve">Identificador da tarefa realizada.
	-Rodrigo Consoli</t>
      </text>
    </comment>
    <comment authorId="0" ref="C1">
      <text>
        <t xml:space="preserve">Nome da pessoa
	-Rodrigo Consoli</t>
      </text>
    </comment>
    <comment authorId="0" ref="B1">
      <text>
        <t xml:space="preserve">Email da pessoa
	-Rodrigo Consoli</t>
      </text>
    </comment>
    <comment authorId="0" ref="A1">
      <text>
        <t xml:space="preserve">Data do recebimento dos dados pela planilha
	-Rodrigo Consoli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soma 4 caracteres "fixos": {-0.} e {,}
	-Rodrigo Consoli</t>
      </text>
    </comment>
  </commentList>
</comments>
</file>

<file path=xl/sharedStrings.xml><?xml version="1.0" encoding="utf-8"?>
<sst xmlns="http://schemas.openxmlformats.org/spreadsheetml/2006/main" count="233" uniqueCount="182">
  <si>
    <t>timestamp</t>
  </si>
  <si>
    <t>email</t>
  </si>
  <si>
    <t>fname</t>
  </si>
  <si>
    <t>task_id</t>
  </si>
  <si>
    <t>pxAngstRatio</t>
  </si>
  <si>
    <t>duration</t>
  </si>
  <si>
    <t>epoch</t>
  </si>
  <si>
    <t>fQi</t>
  </si>
  <si>
    <t>fQj</t>
  </si>
  <si>
    <t>fQk</t>
  </si>
  <si>
    <t>fQr</t>
  </si>
  <si>
    <t>rodrigo@gmail.com</t>
  </si>
  <si>
    <t>Rodrigo</t>
  </si>
  <si>
    <t>ball_stick-cor</t>
  </si>
  <si>
    <t>0.624883987936306,0.624883987936306,0.624883987936306,0.624883987936306,0.624883987936306,0.624883987936306,-0.5055432845936536,-0.31036073346286397,-0.08235412938132078,0.07185260075628659,0.06636170023351266,-0.04287695002653678,-0.15487614689482243,-0.1571227378478955,-0.15486596137580308,-0.15734287898699562,-0.15734287898699562,-0.0749544801565223,0.3347049088661046,0.648331610520111,0.7116678536715675,0.7116678536715675,0.7846581430194614,0.9438187970189521,0.9350958755835828,0.9317516195546998,0.9317516195546998,0.8609719913441064,0.7671578950745302,0.8200530349849745,0.7314795890341973,0.638781150539069,0.6577578483555742,0.6343243298876775,0.6343243298876775,0.6343243298876775,0.6248941370376531,0.2870124718956419,0.04057143352189362,-0.1262323776295349,-0.13486664473637736,-0.13486664473637736,-0.1108681367230028,-0.20680628896362832,-0.3970774333293474,-0.4903063991281294,-0.5001810050403347,-0.5066224529836254,-0.5066224529836254,-0.5066224529836254,-0.5066224529836254,-0.496986284366821,-0.496986284366821,-0.496986284366821,-0.5051520572966035,-0.5081181179054591,-0.5112530577793808,-0.5414215168503649,-0.5440573351607474,-0.5440573351607474,-0.5440573351607474,-0.5440573351607474,-0.5440573351607474,-0.5440573351607474,-0.5440573351607474,-0.5440573351607474,-0.5440573351607474</t>
  </si>
  <si>
    <t>-0.03659230559987375,-0.03659230559987375,-0.03659230559987375,-0.03659230559987375,-0.03659230559987375,-0.03659230559987375,-0.1552112734993598,-0.22102762399698272,-0.11713124272742975,0.07277245615812883,0.2607496571061777,0.33567821858972385,0.40119565467806395,0.4627100515178949,0.5059348896230087,0.5081587509664409,0.5081587509664409,0.47707045939289733,0.2995977780889227,0.07726822620667305,-0.010710006616542343,-0.010710006616542343,-0.10462657742332365,-0.2997868715771107,-0.2957419866744671,-0.29446373507422285,-0.29446373507422285,-0.23094219223740184,-0.23172353043929936,-0.46210175412324944,-0.488607450631873,-0.31763430267689063,-0.035920972496487104,0.16870742361737667,0.16870742361737667,0.16870742361737667,0.1967989712642288,0.2876302382393208,0.29002451287849945,0.15707768313612383,0.14376234649752054,0.14376234649752054,0.022150564645835057,-0.4466553302912779,-0.4483001840942266,-0.28943022944421937,-0.17693073313857496,-0.16159203241562825,-0.16159203241562825,-0.16159203241562825,-0.16159203241562825,-0.2007736137986878,-0.2007736137986878,-0.2007736137986878,-0.2225621996528631,-0.22393943763595706,-0.2326164026978585,-0.2362598055507442,-0.2304972606987984,-0.2304972606987984,-0.2304972606987984,-0.2304972606987984,-0.2304972606987984,-0.2304972606987984,-0.2304972606987984,-0.2304972606987984,-0.2304972606987984</t>
  </si>
  <si>
    <t>-0.699006863382204,-0.699006863382204,-0.699006863382204,-0.699006863382204,-0.699006863382204,-0.699006863382204,0.6809124443177028,0.6885567469800863,0.7200157284070706,0.7174391914816121,0.6827454297370176,0.6406912737300263,0.5881628589813529,0.5763874839748337,0.5672965153598429,0.5653053446532175,0.5653053446532175,0.6162223697887406,0.7607729069352624,0.7233184501392781,0.6903601906191186,0.6903601906191186,0.6106654193249639,0.10530542020355528,-0.1315952291101043,-0.14393999952123449,-0.14393999952123449,-0.4254892069024007,-0.5462452149305984,-0.07544264793128141,0.16697632106124372,0.12393658691400651,-0.12385374831668937,-0.2980319313269626,-0.2980319313269626,-0.2980319313269626,-0.32221065549653205,-0.521139730186976,-0.6158914416919066,-0.6669476612977114,-0.6698121335905395,-0.6698121335905395,-0.6874263383740592,-0.6163308025833057,-0.4880671965569982,-0.3831117159883132,-0.3329920133367888,-0.32310742622555355,-0.32310742622555355,-0.32310742622555355,-0.32310742622555355,-0.34540705313124137,-0.34540705313124137,-0.34540705313124137,-0.35114868477262146,-0.35027197975737945,-0.3524589860088218,-0.3377324390430781,-0.33346975177416405,-0.33346975177416405,-0.33346975177416405,-0.33346975177416405,-0.33346975177416405,-0.33346975177416405,-0.33346975177416405,-0.33346975177416405,-0.33346975177416405</t>
  </si>
  <si>
    <t>-0.34578954544097623,-0.34578954544097623,-0.34578954544097623,-0.34578954544097623,-0.34578954544097623,-0.34578954544097623,0.5066494756281293,0.6170191332064533,0.6790253457695142,0.6890735664030959,0.6793117246407155,0.6891998204345732,0.6849232636619477,0.6549727641609601,0.6310476092418706,0.6304345878477926,0.6304345878477926,0.6221379217272188,0.46844250385547115,0.22473576419294003,0.12968025685165446,0.12968025685165446,0.021274950777771563,-0.0908002120011779,0.14427430977090186,0.1562411748584796,0.1562411748584796,0.15605085317008607,0.24369886054511264,0.32906442457558965,0.4453305269327887,0.6897150236895345,0.742108176541303,0.6930710047595813,0.6930710047595813,0.6930710047595813,0.6833430879798247,0.7505371867185461,0.7313805252823125,0.7173373023815881,0.7158876179694456,0.7158876179694456,0.7173999150091062,0.6147084809521502,0.6349384761743874,0.72736180153371,0.7795067651546065,0.7828303113130834,0.7828303113130834,0.7828303113130834,0.7828303113130834,0.7703171793493042,0.7703171793493042,0.7703171793493042,0.7562949606318594,0.754305406797771,0.7485202624436921,0.7327897686175671,0.7346227286980802,0.7346227286980802,0.7346227286980802,0.7346227286980802,0.7346227286980802,0.7346227286980802,0.7346227286980802,0.7346227286980802,0.7346227286980802</t>
  </si>
  <si>
    <t>0.624883987936306,0.624883987936306,0.624883987936306,0.624883987936306,0.624883987936306,0.624883987936306,0.6150170544864986,-0.5525650488705061,-0.48583588820634865,-0.4558765459832933,-0.35276699383365523,-0.25577082767313297,-0.20691731982798334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</t>
  </si>
  <si>
    <t>-0.03659230559987375,-0.03659230559987375,-0.03659230559987375,-0.03659230559987375,-0.03659230559987375,-0.03659230559987375,-0.01047329767303558,-0.08887119196541336,-0.15530745808803947,-0.16668321041166717,-0.11475373129867904,-0.051657896289733565,-0.0019829811918029338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</t>
  </si>
  <si>
    <t>-0.699006863382204,-0.699006863382204,-0.699006863382204,-0.699006863382204,-0.699006863382204,-0.699006863382204,-0.697425832390263,0.6937961128021525,0.6903400656549433,0.6943910484345375,0.7415884510389528,0.7777412468978582,0.7944169692870682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</t>
  </si>
  <si>
    <t>-0.34578954544097623,-0.34578954544097623,-0.34578954544097623,-0.34578954544097623,-0.34578954544097623,-0.34578954544097623,-0.36775201024787324,0.45323363938040234,0.5131020141692181,0.5312385095634404,0.5589575999127687,0.5718665039465801,0.5710367496488696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</t>
  </si>
  <si>
    <t>Rodrigo2</t>
  </si>
  <si>
    <t>0.624883987936306,0.624883987936306,0.624883987936306,0.624883987936306,0.624883987936306,0.624883987936306,0.6150170544864986,-0.5525650488705061,-0.48583588820634865,-0.4558765459832933,-0.35276699383365523,-0.25577082767313297,-0.20691731982798334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-0.19978494806311797,0.624883987936306,0.624883987936306,0.624883987936306,0.624883987936306,0.624883987936306,0.624883987936306,0.624883987936306,0.624883987936306,-0.6049386520137149,-0.5188862578113851,-0.34886846647476744,-0.1899421321782967,0.04545555074025956,0.03680854941594461,-0.09078270613731547,-0.17028290139290225,-0.20804930571752525,-0.21772417617924264,-0.21772417617924264,-0.21772417617924264,-0.21399040535289346,0.029788160471344794,0.39888713535518633,0.5034746881052523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0.48996032618106916,0.49940797754707833,0.5979897640746128,0.5979897640746128,0.5979897640746128,0.5979897640746128,0.5979897640746128,0.5979897640746128,0.5979897640746128,0.5979897640746128</t>
  </si>
  <si>
    <t>-0.03659230559987375,-0.03659230559987375,-0.03659230559987375,-0.03659230559987375,-0.03659230559987375,-0.03659230559987375,-0.01047329767303558,-0.08887119196541336,-0.15530745808803947,-0.16668321041166717,-0.11475373129867904,-0.051657896289733565,-0.0019829811918029338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-0.03659230559987375,-0.03659230559987375,-0.03659230559987375,-0.03659230559987375,-0.03659230559987375,-0.03659230559987375,-0.03659230559987375,-0.03659230559987375,-0.001873533564422369,-0.1489588583459923,-0.24718681815642396,-0.26038103711168825,-0.12024448220985443,0.11166282610560326,0.3207521101842958,0.5289989824628738,0.7184353851460675,0.749975872059907,0.749975872059907,0.749975872059907,0.7467630881109744,0.6669983920214039,0.552545021525928,0.5019750230447443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0.37710215333425157,0.13026948218738096,0.0958270751470901,0.0958270751470901,0.0958270751470901,0.0958270751470901,0.0958270751470901,0.0958270751470901,0.0958270751470901,0.0958270751470901</t>
  </si>
  <si>
    <t>-0.699006863382204,-0.699006863382204,-0.699006863382204,-0.699006863382204,-0.699006863382204,-0.699006863382204,-0.697425832390263,0.6937961128021525,0.6903400656549433,0.6943910484345375,0.7415884510389528,0.7777412468978582,0.7944169692870682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-0.699006863382204,-0.699006863382204,-0.699006863382204,-0.699006863382204,-0.699006863382204,-0.699006863382204,-0.699006863382204,-0.699006863382204,0.6999614859094211,0.6794398987488235,0.6693004600720349,0.6659336421027606,0.6646262761596179,0.6521714056581308,0.5996751016375598,0.5270697060252048,0.43195530772730373,0.40612341157370035,0.40612341157370035,0.40612341157370035,0.41200112176454123,0.6412011558827508,0.7296557475109322,0.7013087444484558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0.7737062180149891,0.8074597308338427,0.7384405079202673,0.7384405079202673,0.7384405079202673,0.7384405079202673,0.7384405079202673,0.7384405079202673,0.7384405079202673,0.7384405079202673</t>
  </si>
  <si>
    <t>-0.34578954544097623,-0.34578954544097623,-0.34578954544097623,-0.34578954544097623,-0.34578954544097623,-0.34578954544097623,-0.36775201024787324,0.45323363938040234,0.5131020141692181,0.5312385095634404,0.5589575999127687,0.5718665039465801,0.5710367496488696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-0.34578954544097623,-0.34578954544097623,-0.34578954544097623,-0.34578954544097623,-0.34578954544097623,-0.34578954544097623,-0.34578954544097623,-0.34578954544097623,0.3796045777059173,0.4969202490973214,0.6076399955373324,0.6727972103479297,0.7360346258452676,0.7488985255679849,0.7275069460525377,0.6429318276745707,0.5039649748610394,0.474548363190509,0.474548363190509,0.474548363190509,0.4762437110520469,0.3782682754755146,0.05644061090480777,-0.05196498471738378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-0.1382444679694384,-0.2857101976736337,-0.29653166777462486,-0.29653166777462486,-0.29653166777462486,-0.29653166777462486,-0.29653166777462486,-0.29653166777462486,-0.29653166777462486,-0.29653166777462486</t>
  </si>
  <si>
    <t>colli@ime.usp.br</t>
  </si>
  <si>
    <t>Eduardo Colli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</si>
  <si>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-0.611103349207083,-0.6055162691748207,-0.6012371044643455,-0.5924290439796093,-0.5848375521825452,-0.5786018798181773,-0.5754304105902913,-0.5754304105902913,-0.5754304105902913,-0.5694342167235643,-0.5319446664872088,-0.5055123525688762,-0.47917382669506614,-0.4362434642996503,-0.42230321042218416,-0.42230321042218416,-0.42045374156246584,-0.388259408616985,-0.35148550584770927,-0.3373464411271351,-0.3231768001907531,-0.3180326347868384,-0.3169535184889378,-0.3169535184889378,-0.3169535184889378,-0.31055085246254527,-0.3035943154677757,-0.3069228973791048,-0.3282410970644561,-0.3951849280433362,-0.4420575519020403,-0.44970290523165296,-0.44970290523165296,-0.45728584443068965,-0.5547436952119895,-0.5918876419365089,0.6148198964874365,0.6292916968695454,0.6427719046868215,0.647377727775762,0.6530687111443357,0.665376841339062,0.6686799032061875,0.6686799032061875,0.6709234138367333,0.8515906507323613,0.8632054529776775,0.8632054529776775,0.8632054529776775,0.8828300154221712,0.8828300154221712,0.8828300154221712,0.8828300154221712,0.8828300154221712,0.8828300154221712,0.8828300154221712,0.8828300154221712,0.8828300154221712,0.8828300154221712,0.8828300154221712,0.8828300154221712,0.8828300154221712,0.8828300154221712,0.8828300154221712,0.8808735796727469,0.8728211538070842,0.6948730962802863,0.6630001953252193,0.6630001953252193,0.6170122357353641,-0.24144063795289528,-0.24144063795289528,-0.24144063795289528,-0.24144063795289528,-0.24144063795289528,-0.24144063795289528,-0.24144063795289528,-0.24144063795289528,-0.24144063795289528,-0.24144063795289528,-0.24144063795289528,-0.24144063795289528,-0.24144063795289528,-0.1275668588206281,-0.01319799824417216,0.04168768955126501,0.07125955630860772,0.07125955630860772,0.07125955630860772,0.07125955630860772,0.07125955630860772,0.06679760199487024,-0.5319172442990574,-0.6108413999543256,0.6883006633649815,0.6883006633649815,0.6883006633649815,0.6883006633649815,0.6883006633649815,0.6883006633649815,0.6883006633649815,0.6884668259653125,0.8946905170862172,0.9229765327281,0.9247177325620646,0.9234977590605834,0.9234977590605834,0.9242835197439004,0.9358901713454584,0.9434282089212751,0.9451556844860012,0.9461622652737195,0.9461622652737195,0.9490944007209687,0.9567986047676261,0.9576410798280717,0.9576410798280717,0.9576410798280717,0.9576410798280717,0.9576410798280717,0.9576410798280717,0.9576410798280717,0.9576410798280717,0.9576410798280717,0.9576410798280717,0.9576410798280717,0.9577767762246476,0.9252882511308694,0.8914267665984988,0.8692913550600339,0.8534546335738012,0.8488864911360585,0.8488893134087985,0.8535788491162591,0.8522815508682349,0.8504296516307737,0.8504296516307737,0.45040554335563093,0.43327584394904844,0.42982964726667905,0.42982964726667905,0.42982964726667905,0.31394076690819456,0.2792753378808737,0.2792753378808737,0.2792753378808737,0.2792753378808737,0.2792753378808737,0.2792753378808737,0.2798462793429704,0.2732723995785821,0.030569972139928812,-0.029474172555455955,-0.05346703285699751,-0.06934290641715021,-0.09843540084199602,-0.14016193287439271,-0.15177525300359007,-0.17108318115470536,-0.17108318115470536,-0.17108318115470536,-0.21239164903537583,-0.21967818668397288,-0.2363571122833999,-0.2318859134784321,-0.22136103632666795,-0.22216790091444288,-0.23619421673532995,-0.2332798356836243,-0.24801470873608292,-0.2580059453652789,-0.2580059453652789,-0.30246832956374103,-0.32250893534752734,-0.34239482670348415,-0.34574149488161626,-0.3487506723928823,-0.5245795323811436,-0.5360117012414415,-0.5330610974475999,-0.5216033222236894,-0.5150225968200778,-0.5148504543072497,-0.5148504543072497,-0.5148504543072497,-0.5148504543072497,-0.5148504543072497,-0.5148504543072497,-0.5148504543072497,-0.5148504543072497,-0.5148504543072497,-0.5148504543072497,-0.5148504543072497,-0.5148504543072497,-0.5148504543072497,-0.5148504543072497,-0.5096913028701464,-0.44090513910449525,-0.34459558277329094,-0.26591533327211797,-0.26591533327211797,-0.015616329036387345,0.07737549376441513,0.1474980202629782,0.1474980202629782,0.15827441328885558,0.22145410503394622,0.27936675688398355,0.27936675688398355,0.31548682788810695,0.3305883268294498,0.3476820009962258,0.35997725197396757,0.3612226994087062,0.37329412603653933,0.37329412603653933,0.43502216954899664,0.43502216954899664,0.43502216954899664,0.43502216954899664,0.43502216954899664,0.43502216954899664,0.43502216954899664,0.43502216954899664,0.43502216954899664,0.43502216954899664,0.43502216954899664,0.43502216954899664,0.4437668795745031,0.46658234876491367,0.5419553891217805,0.5793316870433637,0.6102721853296454,0.626803096647329,0.6442253802905187,0.6597465489531443,0.6597465489531443,0.6597465489531443,0.6597465489531443,0.6597465489531443,0.6597465489531443,0.6653074179976872,0.5871038257869898,0.4394602136569337,0.2546682625200076,0.2023698978820556,0.2023698978820556,-0.23491613211353768,-0.35785560678817463,-0.3836819154846167,-0.3836819154846167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-0.5749433723520582,-0.5893729535984356,-0.5979219918011571,-0.5937903454142847,-0.5909900941862454,-0.5881533879075567,-0.5881084777509857,-0.586659051103163,-0.586659051103163,-0.586659051103163,-0.586659051103163,-0.586659051103163,-0.586659051103163,-0.586659051103163,-0.586659051103163,-0.586659051103163,-0.586659051103163,-0.5837330792757021,-0.5837330792757021,-0.5822565792181662,-0.5807711000444281,-0.5807711000444281,-0.5792766646624131,-0.5734386428271144,-0.5719165573421384,-0.568845950999787,-0.5657402555617647,-0.5477160872188288,-0.5378629315503384,-0.51726648892155,-0.49737636385758943,-0.4765582927465867,-0.46208633255177745,-0.46208633255177745,-0.45935316432238593,-0.4566129122993756,-0.4566129122993756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-0.46208633255177745,-0.46481237483871757,-0.46481237483871757,-0.46481237483871757,-0.46481237483871757,-0.46481237483871757,-0.46481237483871757,-0.46481237483871757,-0.46481237483871757,-0.46481237483871757,-0.46208633255177733,-0.4628250158177771,-0.4709498923814251,-0.47364371488618773,-0.47364371488618773,-0.46897642701817427,-0.46086257500366085,-0.46086257500366085,-0.4561522697010984,-0.4514278955890424,-0.44596948788936336,-0.44394635369529506,-0.44394635369529506,-0.44394635369529506,-0.44394635369529506,-0.4493978068589281,-0.45684458939030065,-0.46224722101486504,-0.46693598048990625,-0.47160301296347545,-0.4735756919391763,-0.4755410677923016,-0.4755410677923016,-0.47749911021432623,-0.47749911021432623,-0.48483078222744946,-0.48676691077933487,-0.489453280976524,-0.489453280976524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</si>
  <si>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-0.03659230559987375,0.029592793841761982,0.02542478404664615,0.017065011497141406,0.00033952163376328064,-0.01359892464276466,-0.024746164838826416,-0.03031766713229771,-0.03031766713229771,-0.03031766713229771,-0.03428355876916167,-0.04659033922287677,-0.058075914946815174,-0.061936961865988086,-0.05198741043061877,-0.04764026691996754,-0.04764026691996754,-0.050677573541362285,-0.06869928893162658,-0.09272094480321003,-0.10106758251351275,-0.1225834955126452,-0.13688362425646583,-0.1450519067629324,-0.1450519067629324,-0.1450519067629324,-0.16739676496504893,-0.20279521676866882,-0.2231547929028827,-0.2611248637324663,-0.32817492702685364,-0.37526288654767853,-0.3809986869726832,-0.3809986869726832,-0.38668160870484125,-0.44392632786160174,-0.4471362901197753,0.440370629735576,0.4311989744765635,0.40667796803997014,0.3975706722536869,0.3975192479972175,0.39504380053147986,0.39382894028217463,0.39382894028217463,0.39486393912476436,0.3134861941082203,0.2993166604579796,0.2993166604579796,0.2993166604579796,0.27623390775388446,0.27623390775388446,0.27623390775388446,0.27623390775388446,0.27623390775388446,0.27623390775388446,0.27623390775388446,0.27623390775388446,0.27623390775388446,0.27623390775388446,0.27623390775388446,0.27623390775388446,0.27623390775388446,0.27623390775388446,0.27623390775388446,0.27998313730435986,0.2914506609322098,0.3515548181980063,0.3537137892893789,0.3537137892893789,0.32719330786988293,-0.178620455896744,-0.178620455896744,-0.178620455896744,-0.178620455896744,-0.178620455896744,-0.178620455896744,-0.178620455896744,-0.178620455896744,-0.178620455896744,-0.178620455896744,-0.178620455896744,-0.178620455896744,-0.178620455896744,-0.18638484485533438,-0.19996253032492797,-0.204588654635661,-0.21810085564680617,-0.21810085564680617,-0.21810085564680617,-0.21810085564680617,-0.21810085564680617,-0.22793097857616823,-0.18673173223102854,-0.18431119449786465,0.19508017066804184,0.19508017066804184,0.19508017066804184,0.19508017066804184,0.19508017066804184,0.19508017066804184,0.19508017066804184,0.19234023636584455,-0.012301938543576365,-0.08492582519692266,-0.0927127347140451,-0.09350633712752343,-0.09350633712752343,-0.09473271037586047,-0.09224118911437061,-0.091699066366206,-0.09200214977362442,-0.09130381433521056,-0.09130381433521056,-0.08920040309906423,-0.08616729131804965,-0.08548332416503578,-0.08548332416503578,-0.08548332416503578,-0.08548332416503578,-0.08548332416503578,-0.08548332416503578,-0.08548332416503578,-0.08548332416503578,-0.08548332416503578,-0.08548332416503578,-0.08548332416503578,-0.08396229247608585,-0.08499960234078577,-0.09075058375884573,-0.09732283969908544,-0.10522545878011721,-0.11747604532294244,-0.14916892303961463,-0.19058642095051181,-0.2007095263930086,-0.20114731644654005,-0.20114731644654005,-0.13736598639671518,-0.14042940482813546,-0.14103562935747213,-0.14103562935747213,-0.14103562935747213,-0.14526087604217242,-0.1392513992528817,-0.1392513992528817,-0.1392513992528817,-0.1392513992528817,-0.1392513992528817,-0.1392513992528817,-0.16924748106234735,-0.20370122665113052,-0.1227348580238351,-0.10866518906696467,-0.10291877011638839,-0.100344034332429,-0.07925181894354037,-0.04341272582221135,-0.04424734463560108,-0.04562467233868255,-0.04562467233868255,-0.04562467233868255,-0.11040360497532767,-0.11481220016968731,-0.14283657688724255,-0.1915176786783592,-0.22050859272614567,-0.2467894251883283,-0.2853926015127925,-0.33611167331370284,-0.35967399102620007,-0.36458746819945537,-0.36458746819945537,-0.3736259240790057,-0.3793121884603124,-0.384756539157748,-0.38508899371582384,-0.38875653331495064,-0.4277624575259681,-0.43357421005365526,-0.44485618434781116,-0.4501818494246443,-0.469701682080568,-0.4725087968853306,-0.4725087968853306,-0.4725087968853306,-0.4725087968853306,-0.4725087968853306,-0.4725087968853306,-0.4725087968853306,-0.4725087968853306,-0.4725087968853306,-0.4725087968853306,-0.4725087968853306,-0.4725087968853306,-0.4725087968853306,-0.4725087968853306,-0.46373094249066155,-0.4028210204716847,-0.36963790234449984,-0.3576505667421845,-0.3576505667421845,-0.34476926139719744,-0.3057310289528532,-0.2503693367726799,-0.2503693367726799,-0.24707866673301043,-0.19926339780519425,-0.12716650316371458,-0.12716650316371458,-0.11757588368534927,-0.11575458410421183,-0.10920228248782755,-0.08079085104502272,-0.06451938192470166,-0.055574835666122493,-0.055574835666122493,-0.04507471808186565,-0.04507471808186565,-0.04507471808186565,-0.04507471808186565,-0.04507471808186565,-0.04507471808186565,-0.04507471808186565,-0.04507471808186565,-0.04507471808186565,-0.04507471808186565,-0.04507471808186565,-0.04507471808186565,-0.05666735032672305,-0.0660784192493961,-0.07111142559004086,-0.07650401839674069,-0.07705972697873992,-0.07670577241866693,-0.07911487087507774,-0.08539361658443811,-0.08539361658443811,-0.08539361658443811,-0.08539361658443811,-0.08539361658443811,-0.08539361658443811,-0.09888752712848718,-0.10593359578183047,-0.08203923153883327,-0.01830468404975498,0.010511636655970468,0.010511636655970468,0.043159749677099346,0.036156049976443116,0.0409749035458628,0.0409749035458628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-0.00989625012294267,-0.016720456376421732,-0.020812054306216715,-0.029318155553121207,-0.03498670198254865,-0.040653090267524325,-0.04774404790913353,-0.05056583579902202,-0.05056583579902202,-0.05056583579902202,-0.05056583579902202,-0.05056583579902202,-0.05056583579902202,-0.05056583579902202,-0.05056583579902202,-0.05056583579902202,-0.05056583579902202,-0.05620702871228353,-0.05620702871228353,-0.05902634674148845,-0.061844754511461784,-0.061844754511461784,-0.06466220855887185,-0.06880360072008133,-0.07162687890361395,-0.07727007802423286,-0.08290851076274869,-0.09514452227876657,-0.11213020085156106,-0.14590541941047894,-0.17658327615476566,-0.20693168468842432,-0.22137635225574,-0.22137635225574,-0.21939426889091032,-0.21740880219525224,-0.21740880219525224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-0.22137635225573998,-0.22335502172356575,-0.22335502172356575,-0.22335502172356575,-0.22335502172356575,-0.22335502172356575,-0.22335502172356575,-0.22335502172356575,-0.22335502172356575,-0.22335502172356575,-0.22137635225573998,-0.22609000964450016,-0.2320262451350933,-0.2339978746673521,-0.2339978746673521,-0.23471460943902753,-0.2287563210589106,-0.2287563210589106,-0.22946958583123178,-0.23017577322149857,-0.22614338817463808,-0.2288777467904917,-0.2288777467904917,-0.2288777467904917,-0.2288777467904917,-0.23292377099981776,-0.23422100647487226,-0.23822440738466255,-0.23751744462592098,-0.23681755767473278,-0.23412859922776327,-0.23143603022837797,-0.23143603022837797,-0.2287398921993192,-0.2287398921993192,-0.2299418328366135,-0.22725346163033391,-0.22918408464383347,-0.22918408464383347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</si>
  <si>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0.7068557953704964,0.709466202713139,0.7097164911558854,0.709921542961671,0.7097913648985735,0.7094901970864637,0.7092739608188606,0.7092739608188606,0.7092739608188606,0.7112619243655165,0.7272202978661176,0.7359606868968598,0.746348887646669,0.7669990617178076,0.7735393324893047,0.7735393324893047,0.7733462856186514,0.7791773632440337,0.7829773544548996,0.7841995651245233,0.7811254065798388,0.7778364958311884,0.775490636219946,0.775490636219946,0.775490636219946,0.7693205781494085,0.7579122918600567,0.7497966513055855,0.7314955054657636,0.6887727470108452,0.6515767413341087,0.646323778045812,0.646323778045812,0.6409811116753068,0.5721191560764315,0.5575507921871873,-0.5555784795455311,-0.5585185541366164,-0.5766182109640464,-0.5829348947080181,-0.5793847994530864,-0.5736942996872888,-0.5726197277331456,-0.5726197277331456,-0.569989419469065,-0.41953235295259833,-0.40221802984495,-0.40221802984495,-0.40221802984495,-0.3608592923056826,-0.3608592923056826,-0.3608592923056826,-0.3608592923056826,-0.3608592923056826,-0.3608592923056826,-0.3608592923056826,-0.3608592923056826,-0.3608592923056826,-0.3608592923056826,-0.3608592923056826,-0.3608592923056826,-0.3608592923056826,-0.3608592923056826,-0.3608592923056826,-0.3656011295082087,-0.38297166471070276,-0.6097989625653697,-0.6362489340481099,-0.6362489340481099,-0.6907217676195048,0.9124403381768618,0.9124403381768618,0.9124403381768618,0.9124403381768618,0.9124403381768618,0.9124403381768618,0.9124403381768618,0.9124403381768618,0.9124403381768618,0.9124403381768618,0.9124403381768618,0.9124403381768618,0.9124403381768618,0.9250530013837107,0.9227827003687217,0.917339319301997,0.9110283632967505,0.9110283632967505,0.9110283632967505,0.9110283632967505,0.9110283632967505,0.9098294864838682,0.8217479878114504,0.7677946128711993,-0.6973373152779578,-0.6973373152779578,-0.6973373152779578,-0.6973373152779578,-0.6973373152779578,-0.6973373152779578,-0.6973373152779578,-0.6980980144232423,-0.37837268979938443,-0.22107163638298397,-0.20227176181784268,-0.20190612106631367,-0.20190612106631367,-0.1982780064550558,-0.1902950641971682,-0.18100100889871687,-0.1776494754682043,-0.17800939633889537,-0.17800939633889537,-0.1790726662114042,-0.1740020688550799,-0.17433910447353174,-0.17433910447353174,-0.17433910447353174,-0.17433910447353174,-0.17433910447353174,-0.17433910447353174,-0.17433910447353174,-0.17433910447353174,-0.17433910447353174,-0.17433910447353174,-0.17433910447353174,-0.178432734729043,-0.23113783298068505,-0.2603234290875391,-0.26975144545954904,-0.2695618110031958,-0.2541002572164786,-0.20391073923799324,-0.13017556088540233,-0.11187670427236546,-0.11108765921607859,-0.11108765921607859,-0.1573772803763393,-0.1546499429583183,-0.1540972869622863,-0.1540972869622863,-0.1540972869622863,-0.14158166205393458,-0.14009177477031665,-0.14009177477031665,-0.14009177477031665,-0.14009177477031665,-0.14009177477031665,-0.14009177477031665,-0.1307025927809052,-0.11860061864858656,-0.09413547424787172,-0.08738983940254609,-0.08454080368420712,-0.08276426270165572,-0.07836452489256984,-0.07110201111993432,-0.070585644725483,-0.06970329994054526,-0.06970329994054526,-0.06970329994054526,-0.07797303208132879,-0.07793697859067868,-0.08158681410065277,-0.09354151961730844,-0.10222152097984544,-0.10737125258877746,-0.11137632711242348,-0.12289595585431927,-0.12170752932832823,-0.11840738794835913,-0.11840738794835913,-0.10068825174672717,-0.09304481669913751,-0.08541454679371312,-0.08390295672714565,-0.0837471463737919,-0.006169990980744063,-0.003569973043572122,-0.013724782115874608,-0.024951845971034725,-0.04282459913209241,-0.04484675267775086,-0.04484675267775086,-0.04484675267775086,-0.04484675267775086,-0.04484675267775086,-0.04484675267775086,-0.04484675267775086,-0.04484675267775086,-0.04484675267775086,-0.04484675267775086,-0.04484675267775086,-0.04484675267775086,-0.04484675267775086,-0.04484675267775086,-0.042443981624005124,-0.047409670717322015,-0.07971053275516618,-0.1111761636849742,-0.1111761636849742,-0.2148378823159809,-0.2509414488261052,-0.2778524037099651,-0.2778524037099651,-0.280782648126331,-0.3044394362146628,-0.3308010579978346,-0.3308010579978346,-0.33441146709532343,-0.33494841766440614,-0.3372777903419659,-0.34796079329177515,-0.35422238693153973,-0.3566211408820949,-0.3566211408820949,-0.3536441409002996,-0.3536441409002996,-0.3536441409002996,-0.3536441409002996,-0.3536441409002996,-0.3536441409002996,-0.3536441409002996,-0.3536441409002996,-0.3536441409002996,-0.3536441409002996,-0.3536441409002996,-0.3536441409002996,-0.34694181540377644,-0.3393230779687313,-0.32484806287281986,-0.3145944007589471,-0.30794172393960173,-0.30460449368030823,-0.2986578163011868,-0.28970819648602913,-0.28970819648602913,-0.28970819648602913,-0.28970819648602913,-0.28970819648602913,-0.28970819648602913,-0.2766990920187881,-0.28313421234832464,-0.31195429898988325,-0.3489316117242611,-0.35950850730833817,-0.35950850730833817,-0.3732929567928123,-0.3655092350999733,-0.36050165340005125,-0.36050165340005125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-0.3476734733817655,-0.3474121560889906,-0.3471910688013044,-0.3542109148906051,-0.35886356057502955,-0.36349406986595834,-0.3679396749395515,-0.3702463284840796,-0.3702463284840796,-0.3702463284840796,-0.3702463284840796,-0.3702463284840796,-0.3702463284840796,-0.3702463284840796,-0.3702463284840796,-0.3702463284840796,-0.3702463284840796,-0.37484247112155233,-0.37484247112155233,-0.3771318893362959,-0.379415491711118,-0.379415491711118,-0.38169324303004737,-0.38647094818317373,-0.38871985068288023,-0.3931996374720509,-0.39765516985689164,-0.41176669631820695,-0.4245564641589974,-0.44942196634553394,-0.4713400864247777,-0.49237883586682807,-0.5043000245248427,-0.5043000245248427,-0.5051654767020776,-0.5060231386032066,-0.5060231386032066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-0.5043000245248427,-0.5034267954178441,-0.5034267954178441,-0.5034267954178441,-0.5034267954178441,-0.5034267954178441,-0.5034267954178441,-0.5034267954178441,-0.5034267954178441,-0.5034267954178441,-0.5043000245248427,-0.5052267846540736,-0.5025282260345716,-0.5016131886664326,-0.5016131886664326,-0.5043843408373527,-0.5071144414642899,-0.5071144414642899,-0.50982538337519,-0.5125206010714579,-0.5143125713859794,-0.5160599192483477,-0.5160599192483477,-0.5160599192483477,-0.5160599192483477,-0.5142464196605825,-0.5106538792818526,-0.5087985809983487,-0.5060505975383888,-0.5032658737815949,-0.5014100174046291,-0.49954642866538207,-0.49954642866538207,-0.4976751363026958,-0.4976751363026958,-0.4939843332831648,-0.49207660327924196,-0.49118038912783796,-0.49118038912783796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</si>
  <si>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0.35500964450514283,0.35966836854050227,0.36677681466977974,0.38084001288387026,0.3923981716587233,0.4015359912073284,0.4060678885751359,0.4060678885751359,0.4060678885751359,0.41070157702449134,0.43129438955129507,0.4465941298826849,0.4577331039741361,0.46765520240510555,0.4701354108412925,0.4701354108412925,0.47179016232422394,0.48725524720494534,0.5047843380935921,0.5108950621039886,0.5199741740142947,0.5244888009996141,0.5264168354043234,0.5264168354043234,0.5264168354043234,0.5326183804093523,0.5406232972401731,0.5420380569294153,0.5375741002150393,0.5115879131619855,0.48909164472387123,0.48463684495082365,0.48463684495082365,0.48011478257624335,0.409717609219144,0.37265972617416226,-0.3455470393670656,-0.3257551677971511,-0.298276294131427,-0.2881432745621409,-0.28247647717767227,-0.26849377120820994,-0.2643342585727388,-0.2643342585727388,-0.2627856617813356,0.022635691171949354,0.05921603827959721,0.05921603827959721,0.05921603827959721,0.11868682839029808,0.11868682839029808,0.11868682839029808,0.11868682839029808,0.11868682839029808,0.11868682839029808,0.11868682839029808,0.11868682839029808,0.11868682839029808,0.11868682839029808,0.11868682839029808,0.11868682839029808,0.11868682839029808,0.11868682839029808,0.11868682839029808,0.10957642794894124,0.08107064658530748,-0.1473289351139547,-0.17465563314108185,-0.17465563314108185,-0.1874670103634137,0.27794564279339073,0.27794564279339073,0.27794564279339073,0.27794564279339073,0.27794564279339073,0.27794564279339073,0.27794564279339073,0.27794564279339073,0.27794564279339073,0.27794564279339073,0.27794564279339073,0.27794564279339073,0.27794564279339073,0.30539209349601387,0.3291092329434223,0.33896045816111836,0.3426097104135754,0.3426097104135754,0.3426097104135754,0.3426097104135754,0.3426097104135754,0.3402879000163608,0.08321988898771311,0.05825461467191728,-0.04366454562208287,-0.04366454562208287,-0.04366454562208287,-0.04366454562208287,-0.04366454562208287,-0.04366454562208287,-0.04366454562208287,-0.04096126558475301,0.2370899587878938,0.30336324074413645,0.3088488275487246,0.3124777947359275,0.3124777947359275,0.31210818776648236,0.28176042793822165,0.2622463166887311,0.25818017039792285,0.25446657162583375,0.25446657162583375,0.24330245954985147,0.21641374229883065,0.2126547440495641,0.2126547440495641,0.2126547440495641,0.2126547440495641,0.2126547440495641,0.2126547440495641,0.2126547440495641,0.2126547440495641,0.2126547440495641,0.2126547440495641,0.2126547440495641,0.20922652686501,0.28843027248552944,0.3596586765355139,0.40261018685979416,0.43345036775229295,0.44835718263958907,0.46428006246548337,0.4670484855331462,0.4699100415035647,0.4732533113285172,0.4732533113285172,0.8680425242562262,0.8767183244650711,0.8784130302615076,0.8784130302615076,0.8784130302615076,0.9275209462511337,0.9396747459091037,0.9396747459091037,0.9396747459091037,0.9396747459091037,0.9396747459091037,0.9396747459091037,0.9359263765554922,0.9326102611195947,0.9874918449877745,0.9897909707642351,0.989647339039329,0.9890766971893349,0.9888825118756903,0.9866176928396823,0.9848980210291213,0.9817282640208386,0.9817282640208386,0.9817282640208386,0.967791835931946,0.9656528777752336,0.9576411747314802,0.9491047813553608,0.9444183462739816,0.9371274286541817,0.9221489406497669,0.9041604090869791,0.8912410458089502,0.886841925411357,0.886841925411357,0.8710789025267534,0.8622371555389345,0.8528965607962457,0.8515454065922722,0.8486623249471469,0.7360689677940635,0.7243563458692608,0.7195557462708042,0.7243229128478887,0.7157500320115675,0.7139000037399161,0.7139000037399161,0.7139000037399161,0.7139000037399161,0.7139000037399161,0.7139000037399161,0.7139000037399161,0.7139000037399161,0.7139000037399161,0.7139000037399161,0.7139000037399161,0.7139000037399161,0.7139000037399161,0.7139000037399161,0.7234410115407836,0.8006810893856974,0.8592251954239805,0.8882651452511579,0.8882651452511579,0.9136383151909945,0.9151884834072126,0.915618682080647,0.915618682080647,0.91381751299407,0.9047479247481238,0.8923864385168272,0.8923864385168272,0.880234595820829,0.8747124052664806,0.8680067855868094,0.8618657104099485,0.8601638863521647,0.8546252365705379,0.8546252365705379,0.8268372290829727,0.8268372290829727,0.8268372290829727,0.8268372290829727,0.8268372290829727,0.8268372290829727,0.8268372290829727,0.8268372290829727,0.8268372290829727,0.8268372290829727,0.8268372290829727,0.8268372290829727,0.8243125285496901,0.8141218600973312,0.7718168548303298,0.7480322817684771,0.7258109622677525,0.7130569436873408,0.6996556334070043,0.6881217786699182,0.6881217786699182,0.6881217786699182,0.6881217786699182,0.6881217786699182,0.6881217786699182,0.6863125446993044,0.750947527347217,0.8383488536658502,0.9016960380008242,0.9108729675969888,0.9108729675969888,0.8964396328194664,0.8585074861624654,0.8492042174325837,0.8492042174325837,0.7812732268999761,0.7812732268999761,0.7812732268999761,0.7812732268999761,0.7812732268999761,0.7812732268999761,0.7812732268999761,0.7812732268999761,0.7812732268999761,0.7812732268999761,0.7812732268999761,0.7812732268999761,0.7812732268999761,0.7812732268999761,0.7812732268999761,0.7812732268999761,0.7812732268999761,0.740584457525676,0.7291534418123619,0.7221596166088865,0.7218643218916571,0.7216117960160596,0.7213147577284409,0.718657999254193,0.7184649680066076,0.7184649680066076,0.7184649680066076,0.7184649680066076,0.7184649680066076,0.7184649680066076,0.7184649680066076,0.7184649680066076,0.7184649680066076,0.7184649680066076,0.7180456698052887,0.7180456698052887,0.717819409317652,0.7175820791673984,0.7175820791673984,0.7173336830144519,0.7190788507882436,0.7188031158401559,0.7182183958693334,0.7175893728073827,0.7220822636550666,0.719640252947171,0.7135593067093525,0.7065929678303694,0.6983083512868009,0.6950900784754647,0.6950900784754647,0.6968993229679525,0.6986978204114153,0.6986978204114153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0.6950900784754647,0.6932701148347381,0.6932701148347381,0.6932701148347381,0.6932701148347381,0.6932701148347381,0.6932701148347381,0.6932701148347381,0.6932701148347381,0.6932701148347381,0.6950900784754647,0.6924032122544813,0.6869027605658417,0.685048053026838,0.685048053026838,0.6859785709008807,0.6914558379209352,0.6914558379209352,0.6923488242867993,0.6932204569855674,0.6967445462800045,0.6958511132491935,0.6958511132491935,0.6958511132491935,0.6958511132491935,0.6923429410053052,0.6896855492505944,0.6860762657054397,0.6851781128679867,0.6842744353164071,0.6851991370939244,0.6861132722537457,0.6861132722537457,0.6870168266987767,0.6870168266987767,0.6841383957849747,0.6850360977733437,0.6831192915029577,0.6831192915029577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</t>
  </si>
  <si>
    <t>small steps test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</si>
  <si>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0.6193747845815449,0.6166058343402766,0.6166058343402766,0.6166058343402766,0.6166058343402766,0.6166058343402766,0.6166058343402766,0.6166058343402766,0.6138273752748317,0.6138273752748317,0.6124671580678454,0.6124671580678454,0.6124671580678454,-0.6110974958601864,-0.6083083817455343,-0.6083083817455343,-0.6069298898884121,-0.6069298898884121,-0.6069298898884121,-0.6069298898884121,-0.6027424843142254,-0.6013458240962262,-0.6013458240962262,-0.6013458240962262,-0.6013458240962262,-0.6013458240962262,-0.6013458240962262,-0.6013458240962262,-0.598536488743345,-0.598536488743345,-0.598536488743345,-0.598536488743345,-0.5914740744920257,-0.5914740744920257,-0.5914740744920257,-0.5914740744920257,-0.5914740744920257,-0.5914740744920257,-0.5914740744920257,-0.5914740744920257,-0.5914740744920257,-0.5914740744920257,-0.5914740744920257,-0.5872130244611694,-0.5872130244611694,-0.5872130244611694,-0.5872130244611694,-0.5829331300770807,-0.5829331300770807,-0.5814833622121255,-0.577176856176099,-0.577176856176099,-0.577176856176099,-0.5743195367766628,-0.5699861035238218,-0.5699861035238218,-0.5699861035238218,-0.5656350905581585,-0.5656350905581585,-0.5627508853258193,-0.5612671510462379,-0.5612671510462379,-0.5568819007345083,-0.5539799309270671,-0.5524794748744094,-0.5524794748744094,-0.5524794748744094,-0.5524794748744094,-0.5480600092471154,-0.5451406328761246,-0.5451406328761246,-0.5451406328761246,-0.5436236401593465,-0.540695695433715,-0.540695695433715,-0.5391705044391661,-0.5391705044391661,-0.5391705044391661,-0.5362340816635996,-0.5347007394317599,-0.5347007394317599,-0.5347007394317599,-0.5347007394317599,-0.5347007394317599,-0.5347007394317599,-0.5347007394317599,-0.5347007394317599,-0.5317559291724472,-0.5317559291724472,-0.5317559291724472,-0.5317559291724472,-0.5317559291724472,-0.5272616379740984,-0.5272616379740984,-0.5272616379740984,-0.5272616379740984,-0.5272616379740984,-0.5272616379740984,-0.5257122263425882,-0.5257122263425882,-0.5211933192821012,-0.5196277701213826,-0.5166583373930855,-0.5166583373930855,-0.5166583373930855,-0.5136809371545639,-0.5136809371545639,-0.5106956153210096,-0.5106956153210096,-0.5077024179297759,-0.5077024179297759,-0.5077024179297759,-0.5077024179297759,-0.5047013911396664,-0.5047013911396664,-0.501692581230224,-0.49867603460101695,-0.49867603460101695,-0.49867603460101695,-0.49565179777092283,-0.49261991737741206,-0.49261991737741206,-0.48958044017582825,-0.4865334130386668,-0.4865334130386668,-0.48347888295485314,-0.48347888295485314,-0.48347888295485314,-0.48041689702901663,-0.47734750248076535,-0.47734750248076535,-0.4711866769659715,-0.4711866769659715,-0.4711866769659715,-0.4711866769659715,-0.4711866769659715,-0.4711866769659715,-0.4711866769659715,-0.4711866769659715,-0.4711866769659715,-0.4711866769659715,-0.4711866769659715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</si>
  <si>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-0.03930697374439624,-0.04066340903709975,-0.04066340903709975,-0.04066340903709975,-0.04066340903709975,-0.04066340903709975,-0.04066340903709975,-0.04066340903709975,-0.04201921724977024,-0.04201921724977024,-0.03923570120173779,-0.03923570120173779,-0.03923570120173779,0.036451580090692104,0.03782567317353296,0.03782567317353296,0.035031576965961445,0.035031576965961445,0.035031576965961445,0.035031576965961445,0.0336292125310912,0.030824751604074285,0.030824751604074285,0.030824751604074285,0.030824751604074285,0.030824751604074285,0.030824751604074285,0.030824751604074285,0.032225810892164426,0.032225810892164426,0.032225810892164426,0.032225810892164426,0.025182506210242643,0.025182506210242643,0.025182506210242643,0.025182506210242643,0.025182506210242643,0.025182506210242643,0.025182506210242643,0.025182506210242643,0.025182506210242643,0.025182506210242643,0.025182506210242643,0.02377644850020277,0.02377644850020277,0.02377644850020277,0.02377644850020277,0.02238776850014176,0.02238776850014176,0.019544297246149627,0.01814566891379667,0.01814566891379667,0.01814566891379667,0.019608379877073524,0.018217756976952337,0.018217756976952337,0.018217756976952337,0.01682657219833281,0.01682657219833281,0.01830610847217972,0.015417422931284503,0.015417422931284503,0.014007798154630047,0.01550410222583273,0.012597741344514926,0.012597741344514926,0.012597741344514926,0.012597741344514926,0.01118729599040955,0.012700183262235702,0.012700183262235702,0.012700183262235702,0.009776505593767963,0.011297614601908496,0.011297614601908496,0.008365413666686132,0.008365413666686132,0.008365413666686132,0.009894697496559484,0.0069540637305598695,0.0069540637305598695,0.0069540637305598695,0.0069540637305598695,0.0069540637305598695,0.0069540637305598695,0.0069540637305598695,0.0069540637305598695,0.008491475215453782,0.008491475215453782,0.008491475215453782,0.008491475215453782,0.008491475215453782,0.007071590432993275,0.007071590432993275,0.007071590432993275,0.007071590432993275,0.007071590432993275,0.007071590432993275,0.00411431606201737,0.00411431606201737,0.002718529642838695,-0.0002468983379232304,0.0013226593778081159,0.0013226593778081159,0.0013226593778081159,0.0028921966964968837,0.0028921966964968837,0.004461689413937427,0.004461689413937427,0.00603111332661194,0.00603111332661194,0.00603111332661194,0.00603111332661194,0.007600444232063661,0.007600444232063661,0.009169657929270103,0.010738730219016295,0.010738730219016295,0.010738730219016295,0.012307636904267933,0.01387635379054455,0.01387635379054455,0.015444856686292596,0.017013121403258523,0.017013121403258523,0.018581123756861814,0.018581123756861814,0.018581123756861814,0.020148839566567912,0.021716244656261107,0.021716244656261107,0.024850025995477174,0.024850025995477174,0.024850025995477174,0.024850025995477174,0.024850025995477174,0.024850025995477174,0.024850025995477174,0.024850025995477174,0.024850025995477174,0.024850025995477174,0.024850025995477174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</si>
  <si>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-0.7038930811275057,-0.7063199264441998,-0.7063199264441998,-0.7063199264441998,-0.7063199264441998,-0.7063199264441998,-0.7063199264441998,-0.7063199264441998,-0.7087358794345178,-0.7087358794345178,-0.7088954232940925,-0.7088954232940925,-0.7088954232940925,0.7090440351099463,0.7114383359573158,0.7114383359573158,0.7115813910130192,0.7115813910130192,0.7115813910130192,0.7115813910130192,0.7140859366947944,0.7142124919162994,0.7142124919162994,0.7142124919162994,0.7142124919162994,0.7142124919162994,0.7142124919162994,0.7142124919162994,0.7165684582857713,0.7165684582857713,0.7165684582857713,0.7165684582857713,0.7192432826442675,0.7192432826442675,0.7192432826442675,0.7192432826442675,0.7192432826442675,0.7192432826442675,0.7192432826442675,0.7192432826442675,0.7192432826442675,0.7192432826442675,0.7192432826442675,0.7216593781459831,0.7216593781459831,0.7216593781459831,0.7216593781459831,0.7240419332660005,0.7240419332660005,0.7241242667879165,0.7264790165210099,0.7264790165210099,0.7264790165210099,0.7287399772396863,0.7310553211946225,0.7310553211946225,0.7310553211946225,0.7333481176830072,0.7333481176830072,0.735563701146918,0.735629917229109,0.735629917229109,0.7378890282173519,0.7400702030613505,0.7401253809714368,0.7401253809714368,0.7401253809714368,0.7401253809714368,0.7423389065169815,0.7444854036528818,0.7444854036528818,0.7444854036528818,0.7445295365836494,0.7466585952930654,0.7466585952930654,0.7466972036072536,0.7466972036072536,0.7466972036072536,0.7488087582250044,0.7488418407318415,0.7488418407318415,0.7488418407318415,0.7488418407318415,0.7488418407318415,0.7488418407318415,0.7488418407318415,0.7488418407318415,0.7509358261326134,0.7509358261326134,0.7509358261326134,0.7509358261326134,0.7509358261326134,0.7530518076680502,0.7530518076680502,0.7530518076680502,0.7530518076680502,0.7530518076680502,0.7530518076680502,0.7530737711716641,0.7530737711716641,0.7551366599744225,0.7551415130172332,0.7571762585854692,0.7571762585854692,0.7571762585854692,0.7591993275598219,0.7591993275598219,0.7612106887420671,0.7612106887420671,0.7632103111145289,0.7632103111145289,0.7632103111145289,0.7632103111145289,0.7651981638405584,0.7651981638405584,0.7671742162650096,0.7691384379147111,0.7691384379147111,0.7691384379147111,0.7710907984989374,0.7730312679098746,0.7730312679098746,0.7749598162230857,0.7768764136979721,0.7768764136979721,0.778781030778231,0.778781030778231,0.778781030778231,0.780673638092313,0.782554206453874,0.782554206453874,0.7862791105027793,0.7862791105027793,0.7862791105027793,0.7862791105027793,0.7862791105027793,0.7862791105027793,0.7862791105027793,0.7862791105027793,0.7862791105027793,0.7862791105027793,0.7862791105027793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</si>
  <si>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-0.34549148814471375,-0.3453344664681952,-0.3453344664681952,-0.3453344664681952,-0.3453344664681952,-0.3453344664681952,-0.3453344664681952,-0.3453344664681952,-0.34517211930732195,-0.34517211930732195,-0.3475799460155808,-0.3475799460155808,-0.3475799460155808,0.3499824126114148,0.3498365693825958,0.3498365693825958,0.35222268714450294,0.35222268714450294,0.35222268714450294,0.35222268714450294,0.35447404514572334,0.3568382699785539,0.3568382699785539,0.3568382699785539,0.3568382699785539,0.3568382699785539,0.3568382699785539,0.3568382699785539,0.35671447033318204,0.35671447033318204,0.35671447033318204,0.35671447033318204,0.36361155228604986,0.36361155228604986,0.36361155228604986,0.36361155228604986,0.36361155228604986,0.36361155228604986,0.36361155228604986,0.36361155228604986,0.36361155228604986,0.36361155228604986,0.36361155228604986,0.3658186522497669,0.3658186522497669,0.3658186522497669,0.3658186522497669,0.36803672717889646,0.36803672717889646,0.37032305648514274,0.372512885614728,0.372512885614728,0.372512885614728,0.37243875562021855,0.37462257336349447,0.37462257336349447,0.37462257336349447,0.37679483686498144,0.37679483686498144,0.37672585392120145,0.37893286094516987,0.37893286094516987,0.38105919784415654,0.3810012512905225,0.38317378198070745,0.38317378198070745,0.38317378198070745,0.38317378198070745,0.3852765481360714,0.3852296451213602,0.3852296451213602,0.3852296451213602,0.3873674314559915,0.38732605246580554,0.38732605246580554,0.38944636745270544,0.38944636745270544,0.38944636745270544,0.3894105137632703,0.3915132920069349,0.3915132920069349,0.3915132920069349,0.3915132920069349,0.3915132920069349,0.3915132920069349,0.3915132920069349,0.3915132920069349,0.3914829647240624,0.3914829647240624,0.3914829647240624,0.3914829647240624,0.3914829647240624,0.39352018080080736,0.39352018080080736,0.39352018080080736,0.39352018080080736,0.39352018080080736,0.39352018080080736,0.3955876927440347,0.3955876927440347,0.39764149468454585,0.3996851446800764,0.39968303242556236,0.39968303242556236,0.39968303242556236,0.39967475656462415,0.39967475656462415,0.3996603172248857,0.3996603172248857,0.3996397146290197,0.3996397146290197,0.3996397146290197,0.3996397146290197,0.3996129490947435,0.3996129490947435,0.3995800210348146,0.39954093095702464,0.39954093095702464,0.39954093095702464,0.3994956794641908,0.39944426725414695,0.39944426725414695,0.3993866951197331,0.3993229639487826,0.3993229639487826,0.399253074724109,0.399253074724109,0.399253074724109,0.39917702852349035,0.3990948265196532,0.3990948265196532,0.3989119602678602,0.3989119602678602,0.3989119602678602,0.3989119602678602,0.3989119602678602,0.3989119602678602,0.3989119602678602,0.3989119602678602,0.3989119602678602,0.3989119602678602,0.3989119602678602</t>
  </si>
  <si>
    <t>gamarson@iq.usp.br</t>
  </si>
  <si>
    <t>Guilherme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</si>
  <si>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</si>
  <si>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-0.5746852080779224,-0.5395705243641246,-0.5136494253154001,-0.4948274700361382,-0.45905350862992983,-0.2975798594352975,-0.2892632464131889,-0.27811217884420913,-0.24631564845894233,-0.2261818817706783,-0.23121821817470628,-0.26109367224652574,-0.3015964639124578,-0.38186181583269824,-0.4458941392477519,-0.48667421760820384,-0.5630103623625272,0.6207949185458823,0.6952373352375905,0.7228212309758408,0.7792781347461591,0.7817032449486379,0.7852504534389243,0.7852504534389243,0.7852504534389243,0.7465190601188243,-0.700006554389585,-0.6317266650128885,-0.5519307452143347,-0.4376858193203458,-0.3059342919239519,-0.17003450152050398,-0.01818066985902079,0.016539348995721223,0.09795941822053336,0.10119516945496874,0.12439499705351867,0.1330285256674348,0.015243123192212426,-0.08670447954435463,-0.37917162049178754,-0.4268835701334706,-0.4766336830148724,-0.5077206962631484,-0.5165634304931651,-0.6289921808896233,-0.7242270069480956,0.7852991525501074,0.8213490514776606,0.8213490514776606,0.8213490514776606,-0.5112854414130358,-0.286922059948476,-0.12569759183003104,-0.007448746327801429,0.10908815149152763,0.15452877023890718,0.0682957445859635,0.035532985099591935,0.010545242654799655,0.03702826561854406,0.05865913673441946,0.05865913673441946,0.06313987894211781,0.20287945964684573,0.24428442122574684,0.289781490592875,-0.31087417931709876,-0.2668757772564939,-0.19378163362422665,-0.1406804867121586,-0.08985620769637609,-0.05776186037912447,0.0005353057082804066,0.15043713077628781,0.20342555784523025,0.27819578933822875,0.35688429148592704,0.37008912343907613,0.37323061054364154,0.37323061054364154,0.37323061054364154,0.37323061054364154,0.33149309117216286,0.23555120602970725,0.2189196597224827,0.11539525038042535,-0.02113325596324043,-0.08220388855229024,0.1412081010172329,0.22840629429179182,0.26030608787967346,0.2945694022271894,-0.3283466290146141,-0.3376190481448813,0.3399406072396086,0.3148777267130662,0.3085942838003426,0.3085942838003426,0.3085942838003426,0.3085942838003426,-0.05313314383842644,-0.18978723326594807,-0.34858181050907,-0.3773557434785958,-0.37957261609893084,-0.3255118211264585,-0.1994668932551918,-0.1994668932551918,-0.0541307112016376,0.04515308606326269,0.09103913841344193,0.11718118212286398,0.14211223223502017,-0.23662287652136607,-0.23662287652136607,-0.3477103399798174,-0.37540520602675476,-0.3823790866919529,-0.3823790866919529,-0.3823790866919529,-0.29070684618751746,-0.14075359493188747,-0.10174935337149185,-0.10711812856350188,-0.1810935605516871,-0.2902134552619847,-0.3934545650080598,-0.43997775636842323,0.4422799131174425,0.4422799131174425,0.4402151470869019,0.4402151470869019,-0.45203003130497277,-0.44510803793996917,-0.4107303223065231,-0.30694470168174837,-0.20675181467943385,-0.12180787880820061,-0.05240440099898025,-0.007710198695614259,-0.026263626320117965,-0.03707271146499631,-0.08114752157067952,-0.12550553368954354,-0.12550553368954354,-0.08434568215761952,0.11846331615443749,0.13616399067491633,0.14495747036486725,0.14447420543959721,0.14447420543959721,0.11692471261484993,0.04417275823905521,-0.015967629994694303,-0.13915218246462327,-0.2382415806930954,-0.26227164296022765,-0.3012992451026721,-0.36190353372478457,-0.3876672127760834,-0.4093018382509068,-0.41185332207183756,-0.41506138953280164,-0.420693371607656,-0.4269927834193307,-0.42659765570824737,-0.4359259869006609,-0.44513331583479016,-0.48415695694459215,-0.4976751298172423,-0.532243113078255,-0.5614974973486472,-0.6540851459214154,-0.6631967164734068,-0.6839516896111075,-0.730575802650654,-0.7683073686711713,0.8004772198067187,0.8218882094407237,0.8005651524129364,0.7595984641017659,0.7310611367966408,0.7184329871752223,0.7184329871752223,0.7184329871752223,0.7184329871752223,0.7184329871752223,0.7184329871752223,0.7184329871752223,0.7184329871752223,0.7184329871752223,0.7184329871752223,0.7184329871752223,-0.6175619925307354,-0.574306298351265,-0.5417378711118103,-0.5197403272089782,-0.4879844247090367,-0.4472271656866229,-0.443670737125084,-0.4203885010259642,-0.3860256441716152,-0.382138419531659,-0.3742934951990615,-0.3723177581087028,-0.3723177581087028,-0.3692223175153579,-0.3709260775025996,-0.37576198076920764,-0.3737584691311082,-0.3745183010587703,-0.3772716840916085,-0.3934682823291193,-0.3981783001143695,-0.41334778321174964,-0.42181789066628517,-0.42181789066628517,-0.42181789066628517,-0.42181789066628517,-0.43208258800792576,-0.43486240634802975,-0.43486240634802975,-0.4367107917745166,-0.4431695001718919,-0.4495850549856784,-0.4523669210265331,-0.4523669210265331,-0.4523669210265331,-0.4523669210265331,-0.4523669210265331,-0.46657538021052114,-0.4735077985097976,-0.4926665876547199,-0.494314208190165,-0.494314208190165,-0.5133355893819329,-0.5249516738389804,-0.5249516738389804,-0.5249516738389804,-0.5261710809405182,-0.5257820948091689,-0.5269572413722035,-0.5269572413722035,-0.5281161352920146,-0.5281161352920146,-0.5265109011577095,-0.5265109011577095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-0.48616739483794197,-0.4816619303245589,-0.4816619303245589,-0.4869342413691172,-0.4902519497174517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-0.4995223041696487,-0.49786185616084666,-0.50181374398391,-0.50181374398391,-0.5095974683539927,-0.5095974683539927,-0.5095974683539927,-0.5095974683539927,-0.5095974683539927,-0.5095974683539927,-0.5095974683539927,-0.5095974683539927,-0.5095974683539927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-0.5106887155584746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</si>
  <si>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-0.07153913351998302,-0.12959964950768976,-0.15945380951592203,-0.17854547355478395,-0.20165816823115545,-0.17680296343750002,-0.16948770530345486,-0.15969761218248832,-0.12200869317945551,-0.06961217129935551,-0.03395431123212438,0.044889045676188885,0.10865764173603142,0.20306256309923745,0.2800316268971851,0.31531610183652925,0.3666359604144032,-0.344992140822408,-0.2960111550126683,-0.26989510752224705,-0.20962148500821368,-0.205675981595263,-0.19973401450322928,-0.19973401450322928,-0.19973401450322928,-0.17516449393662092,0.15050538785457654,0.1130978862526908,0.05315442414150271,0.00023150533853165208,0.00864376188160809,0.13041930939023966,0.42254154548941963,0.4872150530693076,0.6202883931010144,0.625452782797328,0.6669415479681704,0.6851562935003777,0.655701588470158,0.5811907651619984,0.15458632836895983,0.04462818462172021,-0.07701766499377923,-0.20650191972485837,-0.2313094290796618,-0.2772304947642936,-0.2707397175409913,0.23147564359863806,0.19162864032564905,0.19162864032564905,0.19162864032564905,0.18674462811025447,0.162027936303675,0.08097382295818784,-0.029956480018749718,-0.1564785563804086,-0.26136932210343333,-0.4483437354639626,-0.516144868218407,0.6248138827998593,0.7014570843284366,0.7618873368573326,0.7618873368573326,0.7642244589118079,0.7247497811729474,0.713979051778875,0.6764501527975214,-0.5576736574995766,-0.46176895087607517,-0.37929350912791504,-0.31606761014804285,-0.24271345302996897,-0.18617220232376397,-0.1718622983771868,-0.21423881484922316,-0.23601902321648358,-0.29283240065983507,-0.4049839053527342,-0.459959294781027,-0.4631440629260446,-0.4631440629260446,-0.4631440629260446,-0.4631440629260446,-0.48107683858959416,-0.5050221934210046,-0.5060902743495987,-0.5210067905380589,-0.555190715736717,-0.5811227281743453,0.6171310629578489,0.6831877182438246,0.6955926526578827,0.6566089081768821,-0.5522735638021866,-0.47144474866039326,0.34931037950771965,0.19313693318227304,0.15994410805475792,0.15994410805475792,0.15994410805475792,0.15994410805475792,0.08042801717901932,0.15949588454497376,0.24470890801200773,0.2575635081435929,0.26025870287146874,0.43928303952361747,0.5838443307652182,0.5838443307652182,0.5853545223777109,0.5422403658054082,0.49237541902741916,0.4544713657556632,0.4223365312944627,0.07936065447091441,0.07936065447091441,-0.03054386724684434,-0.05360816121495523,-0.05561070697319477,-0.05561070697319477,-0.05561070697319477,0.16263990618438795,0.5205323803991528,0.6962126604919113,0.704645073516204,0.7419714432350091,0.6963900089101953,0.587675008460414,0.4892805342580327,-0.4161563292689026,-0.4161563292689026,-0.4138111776837845,-0.4138111776837845,0.47955848691490677,0.5695928651800122,0.6644065797366218,0.7424892394113455,0.7593996268854252,0.7375490258088457,0.6530630274440752,0.5287183568183618,0.46300463399510483,0.4295935555058645,0.37170624850492245,0.3348840453885214,0.3348840453885214,0.3875298149273966,0.6413242136726351,0.7023564282640364,0.7477091459785025,0.7589615939843197,0.7589615939843197,0.7258638363377984,0.6139285781547921,0.5548569323473639,0.45656797790611947,0.35930288774062524,0.32172249384917856,0.24760629565431513,0.1234852416494827,0.06409463331205054,0.019083371038494973,0.008065530872801556,0.004150515024428753,-0.010770655482933917,-0.01861894911191654,-0.022147355262744247,-0.03394998500435021,-0.04574319107088818,-0.0685163982854854,-0.07034344716387894,-0.06481565957162433,-0.06855302781478448,-0.07769101781802201,-0.07583636462018,-0.07239514254798603,-0.07739337351254579,-0.10534547987732765,0.1402820117268959,0.1984706781657855,0.2255791490232126,0.23482302579837896,0.23544897701373904,0.23687340264461576,0.23687340264461576,0.23687340264461576,0.23687340264461576,0.23687340264461576,0.23687340264461576,0.23687340264461576,0.23687340264461576,0.23687340264461576,0.23687340264461576,0.23687340264461576,-0.18284350537438349,-0.15924340635277556,-0.14544069046580455,-0.1448574415252365,-0.15422111187694545,-0.19742447977168645,-0.203282841307493,-0.22117028937698277,-0.24852081349296135,-0.25431522208869456,-0.26585662074175004,-0.26873183189503447,-0.26873183189503447,-0.279314628114756,-0.2889897556519798,-0.3177964720872322,-0.3205659954794354,-0.32532869655012747,-0.3273334136261587,-0.3222640433607077,-0.32146993605107,-0.31155185218558207,-0.3051427946070153,-0.3051427946070153,-0.3051427946070153,-0.3051427946070153,-0.29590576473008007,-0.29775979912658285,-0.29775979912658285,-0.2949810379323195,-0.29124593026045653,-0.28750203422098936,-0.2893085164720723,-0.2893085164720723,-0.2893085164720723,-0.2893085164720723,-0.2893085164720723,-0.2669423349930892,-0.2556590643557266,-0.2363280009300745,-0.23348194411301038,-0.23348194411301038,-0.23313445634139027,-0.2322700493008317,-0.2322700493008317,-0.2322700493008317,-0.23664507453091038,-0.2437985937990886,-0.24816320748520326,-0.24816320748520326,-0.25252016721430637,-0.25252016721430637,-0.25527013484455285,-0.25527013484455285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-0.2720954379231598,-0.2731354376844658,-0.2731354376844658,-0.22625983673500624,-0.22052630991379923,-0.21477917999183552,-0.21477917999183552,-0.21477917999183552,-0.21477917999183552,-0.21477917999183552,-0.21477917999183552,-0.21477917999183552,-0.21477917999183552,-0.21477917999183552,-0.21477917999183552,-0.21477917999183552,-0.21477917999183552,-0.21477917999183552,-0.21477917999183552,-0.21477917999183552,-0.23732690244652618,-0.24014648187201354,-0.2462834736486812,-0.2462834736486812,-0.25850767321604406,-0.25850767321604406,-0.25850767321604406,-0.25850767321604406,-0.25850767321604406,-0.25850767321604406,-0.25850767321604406,-0.25850767321604406,-0.25850767321604406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-0.26291987957352125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</si>
  <si>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0.6891455094453658,0.6785273301299146,0.6737146356200265,0.6703855429288444,0.6688840932809613,0.7041994791746431,0.7076563102847828,0.7121125579498628,0.7265694858397336,0.7410055127163703,0.7471235317720727,0.7531888561744421,0.7491563683832142,0.7252838455088042,0.6943848488657186,0.6683772043044331,0.6078876612223186,-0.5504602783118029,-0.4588283755354673,-0.4158595715678908,-0.3118380384155708,-0.3057080475438843,-0.2964778218860352,-0.2964778218860352,-0.2964778218860352,-0.3074102872443975,0.3202058913675684,0.33181525100048653,0.3254407575516804,0.32432461284900377,0.34464962671868815,0.3873397212518762,0.4207456283564572,0.42081334398090375,0.41237757845485445,0.4115954962209561,0.40184192739412866,0.3956020067922261,0.32109512207120433,0.2615770365230515,0.038185075274969386,-0.016237358306886985,-0.07561474153066233,-0.13943652670740636,-0.1499889088002648,-0.1282922826987272,-0.06816357058909167,-0.010355737876337132,-0.0791603837846508,-0.0791603837846508,-0.0791603837846508,0.6313125823677839,0.7367655999481635,0.7749673637324198,0.7809346735352665,0.7649467816018404,0.7463558337016771,0.7318131262798134,0.7149376752163153,-0.6689324043141529,-0.6201069139250249,-0.5707420542446527,-0.5707420542446527,-0.570263748184126,-0.6426888340174529,-0.6492855586888342,-0.6762248178417891,0.7687740380216855,0.8444845100324201,0.9039339328633811,0.9377292232193407,0.9655811960418019,0.9805310157127249,0.985019461977882,0.9650708183267682,0.9500334320228989,0.9144890944397741,0.8417130315981632,0.8071178003191031,0.8038457779176507,0.8038457779176507,0.8038457779176507,0.8038457779176507,0.8107117372503776,0.8236544690549561,0.8261309943322378,0.8257268703678536,0.7883363186657545,0.7541600323075689,-0.7061130602231623,-0.6065770850768615,-0.5717889962382913,-0.5639646561970781,0.5745273923816028,0.582319827482564,-0.5867858586052054,-0.5849429717741385,-0.5824055058602786,-0.5824055058602786,-0.5824055058602786,-0.5824055058602786,-0.6157956120749705,-0.6049016659521324,-0.5727233108648129,-0.5652643821297747,-0.5637781549055031,-0.45766263678880426,-0.31227361503534606,-0.31227361503534606,-0.2179582823832712,-0.157607220627132,-0.13063605926114466,-0.11450441765562658,-0.09895871752757437,-0.22355059144104528,-0.22355059144104528,-0.25108945563236557,-0.2551851937267333,-0.2547562900423472,-0.2547562900423472,-0.2547562900423472,-0.1771833389564438,-0.028762825601996535,0.016992935379776433,0.01272203972357878,-0.05968847976364639,-0.19932216945748413,-0.3638266844100611,-0.4651952519937344,0.5249213035253524,0.5249213035253524,0.5266540806992622,0.5266540806992622,-0.47404032174744404,-0.38827458327988196,-0.273402551283719,-0.09852627397091121,0.03443310636400605,0.13561832209052002,0.21642115922329874,0.27499862023081784,0.27583761056486067,0.27459384467654707,0.25941868851594707,0.24147160102249696,0.24147160102249696,0.25855113638888266,0.30518730406287237,0.28628397855489746,0.26548275564282603,0.2572837236870609,0.2572837236870609,0.25067561874403443,0.23567186149386954,0.2075073595016438,0.13664739936000045,0.07225982122772998,0.053464772578057713,0.019306265508481888,-0.036875360635094,-0.06346624798267105,-0.08347668973531522,-0.08839503989552569,-0.0900286914926288,-0.09658074972401005,-0.09978030758065626,-0.10145633059255327,-0.1061514140820576,-0.11081703256784577,-0.11685646849489507,-0.11576584342635887,-0.10691341751953161,-0.10455635298170916,-0.09282515340776305,-0.0893457264636846,-0.082085579619805,-0.07740691725731401,-0.09861372437789236,0.128095898362573,0.19056811024043527,0.24536572046020264,0.2948919650914284,0.3217168678654066,0.33396509747581343,0.33396509747581343,0.33396509747581343,0.33396509747581343,0.33396509747581343,0.33396509747581343,0.33396509747581343,0.33396509747581343,0.33396509747581343,0.33396509747581343,0.33396509747581343,-0.37010841791838556,-0.3808589318957972,-0.38961076006204337,-0.39922705322126323,-0.4170870769476214,-0.45106695118648404,-0.4545655169495863,-0.47072014018008707,-0.49342598932505255,-0.49644257796583396,-0.5023837023144634,-0.5038496719225157,-0.5038496719225157,-0.5071303989862989,-0.5078052357582344,-0.5094535678394055,-0.5109252496487804,-0.5111371209401422,-0.5098556202748269,-0.4999971256444218,-0.4971787553419331,-0.4867146994935111,-0.48059508604835494,-0.48059508604835494,-0.48059508604835494,-0.48059508604835494,-0.4727082200547734,-0.4715425589826888,-0.4715425589826888,-0.4698312268617492,-0.4652357961242858,-0.46058263346708356,-0.45945006717750014,-0.45945006717750014,-0.45945006717750014,-0.45945006717750014,-0.45945006717750014,-0.4450141683697753,-0.4376306207509252,-0.42053156475247044,-0.4185936300588401,-0.4185936300588401,-0.4080210874352747,-0.4012131757722946,-0.4012131757722946,-0.4012131757722946,-0.4023563406865696,-0.40554399166437327,-0.40664507857655346,-0.40664507857655346,-0.40773362356528753,-0.40773362356528753,-0.4098043815084822,-0.4098043815084822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-0.4401727040360814,-0.44313271742697036,-0.44313271742697036,-0.42434029825204583,-0.42050287744151066,-0.41663951803429494,-0.41663951803429494,-0.41663951803429494,-0.41663951803429494,-0.41663951803429494,-0.41663951803429494,-0.41663951803429494,-0.41663951803429494,-0.41663951803429494,-0.41663951803429494,-0.41663951803429494,-0.41663951803429494,-0.41663951803429494,-0.41663951803429494,-0.41663951803429494,-0.4218499017337385,-0.4238082634114115,-0.42386094623002557,-0.42386094623002557,-0.4238571742044327,-0.4238571742044327,-0.4238571742044327,-0.4238571742044327,-0.4238571742044327,-0.4238571742044327,-0.4238571742044327,-0.4238571742044327,-0.4238571742044327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-0.4248474919030806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</si>
  <si>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0.4355428001964129,0.4813192727822956,0.5068010854915311,0.523307283154679,0.5488150227134024,0.6199113105181645,0.6219511544643995,0.6245366229868683,0.6297136352021271,0.6284160501527737,0.6222472728789499,0.6020976788077995,0.5796531942107621,0.5356402640956741,0.4905001388252149,0.4658281599519805,0.4231666288084199,-0.438848007719387,-0.46743872925045904,-0.48140099264697683,-0.5015390907263628,-0.5031699683988509,-0.5055580579459685,-0.5055580579459685,-0.5055580579459685,-0.5634941066591124,0.6203282511476201,0.6913963610262572,0.7659212577057265,0.8385968134160177,0.887437957948719,0.8966866857332972,0.8025591702783162,0.7650255365182776,0.6599931776569863,0.6551011384974713,0.6150105053493373,0.5969617383530839,0.6831698153864356,0.7656873263161479,0.9115228188703124,0.9030587416567567,0.8724511575772218,0.8247024352794078,0.8106549805761256,0.7148798356034454,0.6305148494661897,-0.5741228319076981,-0.5314111717707449,-0.5314111717707449,-0.5314111717707449,0.5524111373018822,0.5904228400943826,0.6140593949719269,0.6238494699471945,0.6151996894620879,0.5922498679874195,0.5086974880478903,0.47031479089861117,-0.4025243448245091,-0.34936267930778164,-0.300566630101558,-0.300566630101558,-0.2945735724655553,-0.14327854749561766,-0.09480136309920442,-0.0340862761946577,-0.03665807999331173,-0.04891490402580256,-0.038581827607016235,-0.031211702840212865,-0.025864947461322407,-0.023715096306634417,-0.01413235186061268,0.010426673002413425,0.018696019204218622,0.023790419689406515,0.01186639514189194,-0.0056872018328344345,-0.005334196616347761,-0.005334196616347761,-0.005334196616347761,-0.005334196616347761,-0.037734400250154274,-0.1051738042289258,-0.11599309030871931,-0.1827867499447875,-0.2642773227590067,-0.2945870689217936,0.3171968939348237,0.33637679204776155,0.34849525959753624,0.4050154016019484,-0.5070509612880796,-0.5697866669297889,0.6466103915486425,0.7220746928351632,0.7348409875938825,0.7348409875938825,0.7348409875938825,0.7348409875938825,0.7819871912171623,0.7567270600624809,0.7004257854432785,0.6868332115091135,0.6858164686990375,0.7011543170952776,0.722373826547717,0.722373826547717,0.7790533591335702,0.8240731451250973,0.8556941872159871,0.875564438863191,0.8897433000639212,0.942197767931478,0.942197767931478,0.9028392309348143,0.889425439956497,0.8864496127893713,0.8864496127893713,0.8864496127893713,0.926090629955991,0.8416692737252139,0.710384572331378,0.7013124671697106,0.6427447278149958,0.6253701133230765,0.6061862200813792,0.5921296397071049,-0.5963723779380637,-0.5963723779380637,-0.5980020173728742,-0.5980020173728742,0.5839334566402985,0.5715642137818698,0.5613515334371278,0.5871858758564199,0.615938515599699,0.6502245349892749,0.7238261827137495,0.8029777150522358,0.841932624043897,0.8594610006266793,0.8876663160298449,0.9021044856651315,0.9021044856651315,0.8808278823446262,0.6939239188280683,0.6373353112314141,0.5911321944047763,0.5804391340572199,0.5804391340572199,0.6297714163442174,0.7520633231679372,0.8054933365156278,0.868049445546851,0.8994003014932989,0.9082123872440753,0.9206178117791449,0.9232645531754761,0.9173756294375908,0.9083718800277046,0.9069168127408359,0.9053185355731175,0.9019829482027892,0.8985401425984745,0.8984600980465325,0.8930553228950967,0.8874026577024833,0.8644316687737874,0.8567202192654692,0.8373086169444056,0.8179786133511018,0.7466727653598868,0.7392132995440205,0.721270398139313,0.6740010619267698,0.623603600438059,-0.568461624543858,-0.4987914959681244,-0.4980011520981217,-0.5300066497824751,-0.553725248132731,-0.5623276160086875,-0.5623276160086875,-0.5623276160086875,-0.5623276160086875,-0.5623276160086875,-0.5623276160086875,-0.5623276160086875,-0.5623276160086875,-0.5623276160086875,-0.5623276160086875,-0.5623276160086875,0.6694812894396815,0.7069372583210047,0.7304591297286555,0.7412854199859376,0.751082831741022,0.7466927364091023,0.7451191543969238,0.7434916011165681,0.7387505670801706,0.7367759244943166,0.7326904205107736,0.73164075722093,0.73164075722093,0.7269642200230321,0.7218258853028635,0.7058791669634432,0.704625743615981,0.7018804207057378,0.7004042826687261,0.7009504058812507,0.7006599794265344,0.7036958539103382,0.7056811640389973,0.7056811640389973,0.7056811640389973,0.7056811640389973,0.7087251612808174,0.7070229166281307,0.7070229166281307,0.7081867620011143,0.7087540167284498,0.7092809714075492,0.7075099906208296,0.7075099906208296,0.7075099906208296,0.7075099906208296,0.7075099906208296,0.7162482770101406,0.7203528630777504,0.7242802720162137,0.7252027428441614,0.7252027428441614,0.7180903077945255,0.7137957354300628,0.7137957354300628,0.7137957354300628,0.710811140452548,0.7068589005343203,0.7038258792382631,0.7038258792382631,0.7007711502399323,0.7007711502399323,0.699774105061757,0.699774105061757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0.7041685362748389,0.7050051150897532,0.7050051150897532,0.7291343100844232,0.7308888441462508,0.7325982935440637,0.7325982935440637,0.7325982935440637,0.7325982935440637,0.7325982935440637,0.7325982935440637,0.7325982935440637,0.7325982935440637,0.7325982935440637,0.7325982935440637,0.7325982935440637,0.7325982935440637,0.7325982935440637,0.7325982935440637,0.7325982935440637,0.7184678624819689,0.7175303445073016,0.7126495037656095,0.7126495037656095,0.7027298905063406,0.7027298905063406,0.7027298905063406,0.7027298905063406,0.7027298905063406,0.7027298905063406,0.7027298905063406,0.7027298905063406,0.7027298905063406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0.6996962064710185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</t>
  </si>
  <si>
    <t>Coord correta</t>
  </si>
  <si>
    <t>bastao_c</t>
  </si>
  <si>
    <t>1673007423790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</si>
  <si>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0.6289868490228794,0.6289868490228794,0.6330083134934796,0.6445791761388681,0.6553993739067785,0.6654563057968492,0.6747382596939134,0.6832344260077101,0.6909349102615308,0.6978307446151429,0.7039138983085689,0.7091772870145592,0.7136147810888677,0.7172212127087214,0.7199923818911697,0.7219250613843065,0.7230170004256673,-0.723266927363426,-0.7226745511373353,-0.7212405616176918,-0.7189666288019244,-0.7158554008697477,-0.7119105010991401,-0.7053618915824447,-0.6994912915903126,-0.6928060770959813,-0.6853140335754714,-0.6770238861228279,-0.6679452892890387,-0.658088815838525,-0.647465944436296,-0.6360890462801118,-0.6239713706932151,-0.6111270296944181,-0.5975709815635091,-0.583319013421118,-0.5683877228433307,-0.5527944985324622,-0.5365575000664976,-0.5196956367507871,-0.5022285455966222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</si>
  <si>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-0.033206902845136,-0.033206902845136,-0.029817202815307784,-0.019626708095124106,-0.00941335647702487,0.0008109577603274668,0.011034327571408601,0.0212448470105555,0.03143062509740838,0.04157979966492471,0.05168055117383707,0.0617211164774685,0.07168980252087334,0.08157499995835064,0.09136519667347168,0.10104899118587579,0.11061510592922152,-0.12005240038483092,-0.1293498840557263,-0.13849672926596268,-0.14748228377033368,-0.15629608315977872,-0.16492786304803816,-0.17613641891391282,-0.18430478219523092,-0.19225850756724835,-0.19998833226985302,-0.2074852542934731,-0.21474054286264985,-0.2217457486037354,-0.22849271338487553,-0.23497357981681827,-0.24118080040348208,-0.24710714633162928,-0.25274571588940703,-0.25808994250395223,-0.26313360238869926,-0.26787082179148625,-0.27229608383501674,-0.27640423494171223,-0.2801904908354724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</si>
  <si>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-0.6919030709079023,-0.6919030709079023,-0.6847097398865853,-0.66260188157602,-0.639722369481618,-0.6160978486561189,-0.5917558317755254,-0.566724667098353,-0.541033505451779,-0.514712266283132,-0.4877916028162628,-0.46030286635337114,-0.4322780697638654,-0.4037498502027714,-0.37475143110211173,-0.34531658347951616,-0.3154795866091254,0.2852751881005886,0.254738563432643,0.2239052749884124,0.1928112306401164,0.16149264193143345,0.12998598190621308,0.08774799109647094,0.055945487899387664,0.024077831631317888,-0.007817865230057635,-0.039704457551506506,-0.07154481080277357,-0.1033018443027617,-0.13493857440300097,-0.16641815755811562,-0.1977039332331285,-0.22875946659763677,-0.25954859095713495,-0.290035449872072,-0.3201845389155922,-0.3499607470213273,-0.3793293973730895,-0.40825628778884426,-0.43670773055193307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</si>
  <si>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-0.35290648311970335,-0.35290648311970335,-0.359977751491472,-0.3809084201608106,-0.4013954899936756,-0.42141510213093025,-0.4409439421059451,-0.45995926699619055,-0.47843893190922004,-0.4963614157721981,-0.5137058463949405,-0.5304520247772777,-0.5465804486324323,-0.5620723350990193,-0.5769096426152155,-0.5910750919296254,-0.6045521862243751,0.6173252303269986,0.6293793489887426,0.6407005042080033,0.6512755115787214,0.6610920556446954,0.6701387042419316,0.6809852082783813,0.6881960350314309,0.6946054015272438,0.7002058435372296,0.7049908388911558,0.7089548150727449,0.7120931557093233,0.7144022059479629,0.7158792767118537,0.7165226478319539,0.7163315700502655,0.7153062658924066,0.713447929408462,0.7107587247824154,0.70724178381178,0.7029012022603669,0.6977420350884339,0.6917702905657737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</t>
  </si>
  <si>
    <t>coordenadas em quaternion do jmol: px py pz pw</t>
  </si>
  <si>
    <t>Bug de tempo</t>
  </si>
  <si>
    <t>mrt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</si>
  <si>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,72.2,72.3,72.4,72.5,72.6,72.7,72.8,72.9,73,73.1,73.2,73.3,73.4,73.5,73.6,73.7,73.8,73.9,74,74.1,74.2,74.3,74.4,74.5,74.6,74.7,74.8,74.9,75,75.1,75.2,75.3,75.4,75.5,75.6,75.7,75.8,75.9,76,76.1,76.2,76.3,76.4,76.5,76.6,76.7,76.8,76.9,77,77.1,77.2,77.3,77.4,77.5,77.6,77.7,77.8,77.9,78,78.1,78.2,78.3,78.4,78.5,78.6,78.7,78.8,78.9,79,79.1,79.2,79.3,79.4,79.5,79.6,79.7,79.8,79.9,80,80.1,80.2,80.3,80.4,80.5,80.6,80.7,80.8,80.9,81,81.1,81.2,81.3,81.4,81.5,81.6,81.7,81.8,81.9,82,82.1,82.2,82.3,82.4,82.5,82.6,82.7,82.8,82.9,83,83.1,83.2,83.3,83.4,83.5,83.6,83.7,83.8,83.9,84,84.1,84.2,84.3,84.4,84.5,84.6,84.7,84.8,84.9,85,85.1,85.2,85.3,85.4,85.5,85.6,85.7,85.8,85.9,86,86.1,86.2,86.3,86.4,86.5,86.6,86.7,86.8,86.9,87,87.1,87.2,87.3,87.4,87.5,87.6,87.7,87.8,87.9,88,88.1,88.2,88.3,88.4,88.5,88.6,88.7,88.8,88.9,89,89.1,89.2,89.3,89.4,89.5,89.6,89.7,89.8,89.9,90,90.1,90.2,90.3,90.4,90.5,90.6,90.7,90.8,90.9,91,91.1,91.2,91.3,91.4,91.5,91.6,91.7,91.8,91.9,92,92.1,92.2,92.3,92.4,92.5,92.6,92.7,92.8,92.9,93,93.1,93.2,93.3,93.4,93.5,93.6,93.7,93.8,93.9,94,94.1,94.2,94.3,94.4,94.5,94.6,94.7,94.8,94.9,95,95.1,95.2,95.3,95.4,95.5,95.6,95.7,95.8,95.9,96,96.1,96.2,96.3,96.4,96.5,96.6,96.7,96.8,96.9,97,97.1,97.2,97.3,97.4,97.5,97.6,97.7,97.8,97.9,98,98.1,98.2,98.3,98.4,98.5,98.6,98.7,98.8,98.9,99,99.1,99.2,99.3,99.4,99.5,99.6,99.7,99.8,99.9,100,100.1,100.2,100.3,100.4,100.5,100.6,100.7,100.8,100.9,101,101.1,101.2,101.3,101.4,101.5,101.6,101.7,101.8,101.9,102,102.1,102.2,102.3,102.4,102.5,102.6,102.7,102.8,102.9,103,103.1,103.2,103.3,103.4,103.5,103.6,103.7,103.8,103.9,104,104.1,104.2,104.3,104.4,104.5,104.6,104.7,104.8,104.9,105,105.1,105.2,105.3,105.4,105.5,105.6,105.7,105.8,105.9,106,106.1,106.2,106.3,106.4,106.5,106.6,106.7,106.8,106.9,107,107.1,107.2,107.3,107.4,107.5,107.6,107.7,107.8,107.9,108,108.1,108.2,108.3,108.4,108.5,108.6,108.7,108.8,108.9,109,109.1,109.2,109.3,109.4,109.5,109.6,109.7,109.8,109.9,110,110.1,110.2,110.3,110.4,110.5,110.6,110.7,110.8,110.9,111,111.1,111.2,111.3,111.4,111.5,111.6,111.7,111.8,111.9,112,112.1,112.2,112.3,112.4,112.5,112.6,112.7,112.8,112.9,113,113.1,113.2,113.3,113.4,113.5,113.6,113.7,113.8,113.9,114,114.1,114.2,114.3,114.4,114.5,114.6,114.7,114.8,114.9,115,115.1,115.2,115.3,115.4,115.5,115.6,115.7,115.8,115.9,116,116.1,116.2,116.3,116.4,116.5,116.6,116.7,116.8,116.9,117,117.1,117.2,117.3,117.4,117.5,117.6,117.7,117.8,117.9,118,118.1,118.2,118.3,118.4,118.5,118.6,118.7,118.8,118.9,119,119.1,119.2,119.3,119.4,119.5,119.6,119.7,119.8,119.9,120,120.1,120.2,120.3,120.4,120.5,120.6,120.7,120.8,120.9,121,121.1,121.2,121.3,121.4,121.5,121.6,121.7,121.8,121.9,122,122.1,122.2,122.3,122.4,122.5,122.6,122.7,122.8,122.9,123,123.1,123.2,123.3,123.4,123.5,123.6,123.7,123.8,123.9,124,124.1,124.2,124.3,124.4,124.5,124.6,124.7,124.8,124.9,125,125.1,125.2,125.3,125.4,125.5,125.6,125.7,125.8,125.9,126,126.1,126.2,126.3,126.4,126.5,126.6,126.7,126.8,126.9,127,127.1,127.2,127.3,127.4,127.5,127.6,127.7,127.8,127.9,128,128.1,128.2,128.3,128.4,128.5,128.6,128.7,128.8,128.9,129,129.1,129.2,129.3,129.4,129.5,129.6,129.7,129.8,129.9,130,130.1,130.2,130.3,130.4,130.5,130.6,130.7,130.8,130.9,131,131.1,131.2,131.3,131.4,131.5,131.6,131.7,131.8,131.9,132,132.1,132.2,132.3,132.4,132.5,132.6,132.7,132.8,132.9,133,133.1,133.2,133.3,133.4,133.5,133.6,133.7,133.8,133.9,134,134.1,134.2,134.3,134.4,134.5,134.6,134.7,134.8,134.9,135,135.1,135.2,135.3,135.4,135.5,135.6,135.7,135.8,135.9,136,136.1,136.2,136.3,136.4,136.5,136.6,136.7,136.8,136.9,137,137.1,137.2,137.3,137.4,137.5,137.6,137.7,137.8,137.9,138,138.1,138.2,138.3,138.4,138.5,138.6,138.7,138.8,138.9,139,139.1,139.2,139.3,139.4,139.5,139.6,139.7,139.8,139.9,140,140.1,140.2,140.3,140.4,140.5,140.6,140.7,140.8,140.9,141,141.1,141.2,141.3,141.4,141.5,141.6,141.7,141.8,141.9,142,142.1,142.2,142.3,142.4,142.5,142.6,142.7,142.8,142.9,143,143.1,143.2,143.3,143.4,143.5,143.6,143.7,143.8,143.9,144,144.1,144.2,144.3,144.4,144.5,144.6,144.7,144.8,144.9,145,145.1,145.2,145.3,145.4,145.5,145.6,145.7,145.8,145.9,146,146.1,146.2,146.3,146.4,146.5,146.6,146.7,146.8,146.9,147,147.1,147.2,147.3,147.4,147.5,147.6,147.7,147.8,147.9,148,148.1,148.2,148.3,148.4,148.5,148.6,148.7,148.8,148.9,149,149.1,149.2,149.3,149.4,149.5,149.6,149.7,149.8,149.9,150,150.1,150.2,150.3,150.4,150.5,150.6,150.7,150.8,150.9,151,151.1,151.2,151.3,151.4,151.5,151.6,151.7,151.8,151.9,152,152.1,152.2,152.3,152.4,152.5,152.6,152.7,152.8,152.9,153,153.1,153.2,153.3,153.4,153.5,153.6,153.7,153.8,153.9,154,154.1,154.2,154.3,154.4,154.5,154.6,154.7,154.8,154.9,155,155.1,155.2,155.3,155.4,155.5,155.6,155.7,155.8,155.9,156,156.1,156.2,156.3,156.4,156.5,156.6,156.7,156.8,156.9,157,157.1,157.2,157.3,157.4,157.5,157.6,157.7,157.8,157.9,158,158.1,158.2,158.3,158.4,158.5,158.6,158.7,158.8,158.9,159,159.1,159.2,159.3,159.4,159.5,159.6,159.7,159.8,159.9,160,160.1,160.2,160.3,160.4,160.5,160.6,160.7,160.8,160.9,161,161.1,161.2,161.3</t>
  </si>
  <si>
    <t>1677676197710,1677676197799,1677676197900,1677676197997,1677676198098,1677676198199,1677676198297,1677676198397,1677676198498,1677676198596,1677676198701,1677676198798,1677676198897,1677676198997,1677676199101,1677676199198,1677676199296,1677676199472,1677676199498,1677676199597,1677676199714,1677676199795,1677676199897,1677676200025,1677676200097,1677676200196,1677676200295,1677676200396,1677676200514,1677676200627,1677676200733,1677676200797,1677676200897,1677676200994,1677676201095,1677676201208,1677676201300,1677676201395,1677676201494,1677676201614,1677676201697,1677676201799,1677676201899,1677676202025,1677676202134,1677676202202,1677676202293,1677676202395,1677676202529,1677676202595,1677676202701,1677676202793,1677676202892,1677676203002,1677676203101,1677676203192,1677676203295,1677676203395,1677676203497,1677676203612,1677676203697,1677676203797,1677676203896,1677676203996,1677676204116,1677676204207,1677676204323,1677676204406,1677676204505,1677676204590,1677676204723,1677676204800,1677676204933,1677676204997,1677676205085,1677676205184,1677676205286,1677676205425,1677676205488,1677676205589,1677676205689,1677676205810,1677676205908,1677676205995,1677676206096,1677676206196,1677676206301,1677676206397,1677676206504,1677676206596,1677676206696,1677676206808,1677676206898,1677676206998,1677676207098,1677676207198,1677676207298,1677676207395,1677676207497,1677676207600,1677676207698,1677676207795,1677676207896,1677676207996,1677676208096,1677676208197,1677676208296,1677676208397,1677676208496,1677676208597,1677676208697,1677676208799,1677676208899,1677676208997,1677676209097,1677676209194,1677676209298,1677676209396,1677676209495,1677676209596,1677676209697,1677676209795,1677676209898,1677676209997,1677676210097,1677676210198,1677676210298,1677676210396,1677676210497,1677676210598,1677676210696,1677676210798,1677676210897,1677676210997,1677676211097,1677676211198,1677676211297,1677676211398,1677676211497,1677676211596,1677676211696,1677676211796,1677676211897,1677676211996,1677676212096,1677676212198,1677676212298,1677676212397,1677676212496,1677676212597,1677676212698,1677676212815,1677676212901,1677676212997,1677676213104,1677676213200,1677676213294,1677676213397,1677676213498,1677676213597,1677676213719,1677676213796,1677676213897,1677676214031,1677676214119,1677676214225,1677676214295,1677676214395,1677676214497,1677676214621,1677676214695,1677676214815,1677676214881,1677676214983,1677676215104,1677676215191,1677676215295,1677676215395,1677676215495,1677676215625,1677676215705,1677676215803,1677676215902,1677676215992,1677676216097,1677676216203,1677676216305,1677676216391,1677676216495,1677676216590,1677676216691,1677676216793,1677676216895,1677676216997,1677676217141,1677676217197,1677676217296,1677676217397,1677676217496,1677676217598,1677676217697,1677676217795,1677676217895,1677676217997,1677676218107,1677676218201,1677676218301,1677676218407,1677676218504,1677676218593,1677676218697,1677676218798,1677676218898,1677676218997,1677676219093,1677676219193,1677676219295,1677676219400,1677676219506,1677676219594,1677676219696,1677676219800,1677676219909,1677676219997,1677676220097,1677676220208,1677676220329,1677676220396,1677676220505,1677676220597,1677676220712,1677676220802,1677676220885,1677676221003,1677676221102,1677676221184,1677676221284,1677676221388,1677676221499,1677676221618,1677676221687,1677676221794,1677676221900,1677676221997,1677676222094,1677676222195,1677676222299,1677676222440,1677676222496,1677676222595,1677676222695,1677676222800,1677676222896,1677676222996,1677676223098,1677676223204,1677676223310,1677676223396,1677676223494,1677676223617,1677676223694,1677676223796,1677676223938,1677676223998,1677676224098,1677676224201,1677676224293,1677676224395,1677676224503,1677676224605,1677676224710,1677676224790,1677676224903,1677676224990,1677676225116,1677676225190,1677676225322,1677676225390,1677676225493,1677676225592,1677676225726,1677676225803,1677676225893,1677676225993,1677676226094,1677676226213,1677676226293,1677676226402,1677676226514,1677676226593,1677676226693,1677676226796,1677676226914,1677676227003,1677676227097,1677676227191,1677676227294,1677676227395,1677676227497,1677676227598,1677676227696,1677676227798,1677676227897,1677676227997,1677676228098,1677676228199,1677676228298,1677676228397,1677676228496,1677676228596,1677676228695,1677676228795,1677676228896,1677676228998,1677676229095,1677676229197,1677676229297,1677676229396,1677676229497,1677676229602,1677676229696,1677676229796,1677676229897,1677676229998,1677676230095,1677676230198,1677676230298,1677676230396,1677676230504,1677676230595,1677676230697,1677676230797,1677676230898,1677676230997,1677676231098,1677676231197,1677676231295,1677676231399,1677676231499,1677676231597,1677676231697,1677676231796,1677676231896,1677676231995,1677676232098,1677676232198,1677676232297,1677676232398,1677676232497,1677676232598,1677676232696,1677676232797,1677676232897,1677676232996,1677676233097,1677676233197,1677676233298,1677676233396,1677676233497,1677676233596,1677676233698,1677676233795,1677676233896,1677676233997,1677676234097,1677676234197,1677676234295,1677676234397,1677676234497,1677676234597,1677676234698,1677676234797,1677676234897,1677676235002,1677676235102,1677676235203,1677676235299,1677676235402,1677676235501,1677676235596,1677676235696,1677676235798,1677676235897,1677676235997,1677676236097,1677676236198,1677676236296,1677676236397,1677676236497,1677676236595,1677676236696,1677676236797,1677676236925,1677676237967,1677676238969,1677676239972,1677676240973,1677676241974,1677676242981,1677676243984,1677676245047,1677676246048,1677676247073,1677676248152,1677676249197,1677676250282,1677676251285,1677676252289,1677676253311,1677676254313,1677676255314,1677676256320,1677676257324,1677676258327,1677676259329,1677676260339,1677676261345,1677676262349,1677676263358,1677676264361,1677676265362,1677676266365,1677676267370,1677676268372,1677676269374,1677676270375,1677676271377,1677676272379,1677676273380,1677676274381,1677676275383,1677676276385,1677676277387,1677676278390,1677676279392,1677676280395,1677676281398,1677676282399,1677676283401,1677676284403,1677676285405,1677676286406,1677676287408,1677676288409,1677676289411,1677676290413,1677676291416,1677676292416,1677676293418,1677676294419,1677676295452,1677676296454,1677676297456,1677676298475,1677676299476,1677676300479,1677676301481,1677676302481,1677676303484,1677676304485,1677676305488,1677676306495,1677676307504,1677676308519,1677676309520,1677676310522,1677676311523,1677676312527,1677676313530,1677676314532,1677676315533,1677676316534,1677676317537,1677676318537,1677676319538,1677676320539,1677676321542,1677676322545,1677676323554,1677676324557,1677676325559,1677676326562,1677676327564,1677676328565,1677676329568,1677676330570,1677676331574,1677676332575,1677676333576,1677676334578,1677676335581,1677676336580,1677676337583,1677676338584,1677676339586,1677676340588,1677676341589,1677676341844,1677676341850,1677676341856,1677676341864,1677676341871,1677676341875,1677676341883,1677676341887,1677676341896,1677676341903,1677676341909,1677676341914,1677676341923,1677676341930,1677676341935,1677676341944,1677676341950,1677676341955,1677676341964,1677676341969,1677676341975,1677676341980,1677676341987,1677676341998,1677676342004,1677676342009,1677676342023,1677676342029,1677676342035,1677676342043,1677676342047,1677676342054,1677676342060,1677676342067,1677676342074,1677676342085,1677676342094,1677676342104,1677676342109,1677676342113,1677676342118,1677676342125,1677676342131,1677676342137,1677676342145,1677676342154,1677676342159,1677676342166,1677676342173,1677676342179,1677676342185,1677676342191,1677676342197,1677676342205,1677676342212,1677676342218,1677676342226,1677676342230,1677676342235,1677676342243,1677676342249,1677676342254,1677676342261,1677676342267,1677676342274,1677676342281,1677676342287,1677676342295,1677676342308,1677676342315,1677676342323,1677676342330,1677676342337,1677676342344,1677676342351,1677676342361,1677676342369,1677676342375,1677676342384,1677676342391,1677676342396,1677676342403,1677676342410,1677676342417,1677676342426,1677676342435,1677676342441,1677676342448,1677676342454,1677676342459,1677676342465,1677676342475,1677676342481,1677676342487,1677676342494,1677676342502,1677676342508,1677676342513,1677676342519,1677676342525,1677676342531,1677676342537,1677676342542,1677676342549,1677676342555,1677676342564,1677676342568,1677676342574,1677676342579,1677676342589,1677676342595,1677676342603,1677676342610,1677676342616,1677676342622,1677676342628,1677676342636,1677676342641,1677676342647,1677676342653,1677676342660,1677676342666,1677676342673,1677676342680,1677676342685,1677676342690,1677676342695,1677676342704,1677676342711,1677676342717,1677676342724,1677676342729,1677676342737,1677676342744,1677676342751,1677676342755,1677676342764,1677676342768,1677676342774,1677676342779,1677676342785,1677676342794,1677676342799,1677676342807,1677676342816,1677676342821,1677676342830,1677676342838,1677676342842,1677676342848,1677676342853,1677676342859,1677676342865,1677676342873,1677676342879,1677676342885,1677676342889,1677676342895,1677676342899,1677676342905,1677676342912,1677676342919,1677676342925,1677676342930,1677676342936,1677676342944,1677676342951,1677676342956,1677676342962,1677676342969,1677676342974,1677676342980,1677676342986,1677676342993,1677676342998,1677676343004,1677676343011,1677676343018,1677676343023,1677676343028,1677676343035,1677676343043,1677676343048,1677676343054,1677676343059,1677676343065,1677676343071,1677676343077,1677676343083,1677676343089,1677676343095,1677676343101,1677676343106,1677676343114,1677676343120,1677676343126,1677676343130,1677676343136,1677676343144,1677676343148,1677676343154,1677676343161,1677676343165,1677676343171,1677676343176,1677676343183,1677676343190,1677676343195,1677676343202,1677676343207,1677676343213,1677676343218,1677676343226,1677676343231,1677676343236,1677676343243,1677676343250,1677676343255,1677676343261,1677676343267,1677676343277,1677676343283,1677676343289,1677676343295,1677676343300,1677676343307,1677676343311,1677676343318,1677676343326,1677676343334,1677676343338,1677676343344,1677676343348,1677676343354,1677676343359,1677676343365,1677676343371,1677676343376,1677676343381,1677676343385,1677676343394,1677676343401,1677676343407,1677676343416,1677676343423,1677676343430,1677676343436,1677676343444,1677676343454,1677676343458,1677676343468,1677676343478,1677676343487,1677676343492,1677676343497,1677676343505,1677676343511,1677676343517,1677676343524,1677676343530,1677676343536,1677676343542,1677676343548,1677676343555,1677676343562,1677676343566,1677676343577,1677676343586,1677676343593,1677676343599,1677676343604,1677676343610,1677676343616,1677676343622,1677676343627,1677676343634,1677676343640,1677676343647,1677676343651,1677676343657,1677676343663,1677676343667,1677676343674,1677676343680,1677676343686,1677676343694,1677676343701,1677676343705,1677676343713,1677676343718,1677676343725,1677676343731,1677676343737,1677676343741,1677676343746,1677676343752,1677676343757,1677676343761,1677676343766,1677676343773,1677676343777,1677676343782,1677676343788,1677676343794,1677676343801,1677676343806,1677676343814,1677676343820,1677676343826,1677676343833,1677676343837,1677676343844,1677676343850,1677676343856,1677676343863,1677676343871,1677676343880,1677676343888,1677676343895,1677676343900,1677676343906,1677676343913,1677676343918,1677676343924,1677676343931,1677676343936,1677676343943,1677676343949,1677676343954,1677676343959,1677676343965,1677676343970,1677676343974,1677676343980,1677676343987,1677676343994,1677676343999,1677676344005,1677676344011,1677676344016,1677676344022,1677676344027,1677676344033,1677676344038,1677676344045,1677676344051,1677676344057,1677676344062,1677676344069,1677676344078,1677676344086,1677676344090,1677676344095,1677676344101,1677676344107,1677676344116,1677676344122,1677676344126,1677676344132,1677676344137,1677676344145,1677676344151,1677676344156,1677676344164,1677676344170,1677676344176,1677676344180,1677676344186,1677676344191,1677676344197,1677676344202,1677676344208,1677676344219,1677676344227,1677676344239,1677676345248,1677676345859,1677676345867,1677676345872,1677676345878,1677676345885,1677676345890,1677676345899,1677676345906,1677676345910,1677676345916,1677676345922,1677676345928,1677676345934,1677676345938,1677676345947,1677676345953,1677676345958,1677676345966,1677676345973,1677676345979,1677676345986,1677676345990,1677676345997,1677676346002,1677676346008,1677676346015,1677676346020,1677676346026,1677676346032,1677676346037,1677676346043,1677676346049,1677676346056,1677676346060,1677676346066,1677676346071,1677676346077,1677676346084,1677676346091,1677676346096,1677676346102,1677676346109,1677676346113,1677676346119,1677676346127,1677676346133,1677676346139,1677676346143,1677676346149,1677676346156,1677676346161,1677676346167,1677676346173,1677676346177,1677676346184,1677676346191,1677676346197,1677676346203,1677676346209,1677676346216,1677676346221,1677676346227,1677676346233,1677676346240,1677676346247,1677676346254,1677676346259,1677676346267,1677676346274,1677676346279,1677676346287,1677676346291,1677676346297,1677676346303,1677676346307,1677676346314,1677676346320,1677676346327,1677676346333,1677676346338,1677676346345,1677676346349,1677676346356,1677676346362,1677676346368,1677676346375,1677676346380,1677676346386,1677676346392,1677676346398,1677676346405,1677676346412,1677676346417,1677676346424,1677676346429,1677676346436,1677676346442,1677676346448,1677676346455,1677676346461,1677676346467,1677676346475,1677676346481,1677676346487,1677676346495,1677676346499,1677676346507,1677676346514,1677676346518,1677676346525,1677676346532,1677676346537,1677676346542,1677676346548,1677676346562,1677676346571,1677676346580,1677676346586,1677676346592,1677676346598,1677676346605,1677676346611,1677676346617,1677676346628,1677676346638,1677676346642,1677676346648,1677676346653,1677676346658,1677676346667,1677676346673,1677676346678,1677676346685,1677676346690,1677676346697,1677676346704,1677676346709,1677676346717,1677676346722,1677676346728,1677676346739,1677676346747,1677676346753,1677676346758,1677676346764,1677676346771,1677676346782,1677676346789,1677676346798,1677676346804,1677676346809,1677676346817,1677676346822,1677676346828,1677676346836,1677676346842,1677676346848,1677676346853,1677676346860,1677676346867,1677676346873,1677676346879,1677676346886,1677676346891,1677676346898,1677676346904,1677676346909,1677676346915,1677676346921,1677676346928,1677676346936,1677676346942,1677676346948,1677676346955,1677676346962,1677676346968,1677676346974,1677676346979,1677676346986,1677676346991,1677676346998,1677676347004,1677676347010,1677676347019,1677676347026,1677676347030,1677676347040,1677676347052,1677676347061,1677676347071,1677676347082,1677676347090,1677676347102,1677676347114,1677676347122,1677676347142,1677676347163,1677676347174,1677676347180,1677676347190,1677676347199,1677676347209,1677676347218,1677676347228,1677676347234,1677676347239,1677676347246,1677676347251,1677676347257,1677676347264,1677676347269,1677676347275,1677676347279,1677676347287,1677676347293,1677676347299,1677676347306,1677676347311,1677676347319,1677676347328,1677676347333,1677676347339,1677676347347,1677676347351,1677676347358,1677676347363,1677676347369,1677676347377,1677676347384,1677676347391,1677676347401,1677676347412,1677676347420,1677676347432,1677676347438,1677676347442,1677676347451,1677676347459,1677676347464,1677676347470,1677676347480,1677676347489,1677676347494,1677676347500,1677676347508,1677676347512,1677676347518,1677676347524,1677676347530,1677676347538,1677676347543,1677676347549,1677676347554,1677676347561,1677676347567,1677676347573,1677676347580,1677676347587,1677676347593,1677676347598,1677676347605,1677676347612,1677676347617,1677676347628,1677676347633,1677676347638,1677676347643,1677676347651,1677676347657,1677676347664,1677676347669,1677676347676,1677676347680,1677676347687,1677676347692,1677676347698,1677676347704,1677676347708,1677676347715,1677676347719,1677676347724,1677676347730,1677676347737,1677676347742,1677676347749,1677676347758,1677676347762,1677676347769,1677676347774,1677676347781,1677676347788,1677676347794,1677676347800,1677676347808,1677676347814,1677676347820,1677676347828,1677676347836,1677676347841,1677676347850,1677676347854,1677676347860,1677676347868,1677676347874,1677676347880,1677676347889,1677676347900,1677676347908,1677676347914,1677676347920,1677676347929,1677676347936,1677676347942,1677676347947,1677676347952,1677676347958,1677676347964,1677676347968,1677676347974,1677676347980,1677676347988,1677676347994,1677676348000,1677676348008,1677676348015,1677676348019,1677676348028,1677676348033,1677676348039,1677676348045,1677676348049,1677676348055,1677676348062,1677676348069,1677676348078,1677676348083,1677676348088,1677676348095,1677676348100,1677676348107,1677676348113,1677676348120,1677676348131,1677676348137,1677676348141,1677676348149,1677676348154,1677676348160,1677676348170,1677676348179,1677676348184,1677676348189,1677676348198,1677676348209,1677676348214,1677676348219,1677676348223,1677676348231,1677676348238,1677676348244,1677676348250,1677676348257,1677676348262,1677676348268,1677676348275,1677676348280,1677676348288,1677676348294,1677676348300,1677676348308,1677676348313,1677676348319,1677676348324,1677676348331,1677676348338,1677676348345,1677676348350,1677676348355,1677676348361,1677676348368,1677676348372,1677676348379,1677676348386,1677676348391,1677676348398,1677676348403,1677676348410,1677676348415,1677676348421,1677676348429,1677676348434,1677676348440,1677676348448,1677676348460,1677676348470,1677676348476,1677676348483,1677676348490,1677676348493,1677676348500,1677676348507,1677676348512,1677676348518,1677676348523,1677676348530,1677676348537,1677676348542,1677676348549,1677676348555,1677676348559,1677676348564,1677676348569,1677676348577,1677676348583,1677676348591,1677676348596,1677676348600,1677676348609,1677676348614,1677676348621,1677676348629,1677676348636,1677676348641,1677676348649,1677676348655,1677676348661,1677676348675,1677676348681,1677676348690,1677676348695,1677676348700,1677676348709,1677676348714,1677676348718,1677676348726,1677676348731,1677676348740,1677676348747,1677676348753,1677676348760,1677676348765,1677676348771,1677676348781,1677676348786,1677676348792,1677676348799,1677676348805,1677676348810,1677676348815,1677676348821,1677676348829,1677676348836,1677676348841,1677676348849,1677676348854,1677676348860,1677676348870,1677676348875,1677676348881,1677676348892,1677676348898,1677676348902,1677676348909,1677676348917,1677676348921,1677676348929,1677676348935,1677676348941,1677676348949,1677676348954,1677676348960,1677676348966,1677676348971,1677676348979,1677676348985,1677676348990,1677676348998,1677676349004,1677676349010,1677676349015,1677676349020,1677676349030,1677676349035,1677676349041,1677676349049,1677676349054,1677676349060,1677676349074,1677676349080,1677676349084,1677676349090,1677676349099,1677676349107,1677676349111,1677676349119,1677676349124,1677676349130,1677676349137,1677676349143,1677676349150,1677676349157,1677676349163,1677676349169,1677676349175,1677676349181,1677676349189,1677676349196,1677676349201,1677676349207,1677676349213,1677676349220,1677676349230,1677676349235,1677676349240,1677676349248,1677676349252,1677676349259,1677676349265,1677676349271,1677676349278,1677676349282,1677676349291,1677676349296,1677676349301,1677676349305,1677676349311,1677676349319,1677676349325,1677676349330,1677676349337,1677676349343,1677676349350,1677676349355,1677676349361,1677676349369,1677676349375,1677676349381,1677676349387,1677676349393,1677676349400,1677676349406,1677676349412,1677676349420,1677676349425,1677676349431,1677676349436,1677676349442,1677676349451,1677676349458,1677676349463,1677676349469,1677676349476,1677676349481,1677676349486,1677676349492,1677676349500,1677676349505,1677676349511,1677676349516,1677676349522,1677676349530,1677676349534,1677676349540,1677676349547,1677676349554,1677676349559,1677676349566,1677676349571,1677676349580,1677676349586,1677676349591,1677676349597,1677676349603,1677676349609,1677676349615,1677676349620,1677676349626,1677676349631,1677676349638,1677676349643,1677676349651,1677676349656,1677676349661,1677676349670,1677676349676,1677676349681,1677676349696,1677676349701,1677676349708,1677676349714,1677676349720,1677676349724,1677676349730,1677676349735,1677676349742,1677676349751,1677676349759,1677676349765,1677676349770,1677676349777,1677676349783,1677676349789,1677676349795,1677676349802,1677676349808,1677676349814,1677676349821,1677676349827,1677676349833,1677676349841,1677676349844,1677676349851,1677676349859,1677676349863,1677676349869,1677676349874,1677676349880,1677676349889,1677676349895,1677676349904,1677676349915,1677676349920,1677676349926,1677676349932,1677676349939,1677676349945,1677676349951,1677676349961,1677676349965,1677676349971,1677676349979,1677676349983,1677676349990,1677676349996,1677676350001,1677676350006,1677676350012,1677676350020,1677676350025,1677676350032,1677676350039,1677676350045,1677676350051,1677676350058,1677676350064,1677676350070,1677676350076,1677676350082,1677676350088,1677676350094,1677676350101,1677676350107,1677676350197,1677676350297,1677676350398,1677676350496,1677676350598,1677676350696,1677676350798,1677676350898,1677676350997,1677676351097,1677676351198,1677676351298,1677676351396,1677676351496,1677676351597,1677676351697,1677676351798,1677676351897,1677676351996,1677676352096,1677676352199,1677676352297,1677676352398,1677676352497,1677676352596,1677676352697,1677676352797,1677676352897,1677676353003,1677676353097,1677676353197,1677676353297,1677676353398,1677676353497,1677676353597,1677676353698,1677676353796,1677676353897,1677676353997,1677676354096,1677676354195,1677676354297,1677676354396,1677676354497,1677676354598,1677676354696,1677676354798,1677676354897,1677676354997,1677676355097,1677676355196,1677676355297,1677676355399,1677676355497,1677676355596,1677676355699,1677676355797,1677676355896,1677676355998,1677676356096,1677676356197,1677676356297,1677676356398,1677676356497,1677676356597,1677676356699,1677676356796,1677676356896,1677676356997,1677676357097,1677676357197,1677676357299,1677676357395,1677676357495,1677676357597,1677676357695,1677676357796,1677676357898,1677676357997,1677676358096,1677676358197,1677676358297,1677676358396,1677676358497,1677676358597,1677676358695,1677676358798,1677676358897,1677676358996</t>
  </si>
  <si>
    <t>0,0,0,0,0,0,0,0,0,0,0,0,0,0,0,0,0,0.1252529221303983,0.16014961458292257,0.2727997790314481,0.24873331756590936,0.2288506348993344,0.2288506348993344,0.26476479862093427,0.2684901034799072,0.2684901034799072,0.2684901034799072,0.2684901034799072,0.2684901034799072,0.2684901034799072,0.2684901034799072,0.2684901034799072,0.2684901034799072,0.2684901034799072,0.2684901034799072,0.3094973938849767,0.5139815199876211,0.5172635416810716,0.5239682031073647,0.5469413175088889,0.5469413175088889,0.5089393718275314,0.3956666656285142,0.2955311594293777,0.23164665923736136,0.20732728769428793,0.20732728769428793,0.20732728769428793,0.228994654854299,0.337032229555211,0.39112201295986104,0.41080835211122113,0.4122213953367493,0.2821617497848185,0.17293591596830044,0.1380445016509474,0.1380445016509474,0.1380445016509474,0.1380445016509474,-0.16696585239825532,-0.2852255621093288,-0.2857861088472073,-0.2857861088472073,-0.2857861088472073,0.5197111213607178,0.46024317087937583,0.22158199290060507,0.057030084669896126,-0.06358036123111228,-0.06358036123111228,0.16548457107594913,0.2842550958128055,-0.39651465905869604,-0.42857562680866884,-0.43210928551424527,-0.43210928551424527,-0.43210928551424527,-0.5324785128006319,-0.5174586499100767,-0.5180455683211158,-0.5180455683211158,-0.5015326829639005,-0.4208456197547274,-0.4064961834283961,-0.4064961834283961,-0.4064961834283961,-0.3051724492598141,-0.16688896414553042,-0.10404957715115026,-0.03523831446869314,0.056487606892644475,0.0381098194327094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0.03482497255837119,0.03892251984139727,0.03374143613038545,0.03374143613038545,-0.01560172651781757,-0.19286907455805388,-0.29344936246951747,-0.29344936246951747,-0.29344936246951747,-0.29344936246951747,-0.5224559081150524,0.615219050125346,0.615292320071355,-0.5655814872478739,-0.37876588322598354,-0.28722697836976785,-0.28722697836976785,-0.28722697836976785,-0.28722697836976785,0.07331578544729142,0.16830889739650332,-0.35341719836377955,-0.39574830150701884,0.4479158100335963,0.5159839496730707,0.5493271630935878,0.5550626057990103,0.5550626057990103,0.5550626057990103,0.6964268077328618,0.7578541572923453,0.8045240388535654,0.8374322112118336,0.8490106900716885,0.850513124295229,0.852336317566538,0.8508858100504664,0.8458813661339804,0.8414190937487893,0.8348905370350046,0.8326484095132625,0.8326484095132625,0.8326484095132625,0.8326484095132625,0.8180680359357508,0.8101667607637708,0.7991139276357069,0.7983269770368628,0.796207984517767,0.7953893734911383,0.7953893734911383,0.7953893734911383,0.7906674873594678,0.7687749818886347,0.7481521153726358,0.710173213352887,0.6480316498786515,0.5054475822124006,0.35458913837470785,0.35458913837470785,0.35458913837470785,0.35458913837470785,0.30724235699668784,-0.1763675925556664,-0.21635846563633823,-0.21635846563633823,-0.21635846563633823,-0.36347868094685704,-0.5064509965323745,-0.5056003651722959,-0.5056003651722959,-0.5180870548209472,-0.5175124874445505,0.4876643101382144,0.4876643101382144,0.45538905304224636,0.3007108778092324,0.2974866794628559,0.2806944070290985,0.2147944443659844,-0.22530833506841003,-0.24330310587320544,-0.24330310587320544,-0.23503311344027053,-0.04283400348980008,-0.026289068120120475,-0.03018825587607522,-0.03018825587607522,-0.02165001048653814,0.10475517197112669,0.10475517197112669,0.10475517197112669,0.15337151997636359,0.3385932994572049,0.3385932994572049,0.3385932994572049,0.3135215659597035,0.17688526468819799,0.17007000236364442,0.166341068316697,0.166341068316697,0.056955381714802425,0.04562236342222762,0.04517993212633939,0.043403308027674496,0.06819003242229665,0.131785525638835,0.1462362544142272,0.1462362544142272,0.22515347830040283,0.24037326510689166,0.24544964765678354,0.26926548016920376,0.2997673269523971,0.3778078090596145,0.4331235834559543,0.42535097017903345,0.41191606596296243,0.4191803010604205,0.48813899256169196,0.49521460722549,0.43234798131264635,0.3401661465739685,0.3365646843835698,0.34039316853599205,0.332498730377344,0.30366807197863777,0.30534164169704014,0.3302097099524901,0.3302097099524901,0.28899931800036294,0.2741362855138405,0.2691421535045969,0.2676777375183344,0.2676777375183344,0.2965606296064506,0.30560876629358047,0.32403343988736244,0.34982869814306516,0.3508977381137353,0.3508977381137353,0.34734426270519564,0.3410704022555565,0.3203878677434094,0.309158363535476,0.309158363535476,0.30753830798328435,0.30753830798328435,0.30753830798328435,0.3068960679473256,0.3055973997023251,0.3084751851337849,0.3084751851337849,0.3084751851337849,0.3084751851337849,0.3084751851337849,0.3084751851337849,0.3084751851337849,0.3084751851337849,0.3084751851337849,0.3084751851337849,0.3084751851337849,0.3084751851337849,0.3084751851337849,0.3084751851337849,0.3084751851337849,0.3084751851337849,0.3084751851337849,0.30781806861988764,0.2965641480389326,0.2923453755523839,0.2923453755523839,0.28526034759884306,0.2830813120432662,0.2830813120432662,0.2830813120432662,0.2830813120432662,0.2795196512682199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,0.2766482720542018</t>
  </si>
  <si>
    <t>0,0,0,0,0,0,0,0,0,0,0,0,0,0,0,0,0,0.06261364358676917,0.08197363110235117,0.2292707183095292,0.2975517644076074,0.3289566722272253,0.3289566722272253,0.14588698517518855,0.11212952835078041,0.11212952835078041,0.11212952835078041,0.11212952835078041,0.11212952835078041,0.11212952835078041,0.11212952835078041,0.11212952835078041,0.11212952835078041,0.11212952835078041,0.11212952835078041,0.11190524150087264,-0.1434232439427024,-0.14390415795889955,-0.1849972588614629,-0.35503690746036,-0.35503690746036,-0.30104860439412623,-0.07806860595172768,0.11758167621849284,0.2850298640436679,0.3399687968467082,0.3399687968467082,0.3399687968467082,0.38957019142322363,0.5703473180016002,0.6782493809082274,0.7334296762401098,0.7501136688380727,0.7582720761578687,0.7299243063771572,0.7241632456801621,0.7241632456801621,0.7241632456801621,0.7241632456801621,0.7196506241261273,0.6805565727432676,0.6779614419737636,0.6779614419737636,0.6779614419737636,-0.4428992722671449,-0.3472104677311079,-0.32192533762518233,-0.2853356816751253,-0.23942907708458322,-0.23942907708458322,-0.3662338009673519,-0.4770902940703999,0.6998761646674273,0.7978951908235672,0.8087501208591912,0.8087501208591912,0.8087501208591912,0.8089348728869055,0.7537293079633376,0.7522463758539167,0.7522463758539167,0.6274123801266325,0.3289242517371132,0.3060480920851575,0.3060480920851575,0.3060480920851575,0.15948721806765676,-0.010089243334478868,-0.045835466830884415,-0.06106592349356271,0.14784402900983515,0.19981311008036012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0.19547647828639608,0.07842699146020611,-0.03298881406513759,-0.03298881406513759,0.012118474081789652,0.1421275304852724,0.18520128097812416,0.18520128097812416,0.18520128097812416,0.18520128097812416,0.4664154417680209,-0.5843139021652918,-0.5863862019751853,0.5915964537063432,0.5630686331720027,0.5438954937451098,0.5438954937451098,0.5438954937451098,0.5438954937451098,0.5053534541952275,0.4483328120049808,-0.3985052988255024,-0.4048441953672922,0.4359256115328148,0.4994182837375576,0.5373038840886954,0.542114743233072,0.542114743233072,0.542114743233072,0.4655038547214123,0.39449265910241316,0.35671063318271756,0.35150403383470974,0.35231416127337145,0.35197363266461995,0.3608503855067996,0.37153634403848257,0.3849994839033131,0.39219293711204495,0.4004959286179797,0.4061724910344607,0.4061724910344607,0.4061724910344607,0.4061724910344607,0.43316138383952507,0.4444060018562934,0.45560922158587525,0.45693338275784673,0.45744155283836996,0.4587638956683616,0.4587638956683616,0.4587638956683616,0.46315399608068064,0.4731503440857226,0.48023408936571116,0.48438286715058826,0.48829958011692487,0.507801775008206,0.5151555723103745,0.5151555723103745,0.5151555723103745,0.5151555723103745,0.4815407092052542,0.31914501321714434,0.30050994371139406,0.30050994371139406,0.30050994371139406,0.07967993816375914,-0.16515924173188096,-0.16837171389384673,-0.16837171389384673,-0.18540301610823423,-0.530432515567289,0.5669674187781065,0.5669674187781065,0.621681906091977,0.8380504459337672,0.8470024385200732,0.8632783685312058,0.7749566894322486,-0.5930191331977213,-0.5956976574845977,-0.5956976574845977,-0.5667803795002307,-0.058927301589462217,0.0022509132671926146,0.0017979116086275556,0.0017979116086275556,0.030443099830025324,0.2585126444403101,0.2585126444403101,0.2585126444403101,0.2631255038286467,0.27828202540330044,0.27828202540330044,0.27828202540330044,0.2844159980747803,0.2602790112646154,0.2522100991314449,0.2518934696314929,0.2518934696314929,0.24479804274841616,0.24348872832373739,0.2472656566565258,0.2623346570052697,0.2460851120463082,0.32411867742981787,0.36225263354817394,0.36225263354817394,0.3252195829147745,0.3115984014853475,0.27915627949190625,0.316213243744862,0.34584573069822355,0.3650985914890253,0.31128600415632823,0.1867431842021661,0.16373459437364235,0.19461650047544732,0.3912907626136939,0.5261730274273677,0.5615648212932157,0.5626954656805151,0.503790683569467,0.3530616552146386,0.3232246072472755,0.24878381542956052,0.1972930950199201,0.15661846206418387,0.15661846206418387,0.20578419473635892,0.26622465813782525,0.2910483221944899,0.2981012214351887,0.2981012214351887,0.2447375755423577,0.2353018182754027,0.23479108474755003,0.20992930799098627,0.20283407908838985,0.20283407908838985,0.20230340230317082,0.2194888047890662,0.25593292376831694,0.2575325351086459,0.2575325351086459,0.2462697073661,0.2462697073661,0.2462697073661,0.2498199820832342,0.25690891922848014,0.2611042235909233,0.2611042235909233,0.2611042235909233,0.2611042235909233,0.2611042235909233,0.2611042235909233,0.2611042235909233,0.2611042235909233,0.2611042235909233,0.2611042235909233,0.2611042235909233,0.2611042235909233,0.2611042235909233,0.2611042235909233,0.2611042235909233,0.2611042235909233,0.2611042235909233,0.26463402539507414,0.2661484828436038,0.26900539813424196,0.26900539813424196,0.26762659451208826,0.25983779056625605,0.25983779056625605,0.25983779056625605,0.25983779056625605,0.2591470598884822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,0.25488224092844947</t>
  </si>
  <si>
    <t>0,0,0,0,0,0,0,0,0,0,0,0,0,0,0,0,0,0.0007085182771333548,0.0004616198485601955,-0.0189024501003176,-0.0452503709217748,-0.05981437052258507,-0.05981437052258507,-0.0042522360269287175,0.005678816425645916,0.005678816425645916,0.005678816425645916,0.005678816425645916,0.005678816425645916,0.005678816425645916,0.005678816425645916,0.005678816425645916,0.005678816425645916,0.005678816425645916,0.005678816425645916,0.01097334845145711,0.12274567824869846,0.12218151150612358,0.14408521408590688,0.22994146553856729,0.22994146553856729,0.22565421635201535,0.15636084974862993,0.08920361153937731,0.029264028294629738,0.007794729029976984,0.007794729029976984,0.007794729029976984,0.00436632436172122,0.004084136359140584,-0.004261305903720197,-0.017210453477293657,-0.02725062478221209,-0.2306757370076396,-0.374196819482559,-0.4120135754546866,-0.4120135754546866,-0.4120135754546866,-0.4120135754546866,-0.6161226024187471,-0.659510070714121,-0.6621775179468589,-0.6621775179468589,-0.6621775179468589,0.6976948883094523,0.7665423984528991,0.8893952785733474,0.935760087767355,0.9540809357409595,0.9540809357409595,0.8888627093951756,0.800584247675497,-0.5779075190216014,-0.41753671706621925,-0.393767097819285,-0.393767097819285,-0.393767097819285,0.21155570658861983,0.37614659670939465,0.3791035767618127,0.3791035767618127,0.5879208133593258,0.8448259183728812,0.8600509633445402,0.8600509633445402,0.8600509633445402,0.935954812798764,0.979800597904948,0.9865368121795824,0.9898775895288418,0.9791259106325348,0.9699346583899137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0.9708540171464486,0.9874624000303066,0.9906694397467194,0.9906694397467194,0.9916376228258135,0.9625196476083561,0.929045862405428,0.929045862405428,0.929045862405428,0.929045862405428,0.7108204070823417,-0.5288554844450897,-0.5265568172803367,0.5729689743727687,0.702701202181593,0.734583762065551,0.734583762065551,0.734583762065551,0.734583762065551,0.6784645911088516,0.6541308106355121,-0.562196706762053,-0.5345910438565022,0.49860167466523314,0.44385907443413475,0.41153288317613806,0.40517450926903537,0.40517450926903537,0.40517450926903537,0.1854774729943915,0.03312349624972028,-0.05653257963853847,-0.0829657916501139,-0.08602335550794601,-0.08740622309353506,-0.06734407316922583,-0.04108507647610758,-0.00517732713900401,0.015972187715784115,0.04196549607658985,0.056646524181599864,0.056646524181599864,0.056646524181599864,0.056646524181599864,0.129646400397166,0.16187467925849683,0.19882678697157172,0.20196335879062016,0.20689477547836527,0.2100198735059671,0.2100198735059671,0.2100198735059671,0.2242872381866909,0.27697123587784783,0.3209902972557054,0.38946139500792676,0.48396553290836436,0.6430250603204776,0.7558620113681029,0.7558620113681029,0.7558620113681029,0.7558620113681029,0.7988039232162414,0.9311503105351784,0.9287506571988179,0.9287506571988179,0.9287506571988179,0.921391103827756,0.8183757353470099,0.8177208480249587,0.8177208480249587,0.8048781605820872,0.5360486751282756,-0.4972472038351883,-0.4972472038351883,-0.43030095306572264,-0.024332385246273142,-0.011876526251715114,0.03330916408286942,0.14461424281108495,-0.12182802919736783,-0.1079174968869608,-0.1079174968869608,-0.10859499377300766,-0.1163835129193672,-0.11535180536565053,-0.11535975522468357,-0.11535975522468357,-0.11441134781758382,-0.09699742214570768,-0.09699742214570768,-0.09699742214570768,-0.08367948657440277,-0.02974632269583397,-0.02974632269583397,-0.02974632269583397,-0.040014086504155146,-0.07948397916983051,-0.08013403571631784,-0.08112384200150728,-0.08112384200150728,-0.1096986381841962,-0.11257491786455709,-0.11275320797875754,-0.1134489534050288,-0.10646689443217006,-0.09407040158126903,-0.09271915219457154,-0.09271915219457154,-0.0551140681564934,-0.04648423555827345,-0.03668106595820717,-0.03877628874627275,-0.03576531559925818,-0.010021060434614669,0.03905717583170225,0.10491663882875091,0.11437402441158831,0.1004304996679704,0.011693579993782533,-0.07415854414675029,-0.1518616090840021,-0.234415053102282,-0.2257717209065677,-0.1817122900033632,-0.17644080544351656,-0.166672803504644,-0.15197455738598373,-0.13384819224924296,-0.13384819224924296,-0.15837115607585311,-0.1779326896232934,-0.18540023268273734,-0.18750833023887456,-0.18750833023887456,-0.16473813757607014,-0.15931990590999495,-0.1535383379176594,-0.13748958109699635,-0.13473782075335702,-0.13473782075335702,-0.13553330733646385,-0.14317594074228948,-0.16135230433013212,-0.16562689931642996,-0.16562689931642996,-0.1629416566032333,-0.1629416566032333,-0.1629416566032333,-0.16414809719365606,-0.1665533657090268,-0.16672809089599128,-0.16672809089599128,-0.16672809089599128,-0.16672809089599128,-0.16672809089599128,-0.16672809089599128,-0.16672809089599128,-0.16672809089599128,-0.16672809089599128,-0.16672809089599128,-0.16672809089599128,-0.16672809089599128,-0.16672809089599128,-0.16672809089599128,-0.16672809089599128,-0.16672809089599128,-0.16672809089599128,-0.16793818138906633,-0.17229305363986283,-0.17450015258054877,-0.17450015258054877,-0.17660751225771554,-0.17538338911443696,-0.17538338911443696,-0.17538338911443696,-0.17538338911443696,-0.17640241476458024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,-0.1763336873138785</t>
  </si>
  <si>
    <t>1,1,1,1,1,1,1,1,1,1,1,1,1,1,1,1,1,0.9901468250398203,0.9836829833131976,0.9341616111072166,0.920623206399892,0.914241289694547,0.914241289694547,0.9532043366752387,0.9567171913628313,0.9567171913628313,0.9567171913628313,0.9567171913628313,0.9567171913628313,0.9567171913628313,0.9567171913628313,0.9567171913628313,0.9567171913628313,0.9567171913628313,0.9567171913628313,0.9442288735930511,0.8367713359571023,0.8347464884716638,0.8188240271438075,0.722447861072756,0.722447861072756,0.7742290541168707,0.9016121489537803,0.9438636548317288,0.929645856504179,0.9172654224090648,0.9172654224090648,0.9172654224090648,0.8920635903421913,0.7490637709298348,0.6220797292532735,0.5413143339475642,0.5163917200129056,0.5405524117359811,0.5452342764511109,0.5355148203467,0.5355148203467,0.5355148203467,0.5355148203467,0.27316354463315257,0.14330246558244564,0.14218128538089245,0.14218128538089245,0.14218128538089245,0.2167081627121547,0.28290257356715237,0.237152979885442,0.19920887617565344,0.16840671829769638,0.16840671829769638,0.22002441594396083,0.2250527808806837,-0.13774025824091357,-0.07313881642289671,-0.06443818788255869,-0.06443818788255869,-0.06443818788255869,-0.13166316053802513,-0.15047396364250917,-0.1484407533122181,-0.1484407533122181,-0.09574857911098664,0.03109611869439181,0.03752010979873903,0.03752010979873903,0.03752010979873903,0.07363553411658605,0.10971357783097963,0.11754962224357492,0.12317293505414241,0.127529386737679,0.1336006031305991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0.13423354690113176,0.13134783205702963,0.1278566180780417,0.1278566180780417,0.1275325594189966,0.12711102676464425,0.12830332317460968,0.12830332317460968,0.12830332317460968,0.12830332317460968,0.06504466643245561,-0.01986606834740153,-0.01744996188894773,-0.0428692389806055,-0.2137782507515555,-0.28646998322678746,-0.28646998322678746,-0.28646998322678746,-0.28646998322678746,-0.5281368009793441,-0.5854764617934738,0.6326331271871507,0.6274526875869862,-0.6006135682389385,-0.536032707575647,-0.4900866148911672,-0.48358114712170597,-0.48358114712170597,-0.48358114712170597,-0.513706112210215,-0.5185898689573569,-0.4714898328920161,-0.4102059034663607,-0.38425975877963964,-0.3809227473845058,-0.37252459898063506,-0.36914238418830936,-0.3690979641032804,-0.3714074554636221,-0.3752328603265796,-0.3721716068697821,-0.3721716068697821,-0.3721716068697821,-0.3721716068697821,-0.3554261034230675,-0.3463086968047418,-0.3380903379972648,-0.33629856253433943,-0.3376308975889638,-0.3358319301393141,-0.3358319301393141,-0.3358319301393141,-0.33170549457876886,-0.32924263637929,-0.32651012349118047,-0.33067668022629826,-0.3277130814750999,-0.2705159343439763,-0.1937882840494077,-0.1937882840494077,-0.1937882840494077,-0.1937882840494077,-0.188766977248557,0.00017895525726863392,0.017464387502119805,0.017464387502119805,0.017464387502119805,0.11212845195764473,0.21561764486505164,0.21760480556143008,0.21760480556143008,0.22222212280265488,0.40431916806048757,-0.4398598469280774,-0.4398598469280774,-0.4700781932804991,-0.4545903134313773,-0.4403947011572708,-0.4181526131411574,-0.5765346450560359,0.7633625567919906,0.7578269679850822,0.7578269679850822,0.782129506109815,0.9905289996728838,0.992974208771668,0.9928633156661117,0.9928633156661117,0.9927308488252148,0.955399951175873,0.955399951175873,0.955399951175873,0.9488097225585859,0.8983478436475435,0.8983478436475435,0.8983478436475435,0.9051025580554589,0.945858729666659,0.9492337944426273,0.949894336864463,0.949894336864463,0.9616632526725736,0.962267492437962,0.96130389724674,0.9573014235639061,0.9609667202860703,0.9320570893027826,0.9158554177372238,0.9158554177372238,0.9167881836003376,0.9181319869486009,0.927621011774508,0.9088463484553705,0.8883980653117757,0.8508018901331046,0.8449730895636289,0.8793156624436198,0.8890639570620249,0.881093642969929,0.7800481544244381,0.6873172108484179,0.6889544442321335,0.7160379797934269,0.7628540426669288,0.8523265818293208,0.8682390740698871,0.904495711329237,0.9191004571920005,0.9211497523341927,0.9211497523341927,0.921439545664947,0.9068151334905509,0.8991552308004774,0.8968416341288666,0.8968416341288666,0.908304276172382,0.9087648231867406,0.9034940260717317,0.9025775217075365,0.9041984480221461,0.9041984480221461,0.9055694447058035,0.9027714524009122,0.8976722044385583,0.9003698294808626,0.9003698294808626,0.9045559335386507,0.9045559335386507,0.9045559335386507,0.9035818624884504,0.9015919325764947,0.8993716630436096,0.8993716630436096,0.8993716630436096,0.8993716630436096,0.8993716630436096,0.8993716630436096,0.8993716630436096,0.8993716630436096,0.8993716630436096,0.8993716630436096,0.8993716630436096,0.8993716630436096,0.8993716630436096,0.8993716630436096,0.8993716630436096,0.8993716630436096,0.8993716630436096,0.8983393771098126,0.9008494851224776,0.9009550343480691,0.9009550343480691,0.9032232983109891,0.9064159973148285,0.9064159973148285,0.9064159973148285,0.9064159973148285,0.9075206631098075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,0.9096192651582304</t>
  </si>
  <si>
    <t>ANALISAR!</t>
  </si>
  <si>
    <t>bastao_g</t>
  </si>
  <si>
    <t>4.9,0.1,0.2,0.3,0.4,0.5,0.6,0.7,0.8,0.9,1,1.1,1.2,1.3,1.4,1.5,1.6,1.7,1.8,1.9,2,2.1,2.2,2.3,2.4,2.5,2.6,2.7,2.8,2.9,3,3.1,3.2,3.3,3.4,3.5,3.6</t>
  </si>
  <si>
    <t>1677678607066,1677678607168,1677678607263,1677678607372,1677678607466,1677678607562,1677678607677,1677678607765,1677678607859,1677678607971,1677678608065,1677678608174,1677678608268,1677678608362,1677678608472,1677678608577,1677678608670,1677678608769,1677678608860,1677678608971,1677678609062,1677678609174,1677678609267,1677678609361,1677678609472,1677678609568,1677678609661,1677678609769,1677678609864,1677678609955,1677678610066,1677678610160,1677678610270,1677678610365,1677678610472,1677678610569,1677678610675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</si>
  <si>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-0.4148275149979255,-0.06279534321504565,0.16124515451562776,0.22976783060170133,0.22976783060170133,0.22976783060170133,0.22976783060170133,0.22976783060170133,0.22976783060170133,0.22976783060170133,0.22976783060170133,0.22976783060170133,0.22976783060170133,0.22976783060170133,0.22976783060170133,0.22976783060170133,0.22976783060170133,0.22976783060170133,0.22976783060170133,0.22976783060170133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</si>
  <si>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-0.06627135650014034,-0.11026623580893644,-0.09086939144196045,-0.07416601223893153,-0.07416601223893153,-0.07416601223893153,-0.07416601223893153,-0.07416601223893153,-0.07416601223893153,-0.07416601223893153,-0.07416601223893153,-0.07416601223893153,-0.07416601223893153,-0.07416601223893153,-0.07416601223893153,-0.07416601223893153,-0.07416601223893153,-0.07416601223893153,-0.07416601223893153,-0.07416601223893153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</si>
  <si>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0.776458774028316,0.8190089087161387,0.796875662510483,0.7815222616187182,0.7815222616187182,0.7815222616187182,0.7815222616187182,0.7815222616187182,0.7815222616187182,0.7815222616187182,0.7815222616187182,0.7815222616187182,0.7815222616187182,0.7815222616187182,0.7815222616187182,0.7815222616187182,0.7815222616187182,0.7815222616187182,0.7815222616187182,0.7815222616187182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</si>
  <si>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0.46972120703958187,0.5595735068376918,0.575092977128636,0.5752643750863826,0.5752643750863826,0.5752643750863826,0.5752643750863826,0.5752643750863826,0.5752643750863826,0.5752643750863826,0.5752643750863826,0.5752643750863826,0.5752643750863826,0.5752643750863826,0.5752643750863826,0.5752643750863826,0.5752643750863826,0.5752643750863826,0.5752643750863826,0.5752643750863826</t>
  </si>
  <si>
    <t>Teste Raimundo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</si>
  <si>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</t>
  </si>
  <si>
    <t>1677682000374,1677682000377,1677682000378,1677682000487,1677682000611,1677682000704,1677682000811,1677682000906,1677682001015,1677682001111,1677682001221,1677682001316,1677682001407,1677682001517,1677682001606,1677682001717,1677682001817,1677682001924,1677682002014,1677682002112,1677682002222,1677682002314,1677682002421,1677682002516,1677682002607,1677682002714,1677682002807,1677682002916,1677682003015,1677682003122,1677682003213,1677682003308,1677682003416,1677682003509,1677682003618,1677682003712,1677682003819,1677682003918,1677682004035,1677682004117,1677682004210,1677682004319,1677682004416,1677682004525,1677682004617,1677682004725,1677682004818,1677682004940,1677682005007,1677682005116,1677682005206,1677682005318,1677682005413,1677682005507,1677682005616,1677682005712,1677682005804,1677682005916,1677682006009,1677682006119,1677682006212,1677682006320,1677682006414,1677682006522,1677682006617,1677682006711,1677682006821,1677682006913,1677682007022,1677682007113,1677682007208,1677682007319,1677682007412,1677682007521,1677682007614,1677682007722,1677682007816,1677682007910,1677682008017,1677682008110,1677682008218,1677682008311,1677682008421,1677682008513,1677682008622,1677682008715,1677682008807,1677682008917,1677682009009,1677682009122,1677682009213,1677682009323,1677682009412,1677682009521,1677682009614,1677682009711,1677682009820,1677682009911,1677682010023,1677682010114,1677682010221,1677682010316,1677682010409,1677682010519,1677682010614,1677682010708,1677682010820,1677682010913,1677682011020,1677682011114,1677682011208,1677682011316,1677682011410,1677682011520,1677682011614,1677682011723,1677682011815,1677682011909,1677682012021,1677682012115,1677682012224,1677682012321,1677682012420,1677682012510,1677682012612,1677682012712,1677682012810,1677682012920,1677682013015,1677682013121,1677682013221,1677682013317,1677682013415,1677682013521,1677682013610,1677682013712,1677682013822,1677682013912,1677682014020,1677682014114,1677682014208,1677682014323,1677682014423,1677682014505,1677682014613,1677682014713,1677682014825,1677682014913,1677682015023,1677682015114,1677682015222,1677682015316,1677682015411,1677682015521,1677682015614,1677682015709,1677682015819,1677682015913,1677682016023,1677682016114,1677682016209,1677682016315,1677682016409,1677682016519,1677682016614,1677682016721,1677682016814,1677682016909,1677682017016,1677682017111,1677682017221,1677682017314,1677682017409,1677682017517,1677682017611,1677682017720,1677682017813,1677682017920,1677682018013,1677682018123,1677682018216,1677682018311,1677682018416,1677682018509,1677682018619,1677682018712,1677682018821,1677682018916,1677682019008,1677682019118,1677682019210,1677682019318,1677682019411,1677682019520,1677682019613,1677682019725,1677682019819,1677682019912,1677682020021,1677682020114,1677682020222,1677682020314,1677682020424,1677682020516,1677682020610,1677682020720,1677682020810,1677682020919,1677682021014,1677682021107,1677682021217,1677682021309,1677682021419,1677682021509,1677682021620,1677682021719,1677682021809,1677682021920,1677682022011,1677682022129,1677682022215,1677682022308,1677682022416,1677682022508,1677682022636,1677682022709,1677682022836,1677682022911,1677682023010,1677682023113,1677682023222,1677682023314,1677682023424,1677682023520,1677682023613,1677682023764,1677682023835,1677682023910,1677682024021,1677682024133,1677682024209,1677682024316,1677682024413,1677682024518,1677682024613,1677682024712,1677682024813,1677682024907,1677682025015,1677682025121,1677682025216,1677682025313,1677682025422,1677682025511,1677682025620,1677682025742,1677682025807,1677682025923,1677682026010,1677682026104,1677682026213,1677682026339,1677682026415,1677682026517,1677682026619,1677682026732,1677682026821,1677682026924,1677682027009,1677682027118,1677682027211,1677682027305,1677682027414,1677682027507,1677682027616,1677682027710,1677682027819,1677682027912,1677682028023,1677682028116,1677682028210,1677682028319,1677682028414,1677682028508,1677682028619,1677682028713,1677682028821,1677682028915,1677682029010,1677682029120,1677682029213,1677682029320,1677682029414,1677682029522,1677682029617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</si>
  <si>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-0.5981766459704413,-0.5435476532273351,-0.4726448209990582,-0.3759937749758555,-0.3187044295714485,-0.23999590709100235,-0.22499197944677757,-0.3406337258182882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-0.3646567717862996,-0.16590192933319436,0.1471363327287388,0.23603232568023003,0.28442683065643853,0.17377738676042412,0.08702415924529462,-0.03523569266975727,0.18501714865065774,0.2879484435237746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-0.38111581898029145,-0.4643805597067937,0.5372096583742416,0.5754396668619329,0.5945832617052732,0.5526169456299523,0.4735304223812775,0.4417098974611088,0.4596297130217509,0.6249213774305743,0.7356238478258116,0.7539510184203487,0.7539510184203487,0.7539510184203487,0.8019793880606775,0.9006621266364158,0.9014499773690643,0.8873279872719273,0.8834461878351055,0.8834461878351055,0.8834461878351055,0.7658382494039849,-0.6034140440882796,-0.5904230068725935,-0.5904230068725935,-0.5986727337078539,0.6461955170960545,0.6537876822505273,0.6666867235240456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0.6685172342423757,-0.5845771843284944,-0.4859384144842554,-0.3933126209160059,-0.2702001410898525,-0.15070379398032693,-0.01813509866022842,0.09889388666501961,0.1280050786000331,0.1170292691710833,0.1170292691710833,0.1170292691710833,0.45499913315844875,0.6787668227473841,0.8501575517295741,0.8668928445178602,0.8675091260145243,0.8675091260145243,0.8675091260145243,0.8675091260145243,0.8675091260145243,0.8675091260145243,0.8675091260145243,0.8363032073606312,0.8248840207032484,0.8248840207032484,0.8248840207032484,0.4419366740626845,0.4285131956624088,0.4285131956624088,0.15812110691490266,-0.07747895147454438,-0.07747895147454438,-0.1415678059718201,-0.4224923145895765,-0.4224923145895765,-0.3494486340100176,-0.2174411008628717,-0.2174411008628717,-0.23651128356566026,-0.32304770969411517,-0.3231242674266571,-0.3231242674266571,-0.6782946338359788,-0.7002525275741645,-0.6337725717000711,-0.6154013569806205,-0.6154013569806205,-0.6154013569806205,0.601004886899441,0.56915246555577,0.6532522485528868,0.7129720031102037,0.6924002342469622,0.5288638942781265,0.525640868036684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</si>
  <si>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-0.026457092789018193,-0.10168579603973425,-0.1498784297460284,-0.1723422948802276,-0.14526842697714756,-0.08798879697476751,-0.07628583309485795,-0.24596369088220027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-0.2885079669584087,-0.42411583959373916,-0.6020734127267698,-0.5232132071439252,-0.36426007662384974,-0.5955136217546643,0.6699660233954849,-0.3925527164561121,-0.380211926143119,-0.5099116375836277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-0.519115107161528,0.5368944132041094,0.533390526032277,-0.4870974975788028,-0.41454352471435857,-0.29101947806751993,-0.24488672573200254,-0.22629031710630154,-0.2517560598230662,-0.3543885168575703,-0.444552170126084,-0.40769142191765323,-0.3985983284803113,-0.3985983284803113,-0.3985983284803113,-0.4031161274188378,-0.4030953701583897,-0.3879602545268001,-0.36110375879932366,-0.35679891815027087,-0.35679891815027087,-0.35679891815027087,-0.23044173658925657,0.18145266279169697,0.18958310784805532,0.18958310784805532,0.16239706228024303,-0.03452769638205711,-0.00750456270255976,0.025691829091346294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0.04009793880085229,-0.07891287802077096,-0.12968000492574758,-0.16792113625583113,-0.16887183136655082,-0.1389032546489459,-0.04862909921666073,0.09034675227174926,0.13613584843500723,0.14763753120813947,0.14763753120813947,0.14763753120813947,0.053667282856970484,0.0730839526841437,0.1770633603884092,0.20251373411076115,0.20418894815132083,0.20418894815132083,0.20418894815132083,0.20418894815132083,0.20418894815132083,0.20418894815132083,0.20418894815132083,-0.03516948711720296,-0.17576860722330145,-0.17576860722330145,-0.17576860722330145,-0.2934356350940794,-0.29030319143174654,-0.29030319143174654,-0.19025614328783338,-0.02487418254318174,-0.02487418254318174,0.004852811644700801,0.2897540818884089,0.2897540818884089,0.32142943534000307,-0.6257088126815814,-0.6257088126815814,-0.5990571997998495,0.024588879189852364,0.058791356115835885,0.058791356115835885,0.24628933001233413,0.2480885812236006,-0.057115747186472866,-0.0961341116957338,-0.0961341116957338,-0.0961341116957338,0.18118455727865088,0.32312862922720603,0.31830925494476714,0.30012706724308363,0.31536262832092865,0.3456015563485565,0.28793166770999856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</si>
  <si>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0.6945677723464591,0.6914504472456344,0.6976163282084472,0.7133957955633756,0.7338936056546185,0.7618366553901365,0.7664018098237265,0.6985339881753501,0.668175932901959,0.668175932901959,0.668175932901959,0.668175932901959,0.668175932901959,0.668175932901959,0.668175932901959,0.668175932901959,0.668175932901959,0.668175932901959,0.668175932901959,0.668175932901959,0.668175932901959,0.668175932901959,0.668175932901959,0.668175932901959,0.668175932901959,0.668175932901959,0.6747270616466435,0.6028835860043936,0.37462975105807444,0.3135899080358897,0.26214389730302323,0.34712733899097786,-0.5284963515377902,0.6727408684616294,0.611580513040728,0.5399559225829914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-0.46227699018990903,-0.383572462114503,0.2977537811451844,0.22642384023783024,0.1293957701014892,0.11618772796804173,0.1350608464619994,0.15826472650525322,0.19350953022128717,0.11918292748903968,-0.011229835099812261,-0.03725395336007146,-0.03725395336007146,-0.03725395336007146,-0.06132049993351325,-0.11522786592186823,-0.18494053247848843,-0.28597053392384475,-0.3020401717752368,-0.3020401717752368,-0.3020401717752368,-0.5108742798119746,0.6557464334167383,0.6674672774730387,0.6674672774730387,0.6552749817705222,-0.5713885871690356,-0.5513233423974266,-0.5226112667026618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0.5116709500290562,0.5270346927072537,0.5283901639539095,0.5239145008186852,0.5297611483220002,0.5352960412552952,0.5408724741726455,0.5324934671557972,0.526254684763865,0.5235191496205504,0.5235191496205504,0.5235191496205504,0.5149598258010979,0.42262151820961147,0.21031538923432985,0.15863734473605406,0.15523185015546484,0.15523185015546484,0.15523185015546484,0.15523185015546484,0.15523185015546484,0.15523185015546484,0.15523185015546484,0.5140837815261976,0.5371258496348715,0.5371258496348715,0.5371258496348715,0.755261163354025,0.7609396286998598,0.7609396286998598,0.8431088491841494,0.8531838534293327,0.8531838534293327,0.8451297492601242,0.7099661999862759,0.7099661999862759,0.7040881374565501,-0.38999927454798816,-0.38999927454798816,-0.3777078896091845,-0.21293309533711172,-0.201114468054229,-0.201114468054229,-0.11142585703376244,-0.11384010192168839,-0.40993832342540726,-0.44370354559744185,-0.44370354559744185,-0.44370354559744185,0.4964861903878716,0.5654598794242649,0.48575415278073986,0.4145067887916153,0.4445808582029927,0.6088058384144246,0.6048796456623499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</si>
  <si>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0.3988236854480738,0.4648787224197663,0.517179647798129,0.5656794617513704,0.5820006411288439,0.5952015177151936,0.5968143318927253,0.5792415687488216,0.563360273814024,0.563360273814024,0.563360273814024,0.563360273814024,0.563360273814024,0.563360273814024,0.563360273814024,0.563360273814024,0.563360273814024,0.563360273814024,0.563360273814024,0.563360273814024,0.563360273814024,0.563360273814024,0.563360273814024,0.563360273814024,0.563360273814024,0.563360273814024,0.5731770966059322,0.6550829612924635,0.6895730961260327,0.7564377374788961,0.8471697301529971,0.7033260671128311,-0.5140660751445614,0.6261633450358629,0.6687128098014563,0.6045853268121605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-0.5939655763881897,-0.593900167379024,0.6208739780467875,0.6676489350633127,0.7382649544472959,0.7881277909276541,0.8404285806755414,0.8464416868110153,0.7910141387741242,0.6305886693095615,0.5408503950339116,0.5208544684599188,0.5208544684599188,0.5208544684599188,0.436538938960275,0.11421206203693943,0.05168925086887171,-0.02177090058448433,-0.03144995771696746,-0.03144995771696746,-0.03144995771696746,-0.31527107703397317,0.415888251365743,0.4122454992803746,0.4122454992803746,0.4310833450078433,-0.5047318835980956,-0.5182160941189049,-0.5307977077099619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0.5382097190883937,0.6117815835149132,0.6839961902582085,0.7366283120126711,0.7860199196295746,0.8194219917382439,0.839501813927949,0.8357680126510151,0.8295406785610702,0.8309241899936595,0.8309241899936595,0.8309241899936595,0.7245081016708563,0.5960917618485271,0.44905249213911413,0.42698849688877943,0.42618993703709207,0.42618993703709207,0.42618993703709207,0.42618993703709207,0.42618993703709207,0.42618993703709207,0.42618993703709207,0.18729099846483385,-0.012944912407452687,-0.012944912407452687,-0.012944912407452687,-0.38492606992053285,-0.3912433765085971,-0.3912433765085971,-0.4774597196797026,-0.5152238342397254,-0.5152238342397254,-0.5154519506675487,-0.48320886893639425,-0.48320886893639425,-0.5280422946871778,0.6396158341068372,0.6396158341068372,0.6652290088691692,0.921789054606164,0.9228690345792881,0.9228690345792881,0.6832585411216433,0.6596505777204383,0.653468201040547,0.6443342036700637,0.6443342036700637,0.6443342036700637,-0.5995554560512814,-0.5019048562098434,-0.4857814539825131,-0.47935246774659146,-0.4727326821711745,-0.47981037576414787,-0.5243258975510969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</t>
  </si>
  <si>
    <t>29.5,0.1,0.2,0.3,0.4,0.5,0.6,0.7,0.8,0.9,1,1.1,1.2,1.3,1.4,1.5,1.6,1.7,1.8,1.9,2,2.1,2.2,2.3,2.4,2.5,2.6,2.7,2.8,2.9,3,3.1,3.2,3.3,3.4,3.5,3.6,3.7,3.8,3.9,4,4.1,4.2,4.3,4.4</t>
  </si>
  <si>
    <t>1677682054553,1677682054660,1677682054754,1677682054848,1677682054941,1677682055051,1677682055159,1677682055251,1677682055346,1677682055456,1677682055552,1677682055661,1677682055757,1677682055850,1677682055978,1677682056059,1677682056152,1677682056258,1677682056350,1677682056442,1677682056546,1677682056647,1677682056756,1677682056849,1677682056958,1677682057060,1677682057149,1677682057260,1677682057356,1677682057447,1677682057590,1677682057653,1677682057744,1677682057862,1677682057948,1677682058057,1677682058151,1677682058244,1677682058351,1677682058446,1677682058557,1677682058650,1677682058759,1677682058852,1677682058945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</si>
  <si>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0.624883987936306,0.624883987936306,0.624883987936306,0.624883987936306,0.624883987936306,0.624883987936306,0.624883987936306,0.624883987936306,0.624883987936306,0.624883987936306,0.624883987936306,0.624883987936306,0.624883987936306,0.624883987936306,0.6193043821686799,-0.5513331611385099,-0.45809406630687133,-0.28373729936352987,-0.15730910703404888,-0.09979513020398817,-0.12145358647753506,-0.1875514285683915,-0.21168136759963693,-0.21168136759963693,-0.21168136759963693,-0.25782376087993425,0.4642919658161554,0.4668605021472061,0.4668605021472061,0.4668605021472061,-0.45022337616734126,-0.4220390060247714,-0.4220390060247714,-0.3582266278495304,0.07598628102352133,0.08057146898853022,0.08057146898853022,0.08057146898853022,0.08057146898853022,0.08057146898853022,0.08057146898853022,0.08057146898853022,0.08057146898853022,0.08057146898853022,0.08057146898853022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</si>
  <si>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-0.01874603922577161,-0.12821972213335317,-0.20980851268943082,-0.21332415946798924,-0.14438122882938112,-0.03612013341956707,-0.13183931708921473,-0.38914432840029367,-0.44834850818157146,-0.44834850818157146,-0.44834850818157146,-0.5323866749378028,0.7499335103274459,0.7494595987161087,0.7494595987161087,0.7494595987161087,-0.34684895993679293,-0.3156539821980243,-0.3156539821980243,-0.34504299165703056,-0.500500883984253,-0.5018728083276455,-0.5018728083276455,-0.5018728083276455,-0.5018728083276455,-0.5018728083276455,-0.5018728083276455,-0.5018728083276455,-0.5018728083276455,-0.5018728083276455,-0.5018728083276455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</si>
  <si>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-0.6972211555273324,0.6720148743325547,0.6601501800834673,0.6818683228466798,0.7054105943867777,0.723768145435921,0.7102487441625258,0.6334128561465943,0.6085539648697792,0.6085539648697792,0.6085539648697792,0.5670260093420963,-0.38681764884350556,-0.38793338956763623,-0.38793338956763623,-0.38793338956763623,0.8112455132626271,0.8388181118901927,0.8388181118901927,0.849322374633503,0.7596189506560991,0.7573433883094527,0.7573433883094527,0.7573433883094527,0.7573433883094527,0.7573433883094527,0.7573433883094527,0.7573433883094527,0.7573433883094527,0.7573433883094527,0.7573433883094527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</si>
  <si>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-0.3605458757566735,0.4774803210194787,0.5570744601516485,0.6395635529292006,0.6758726203455508,0.6818327797939676,0.6807452843881832,0.642011921216463,0.6195455476910299,0.6195455476910299,0.6195455476910299,0.573212736603064,-0.26908141353446785,-0.26430903633003705,-0.26430903633003705,-0.26430903633003705,0.13738787338954805,0.13649108425506887,0.13649108425506887,0.17683472779640233,0.4082940117505066,0.40995477168867106,0.40995477168867106,0.40995477168867106,0.40995477168867106,0.40995477168867106,0.40995477168867106,0.40995477168867106,0.40995477168867106,0.40995477168867106,0.40995477168867106</t>
  </si>
  <si>
    <t>bolaBastao_c</t>
  </si>
  <si>
    <t>4.5,0.1,0.2,0.3,0.4,0.5,0.6,0.7,0.8,0.9,1,1.1,1.2,1.3,1.4,1.5,1.6,1.7,1.8,1.9</t>
  </si>
  <si>
    <t>16,776,820,603,901,6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</t>
  </si>
  <si>
    <t>0.624883987936306,0.624883987936306,0.624883987936306,0.624883987936306,0.624883987936306,0.624883987936306,0.624883987936306,-0.594199213090382,-0.48307520081634603,-0.31522015346316873,-0.2280002664138965,-0.22490038105837104,-0.22490038105837104,-0.22490038105837104,-0.22490038105837104,-0.22490038105837104,-0.22490038105837104,-0.22490038105837104,-0.22490038105837104,-0.22490038105837104</t>
  </si>
  <si>
    <t>-0.03659230559987375,-0.03659230559987375,-0.03659230559987375,-0.03659230559987375,-0.03659230559987375,-0.03659230559987375,-0.03659230559987375,0.017122540061746443,-0.08961526717927651,-0.1222449260989088,-0.11605621929135836,-0.11386137391246542,-0.11386137391246542,-0.11386137391246542,-0.11386137391246542,-0.11386137391246542,-0.11386137391246542,-0.11386137391246542,-0.11386137391246542,-0.11386137391246542</t>
  </si>
  <si>
    <t>-0.699006863382204,-0.699006863382204,-0.699006863382204,-0.699006863382204,-0.699006863382204,-0.699006863382204,-0.699006863382204,0.7145023808850355,0.7353718428615478,0.773162887941105,0.7889336981117367,0.7898229675698651,0.7898229675698651,0.7898229675698651,0.7898229675698651,0.7898229675698651,0.7898229675698651,0.7898229675698651,0.7898229675698651,0.7898229675698651</t>
  </si>
  <si>
    <t>-0.34578954544097623,-0.34578954544097623,-0.34578954544097623,-0.34578954544097623,-0.34578954544097623,-0.34578954544097623,-0.34578954544097623,0.36894506568623514,0.4667287295325249,0.5365739292998672,0.5586863632331893,0.5591378059384794,0.5591378059384794,0.5591378059384794,0.5591378059384794,0.5591378059384794,0.5591378059384794,0.5591378059384794,0.5591378059384794,0.5591378059384794</t>
  </si>
  <si>
    <t>bolaBastao_g</t>
  </si>
  <si>
    <t>2,0.1,0.2,0.3,0.4,0.5,0.6,0.7,0.8,0.9,1,1.1,1.2</t>
  </si>
  <si>
    <t>1,677,682,063,268,160,000,000,000,000,000,000,000,000,000,000,000,000,000,000,000,000,000,000,000,000,000,000,000,000,000,000,000,000,000,000,000,000,000,000,000,000,000,000,000,000,000,000,000,000,000,000,000,000,000,000,000</t>
  </si>
  <si>
    <t>0.624883987936306,0.624883987936306,0.624883987936306,0.624883987936306,-0.5068207636919558,-0.2754052806575647,0.08652894441863303,0.0893429502027513,0.0893429502027513,0.0893429502027513,0.0893429502027513,0.0893429502027513,0.0893429502027513</t>
  </si>
  <si>
    <t>-0.03659230559987375,-0.03659230559987375,-0.03659230559987375,-0.03659230559987375,-0.10444889851728358,-0.2171065656822088,-0.10573457610316263,-0.10304844432262303,-0.10304844432262303,-0.10304844432262303,-0.10304844432262303,-0.10304844432262303,-0.10304844432262303</t>
  </si>
  <si>
    <t>-0.699006863382204,-0.699006863382204,-0.699006863382204,-0.699006863382204,0.7145562781391557,0.7177525672276263,0.7167524512019936,0.7164071271109311,0.7164071271109311,0.7164071271109311,0.7164071271109311,0.7164071271109311,0.7164071271109311</t>
  </si>
  <si>
    <t>-0.34578954544097623,-0.34578954544097623,-0.34578954544097623,-0.34578954544097623,0.4707785747685915,0.6015379645224036,0.6838120099047803,0.6842219549213677,0.6842219549213677,0.6842219549213677,0.6842219549213677,0.6842219549213677,0.6842219549213677</t>
  </si>
  <si>
    <t>bola_c</t>
  </si>
  <si>
    <t>1.3,0.1,0.2,0.3,0.4,0.5,0.6,0.7,0.8,0.9,1,1.1,1.2,1.3,1.4,1.5,1.6,1.7,1.8,1.9,2</t>
  </si>
  <si>
    <t>167,768,206,559,616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</t>
  </si>
  <si>
    <t>0.624883987936306,0.624883987936306,0.624883987936306,0.624883987936306,-0.5899332645421245,-0.32112205720962345,-0.11297776670076178,-0.05837021558798503,-0.05837021558798503,-0.05837021558798503,-0.05837021558798503,-0.05837021558798503,-0.05837021558798503,-0.05837021558798503,-0.05837021558798503,-0.05837021558798503,-0.05837021558798503,-0.05837021558798503,-0.05837021558798503,-0.05837021558798503,-0.05837021558798503</t>
  </si>
  <si>
    <t>-0.03659230559987375,-0.03659230559987375,-0.03659230559987375,-0.03659230559987375,0.015777202755723082,-0.1474792011556066,-0.20935509513360606,-0.22950201313609508,-0.22950201313609508,-0.22950201313609508,-0.22950201313609508,-0.22950201313609508,-0.22950201313609508,-0.22950201313609508,-0.22950201313609508,-0.22950201313609508,-0.22950201313609508,-0.22950201313609508,-0.22950201313609508,-0.22950201313609508,-0.22950201313609508</t>
  </si>
  <si>
    <t>-0.699006863382204,-0.699006863382204,-0.699006863382204,-0.699006863382204,0.7168885390426588,0.770936030431468,0.7682938890880087,0.7596788144698257,0.7596788144698257,0.7596788144698257,0.7596788144698257,0.7596788144698257,0.7596788144698257,0.7596788144698257,0.7596788144698257,0.7596788144698257,0.7596788144698257,0.7596788144698257,0.7596788144698257,0.7596788144698257,0.7596788144698257</t>
  </si>
  <si>
    <t>-0.34578954544097623,-0.34578954544097623,-0.34578954544097623,-0.34578954544097623,0.3712150937787403,0.5298944674013251,0.5942482379973284,0.6056482830359645,0.6056482830359645,0.6056482830359645,0.6056482830359645,0.6056482830359645,0.6056482830359645,0.6056482830359645,0.6056482830359645,0.6056482830359645,0.6056482830359645,0.6056482830359645,0.6056482830359645,0.6056482830359645,0.6056482830359645</t>
  </si>
  <si>
    <t>167768206559616000000000000000000000000000000000000000000000000000000000000000000000000000000000000000000000000000000000000000000000000000000000000000000000000000000000000000000000000000000000000000000000000000000000000000000000000000000000000000000000000000000000000000000.0000000000000000</t>
  </si>
  <si>
    <t>Rai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</si>
  <si>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</t>
  </si>
  <si>
    <t>1677683621810,1677683621843,1677683621954,1677683622046,1677683622140,1677683622230,1677683622331,1677683622436,1677683622541,1677683622641,1677683622741,1677683622841,1677683622941,1677683623043,1677683623141,1677683623241,1677683623342,1677683623441,1677683623540,1677683623640,1677683623740,1677683623851,1677683623941,1677683624044,1677683624141,1677683624241,1677683624340,1677683624440,1677683624541,1677683624647,1677683624741,1677683624842,1677683624956,1677683625042,1677683625154,1677683625241,1677683625339,1677683625440,1677683625539,1677683625639,1677683625740,1677683625840,1677683625940,1677683626040,1677683626141,1677683626240,1677683626340,1677683626441,1677683626542,1677683626641,1677683626740,1677683626841,1677683626941,1677683627042,1677683627141,1677683627243,1677683627341,1677683627440,1677683627540,1677683627641,1677683627741,1677683627843,1677683627942,1677683628041,1677683628141,1677683628241,1677683628342,1677683628445,1677683628548,1677683628640,1677683628742,1677683628847,1677683628939,1677683629039,1677683629141,1677683629241,1677683629339,1677683629440,1677683629541,1677683629642,1677683629742,1677683629839,1677683629941,1677683630040,1677683630140,1677683630240,1677683630340,1677683630440,1677683630541,1677683630642,1677683630741,1677683630840,1677683630941,1677683631041,1677683631142,1677683631242,1677683631353,1677683631441,1677683631540,1677683631640,1677683631740,1677683631845,1677683631940,1677683632041,1677683632140,1677683632240,1677683632340,1677683632439,1677683632542,1677683632642,1677683632742,1677683632841,1677683632940,1677683633041,1677683633140,1677683633240,1677683633340,1677683633440,1677683633546,1677683633640,1677683633748</t>
  </si>
  <si>
    <t>0.624883987936306,0.624883987936306,0.624883987936306,0.624883987936306,0.624883987936306,0.624883987936306,0.624883987936306,0.624883987936306,0.624883987936306,0.624883987936306,0.624883987936306,0.624883987936306,0.6859560865650591,0.7167431242199228,0.7286069649591487,0.7334630657288191,0.7375953270478078,0.7369016670721287,0.7333469752138233,0.7336367624511275,0.7336367624511275,0.7336367624511275,0.7336367624511275,0.7336367624511275,0.7336367624511275,0.7336367624511275,0.7336367624511275,0.7336367624511275,0.691463413798413,-0.44149046777355044,-0.33852448352488124,-0.31049523104414223,-0.1717535724654965,-0.06506520080025732,0.08816701525687247,0.12488224626805217,0.12488224626805217,0.12488224626805217,0.12488224626805217,0.12488224626805217,0.12488224626805217,0.12488224626805217,0.2667068018405133,0.7581652696240885,0.8171948541703078,0.8307221145527659,0.8307221145527659,0.8307221145527659,0.8307221145527659,0.8307221145527659,0.8307221145527659,0.8307221145527659,0.801924908574401,0.7119518877127226,-0.6824387842581239,-0.6809842400749774,0.6950424315600724,0.6800177530037362,0.6730193585186792,0.6714384352943669,0.6606470683308441,0.6457718440720119,0.6380943026449137,0.6318329535733743,0.6217340866559268,0.6217340866559268,0.623690832150192,0.6575951861970857,0.6706703691763185,0.6717230371324523,0.6717230371324523,0.6717230371324523,0.6717230371324523,0.6717230371324523,0.6717230371324523,0.6717230371324523,0.7456246783780954,0.7955709229491161,0.7778066740500587,0.6388789364838878,0.5738444953722849,0.5738444953722849,0.5738444953722849,0.5738444953722849,0.5738444953722849,0.5738444953722849,0.5738444953722849,0.4326130454393961,0.05176304547995769,0.01940059568269362,0.016455851855036785,0.2990180377417093,0.7088446238030459,0.7911821037231802,0.8042973548113566,0.8394947471840156,0.8394947471840156,0.8394947471840156,0.8394947471840156,0.8394947471840156,0.7522028636797761,0.7376176369086221,0.7293574628977375,0.7293574628977375,0.7293574628977375,0.6565846365554927,0.524425406758702,0.4955157943990964,0.4470272020866113,0.409965317564157,0.3762394003336851,0.2775912686993744,0.31483549923153054,0.34904608763097966,0.33957029970272895,0.33957029970272895,0.33957029970272895,0.33957029970272895,0.33957029970272895,0.33957029970272895,0.33957029970272895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</si>
  <si>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-0.09950310969466727,-0.15818588989794485,-0.19839858814479194,-0.21822112194186183,-0.23782829785056073,-0.2627567677003507,-0.2730859990461356,-0.27551090122345523,-0.27551090122345523,-0.27551090122345523,-0.27551090122345523,-0.27551090122345523,-0.27551090122345523,-0.27551090122345523,-0.27551090122345523,-0.27551090122345523,-0.28436246473391114,0.3246416431804361,0.33123021552913284,0.330147895759303,0.2886815874740468,0.2683119795032107,0.31671411616832434,0.3365265526662336,0.3365265526662336,0.3365265526662336,0.3365265526662336,0.3365265526662336,0.3365265526662336,0.3365265526662336,0.26496835382605494,-0.03022558064375637,-0.09365828655942599,-0.10210303081238578,-0.10210303081238578,-0.10210303081238578,-0.10210303081238578,-0.10210303081238578,-0.10210303081238578,-0.10210303081238578,-0.12302518792809024,-0.2205141876508802,0.29751495131624456,0.33052523991528904,-0.4439224307637885,-0.5416785116666794,-0.5538504315251619,-0.5593793515921993,-0.5679021107747928,-0.5625100184523572,-0.5596054447007467,-0.5748399225358538,-0.6230679377519884,-0.6230679377519884,-0.6198881897580651,-0.6051829852055541,-0.5897428683339566,-0.586358228697976,-0.586358228697976,-0.586358228697976,-0.586358228697976,-0.586358228697976,-0.586358228697976,-0.586358228697976,-0.6008202578310933,-0.5193380614859028,-0.46478886527142654,-0.29646211433956887,-0.235968669806851,-0.235968669806851,-0.235968669806851,-0.235968669806851,-0.235968669806851,-0.235968669806851,-0.235968669806851,-0.10027070633904893,0.20781558052352075,0.23473396419262743,0.2371601225013467,0.23816188773746816,0.196226363470682,0.11073432886767912,0.10351683168192634,0.11600790905171855,0.11600790905171855,0.11600790905171855,0.11600790905171855,0.11600790905171855,-0.05775358585227397,-0.006958334135649752,0.012908299640427768,0.012908299640427768,0.012908299640427768,-0.10668363174121583,-0.2441358952188306,-0.272868815925418,-0.3130560687363274,-0.34818140247394475,-0.3261729824678023,-0.15964788452656598,0.03907344606974861,0.13329527426795074,0.11351969677693292,0.11351969677693292,0.11351969677693292,0.11351969677693292,0.11351969677693292,0.11351969677693292,0.11351969677693292</t>
  </si>
  <si>
    <t>-0.699006863382204,-0.699006863382204,-0.699006863382204,-0.699006863382204,-0.699006863382204,-0.699006863382204,-0.699006863382204,-0.699006863382204,-0.699006863382204,-0.699006863382204,-0.699006863382204,-0.699006863382204,-0.6657281571039073,-0.6453974812963487,-0.6341913629565045,-0.6276465777528868,-0.620482381190619,-0.6164677185522113,-0.6180340781270329,-0.6169569092800541,-0.6169569092800541,-0.6169569092800541,-0.6169569092800541,-0.6169569092800541,-0.6169569092800541,-0.6169569092800541,-0.6169569092800541,-0.6169569092800541,-0.6623612427355223,0.8316532664417752,0.8698907516020954,0.8787851982942143,0.9214847858737062,0.9339628547503489,0.9063227478075655,0.8927128589969676,0.8927128589969676,0.8927128589969676,0.8927128589969676,0.8927128589969676,0.8927128589969676,0.8927128589969676,0.8666571608124705,0.49635082554457693,0.3845567828216525,0.3626679108157423,0.3626679108157423,0.3626679108157423,0.3626679108157423,0.3626679108157423,0.3626679108157423,0.3626679108157423,0.3587812485564861,0.2849616295909946,-0.20132903718597442,-0.16448031872353636,0.030896604618249127,-0.1073164985491097,-0.1302315822801414,-0.13815118375727395,-0.16274255164639564,-0.18050048387628698,-0.18931373906857452,-0.20926334998458107,-0.2515846995691374,-0.2515846995691374,-0.2466939023546664,-0.17493045139045033,-0.1366649587053539,-0.13139336518481248,-0.13139336518481248,-0.13139336518481248,-0.13139336518481248,-0.13139336518481248,-0.13139336518481248,-0.13139336518481248,-0.009757384700618021,0.30783040473864365,0.3852828712896436,0.5570859420944044,0.5978909340326432,0.5978909340326432,0.5978909340326432,0.5978909340326432,0.5978909340326432,0.5978909340326432,0.5978909340326432,0.6448902946720806,0.6278385163429783,0.6182786460541027,0.6173520830184557,0.6347036279122886,0.5596035249076741,0.5522142677523909,0.5417613237384774,0.48733002617301235,0.48733002617301235,0.48733002617301235,0.48733002617301235,0.48733002617301235,0.6399051656378034,0.6684805636634439,0.6799213353886343,0.6799213353886343,0.6799213353886343,0.7175352495902455,0.7343843006671208,0.7302240019240008,0.7224020589568523,0.7095061629025518,0.7278321391719739,0.8135194887102785,0.8431803553711301,0.8378088440321609,0.8407166988494681,0.8407166988494681,0.8407166988494681,0.8407166988494681,0.8407166988494681,0.8407166988494681,0.8407166988494681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</si>
  <si>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-0.27635013896228683,-0.21146774992179942,-0.16604579484751278,-0.14307776411869993,-0.11996853291910187,-0.08889525339979056,-0.07523383110927202,-0.07235341166019985,-0.07235341166019985,-0.07235341166019985,-0.07235341166019985,-0.07235341166019985,-0.07235341166019985,-0.07235341166019985,-0.07235341166019985,-0.07235341166019985,-0.047894886476052466,-0.08970404001450388,-0.13775993122776303,-0.14943779201911203,-0.19501138633960158,-0.22691096766456503,-0.2655142610990144,-0.27242990896574953,-0.27242990896574953,-0.27242990896574953,-0.27242990896574953,-0.27242990896574953,-0.27242990896574953,-0.27242990896574953,-0.327970454363169,-0.4217910575057252,-0.41897109263311016,-0.4098142578735532,-0.4098142578735532,-0.4098142578735532,-0.4098142578735532,-0.4098142578735532,-0.4098142578735532,-0.4098142578735532,-0.46158126026458834,-0.6027394729796681,0.6365758228752916,0.6324237150052564,-0.5647072636498442,-0.4823312292786768,-0.47258266740889693,-0.4660251270566929,-0.4631927304772993,-0.4837155981204121,-0.4937992662947731,-0.4759779749010981,-0.4024154686121193,-0.4024154686121193,-0.407296570856294,-0.41318453829305773,-0.42863421960944964,-0.4332527814211195,-0.4332527814211195,-0.4332527814211195,-0.4332527814211195,-0.4332527814211195,-0.4332527814211195,-0.4332527814211195,-0.28803411294001985,0.05094434579419291,0.17477184445354071,0.4399990595436742,0.5074915890949189,0.5074915890949189,0.5074915890949189,0.5074915890949189,0.5074915890949189,0.5074915890949189,0.5074915890949189,0.6220194902120639,0.7482994514300804,0.7498367147420004,0.7499071188004849,0.6715790594184737,0.38194032059406346,0.2383866389902718,0.22109884373990513,0.21047607958650505,0.21047607958650505,0.21047607958650505,0.21047607958650505,0.21047607958650505,-0.1462079142290296,-0.09489752004979177,-0.07468630931505628,-0.07468630931505628,-0.07468630931505628,-0.20653906011517525,-0.3550427528415895,-0.38311827652904973,-0.4246149357204384,-0.455301168644551,-0.47150342133748663,-0.4854293790003139,-0.43404926281711564,-0.3980898635092732,-0.406202809294968,-0.406202809294968,-0.406202809294968,-0.406202809294968,-0.406202809294968,-0.406202809294968,-0.406202809294968</t>
  </si>
  <si>
    <t>12.1,0.1,0.2,0.3,0.4,0.5,0.6,0.7,0.8,0.9,1,1.1,1.2,1.3,1.4,1.5,1.6,1.7,1.8,1.9,2,2.1,2.2,2.3,2.4,2.5,2.6,2.7,2.8,2.9,3,3.1,3.2,3.3,3.4,3.5,3.6,3.7,3.8,3.9</t>
  </si>
  <si>
    <t>1677683634783,1677683634886,1677683634998,1677683635088,1677683635181,1677683635288,1677683635380,1677683635478,1677683635576,1677683635678,1677683635779,1677683635882,1677683635981,1677683636087,1677683636186,1677683636282,1677683636388,1677683636489,1677683636589,1677683636680,1677683636780,1677683636880,1677683636981,1677683637080,1677683637186,1677683637287,1677683637382,1677683637487,1677683637589,1677683637686,1677683637782,1677683637887,1677683637980,1677683638078,1677683638178,1677683638281,1677683638382,1677683638481,1677683638582,1677683638683</t>
  </si>
  <si>
    <t>0.624883987936306,0.624883987936306,0.624883987936306,0.624883987936306,0.624883987936306,0.624883987936306,0.624883987936306,0.624883987936306,0.624883987936306,0.624883987936306,0.624883987936306,0.624883987936306,-0.6054472322450098,-0.21201545068510647,-0.16432983209563812,-0.1529239503762793,-0.1468432201177728,-0.028769699017415946,0.04767934265623621,0.05079931544518951,0.05079931544518951,-0.0009441210477762887,-0.11635446501969648,-0.149169549150893,-0.31016395451829293,-0.4673052142614524,-0.5656172305386356,0.6365403675295381,0.6541667282270078,0.7661465344129991,0.7876526082771721,0.7876526082771721,0.7854315778369999,0.7854315778369999,0.7854315778369999,0.7854315778369999,0.7854315778369999,0.7854315778369999,0.7854315778369999,0.7854315778369999</t>
  </si>
  <si>
    <t>-0.03659230559987375,-0.03659230559987375,-0.03659230559987375,-0.03659230559987375,-0.03659230559987375,-0.03659230559987375,-0.03659230559987375,-0.03659230559987375,-0.03659230559987375,-0.03659230559987375,-0.03659230559987375,-0.03659230559987375,0.018553217079886917,-0.18119174513416447,-0.18806703751077608,-0.18420795675257579,-0.179594650756789,0.059112333673551606,0.1919898922108415,0.1942425566198422,0.1942425566198422,0.2324730583877398,0.3284584668649697,0.3163496971521456,0.32049193095412054,0.3370662207628999,0.37511732337933074,-0.4298282624317296,-0.4362931638582616,-0.28543766233706097,-0.2279219074991388,-0.2279219074991388,-0.2275370181931536,-0.2275370181931536,-0.2275370181931536,-0.2275370181931536,-0.2275370181931536,-0.2275370181931536,-0.2275370181931536,-0.2275370181931536</t>
  </si>
  <si>
    <t>-0.699006863382204,-0.699006863382204,-0.699006863382204,-0.699006863382204,-0.699006863382204,-0.699006863382204,-0.699006863382204,-0.699006863382204,-0.699006863382204,-0.699006863382204,-0.699006863382204,-0.699006863382204,0.7071963010512226,0.7724468631782081,0.7724922594131779,0.773630071360739,0.7748072603026848,0.8037041454413408,0.7945902306559705,0.7943968680202228,0.7943968680202228,0.7816531845897178,0.7356474980265109,0.7272645163979015,0.6603802609567132,0.568019067113881,0.4969052707402163,-0.4375730201224638,-0.41796566529052936,-0.18285177673716516,-0.09756398759427691,-0.09756398759427691,-0.09845828022624967,-0.09845828022624967,-0.09845828022624967,-0.09845828022624967,-0.09845828022624967,-0.09845828022624967,-0.09845828022624967,-0.09845828022624967</t>
  </si>
  <si>
    <t>-0.34578954544097623,-0.34578954544097623,-0.34578954544097623,-0.34578954544097623,-0.34578954544097623,-0.34578954544097623,-0.34578954544097623,-0.34578954544097623,-0.34578954544097623,-0.34578954544097623,-0.34578954544097623,-0.34578954544097623,0.36464067091084673,0.5705653720058499,0.5838511838063387,0.586667032273616,0.5880956890738427,0.5913862384487127,0.5740147445134403,0.5732563779215614,0.5732563779215614,0.5787691118054331,0.5808609408989627,0.5905570572826907,0.6041367017899317,0.5876789420591406,0.5407858116936164,-0.4675402414564831,-0.45499326312547234,-0.5459945571803504,-0.5640356735888478,-0.5640356735888478,-0.5671244210428062,-0.5671244210428062,-0.5671244210428062,-0.5671244210428062,-0.5671244210428062,-0.5671244210428062,-0.5671244210428062,-0.5671244210428062</t>
  </si>
  <si>
    <t>Teste</t>
  </si>
  <si>
    <t>27.110934800342104,27.110934800342118</t>
  </si>
  <si>
    <t>7.1,0.1,0.2,0.3,0.4,0.5,0.6,0.7,0.8,0.9,1,1.1,1.2,1.3,1.4,1.5,1.6,1.7,1.8,1.9,2</t>
  </si>
  <si>
    <t>167789411898116000000000000000000000000000000000000000000000000000000000000000000000000000000000000000000000000000000000000000000000000000000000000000000000000000000000000000000000000000000000000000000000000000000000000000000000000000000000000000000000000000000000000000000.0000000000000000</t>
  </si>
  <si>
    <t>0.624883987936306,0.624883987936306,0.624883987936306,0.624883987936306,-0.33517355092615153,0.3996599367646799,0.45899334030538286,0.45899334030538286,0.6350342152669207,0.6667339474586101,0.6667339474586101,0.6667339474586101,0.6667339474586101,0.6667339474586101,0.6667339474586101,0.6667339474586101,0.6667339474586101,0.6667339474586101,0.6667339474586101,0.6667339474586101,0.6667339474586101</t>
  </si>
  <si>
    <t>-0.03659230559987375,-0.03659230559987375,-0.03659230559987375,-0.03659230559987375,0.024378367764567314,-0.17611738664632495,-0.18328143104561115,-0.18328143104561115,-0.4250844705020561,-0.5382702931432457,-0.5382702931432457,-0.5382702931432457,-0.5382702931432457,-0.5382702931432457,-0.5382702931432457,-0.5382702931432457,-0.5382702931432457,-0.5382702931432457,-0.5382702931432457,-0.5382702931432457,-0.5382702931432457</t>
  </si>
  <si>
    <t>-0.699006863382204,-0.699006863382204,-0.699006863382204,-0.699006863382204,0.8480517801024704,0.7911371994457314,0.7604197299986883,0.7604197299986883,0.6028911825797095,0.5070319106482425,0.5070319106482425,0.5070319106482425,0.5070319106482425,0.5070319106482425,0.5070319106482425,0.5070319106482425,0.5070319106482425,0.5070319106482425,0.5070319106482425,0.5070319106482425,0.5070319106482425</t>
  </si>
  <si>
    <t>-0.34578954544097623,-0.34578954544097623,-0.34578954544097623,-0.34578954544097623,0.4097225454008129,0.4282015094780567,0.4213013942748136,0.4213013942748136,0.22925304871681051,0.09300309892759788,0.09300309892759788,0.09300309892759788,0.09300309892759788,0.09300309892759788,0.09300309892759788,0.09300309892759788,0.09300309892759788,0.09300309892759788,0.09300309892759788,0.09300309892759788,0.09300309892759788</t>
  </si>
  <si>
    <t>27.110934800342118,27.110934800342118</t>
  </si>
  <si>
    <t>0,0.1,0.2,0.3,0.4,0.5,0.6,0.7,0.8,0.9,1,1.1,1.2,1.3,1.4,1.5,1.6,1.7,1.8,1.9,2,2.1,2.2,2.3,2.4,2.5,2.6,2.7,2.8,2.9,3,3.1,3.2,3.3,3.4,3.5,3.6,3.7,3.8,3.9,4,4.1,4.2,4.3,4.4,4.5,4.6,4.7,4.8,4.9,5,5.1,5.2,5.3,5.4,5.5,5.6,5.7,5.8,5.9,6,6.1,6.2,6.3,6.4</t>
  </si>
  <si>
    <t>1677902653629,1677902653740,1677902653830,1677902653931,1677902654031,1677902654131,1677902654230,1677902654329,1677902654432,1677902654535,1677902654630,1677902654777,1677902654840,1677902654931,1677902655030,1677902655131,1677902655231,1677902655334,1677902655461,1677902655532,1677902655631,1677902655732,1677902655839,1677902655931,1677902656032,1677902656122,1677902656244,1677902656327,1677902656426,1677902656533,1677902656633,1677902656728,1677902656822,1677902656933,1677902657052,1677902657138,1677902657222,1677902657325,1677902657428,1677902657529,1677902657638,1677902657738,1677902657829,1677902657923,1677902658033,1677902658139,1677902658233,1677902658323,1677902658424,1677902658535,1677902658625,1677902658724,1677902658844,1677902658934,1677902659034,1677902659134,1677902659234,1677902659334,1677902659436,1677902659519,1677902659624,1677902659724,1677902659826,1677902659924,1677902660025</t>
  </si>
  <si>
    <t>0.624883987936306,0.624883987936306,0.624883987936306,0.624883987936306,0.624883987936306,0.624883987936306,0.624883987936306,0.624883987936306,0.624883987936306,0.624883987936306,0.624883987936306,-0.5793574228645565,-0.4687755645445287,-0.22302972751977895,-0.017498389866772872,-0.017498389866772872,-0.017498389866772872,0.0036438476539799145,0.48212087849533936,0.7143529344980893,0.7650968061985126,0.7650968061985126,0.8107247711569062,0.9573282411656059,0.9608754538394463,0.9608754538394463,0.902521963120901,-0.5987730889170796,0.4628854030277115,0.4628854030277115,0.3994127099375271,-0.056214062289140304,-0.11613412704564413,-0.11613412704564413,-0.2992104363036301,-0.558830721684353,-0.5593807384003209,-0.5518103871760076,-0.4596782937385069,-0.4443873031973266,-0.43210985652952416,-0.4447633335958639,-0.4459710919757425,-0.4385910879279261,-0.4385910879279261,-0.4366504163119672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</t>
  </si>
  <si>
    <t>-0.03659230559987375,-0.03659230559987375,-0.03659230559987375,-0.03659230559987375,-0.03659230559987375,-0.03659230559987375,-0.03659230559987375,-0.03659230559987375,-0.03659230559987375,-0.03659230559987375,-0.03659230559987375,-0.05266232885541429,-0.1562626368462571,-0.14008139736482558,-0.05443737056792729,-0.05443737056792729,-0.05443737056792729,-0.06737978374788975,-0.17628435765800937,-0.12449466333387142,-0.11546629845313261,-0.11546629845313261,-0.10231202335498048,0.0330196945187404,0.06325754942412415,0.06325754942412415,0.07262262918181615,-0.029733689515403748,-0.04451532804043965,-0.04451532804043965,-0.07856150434727714,-0.3754275084301088,-0.3709906441355586,-0.3709906441355586,-0.22687759860194387,0.08940646081911909,0.0925955557126614,-0.005567125219723083,-0.24971479640405173,-0.3167290092890777,-0.3844104928704773,-0.4181530868445865,-0.4042530395646919,-0.29902350821075746,-0.29902350821075746,-0.3168040578962245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</t>
  </si>
  <si>
    <t>-0.699006863382204,-0.699006863382204,-0.699006863382204,-0.699006863382204,-0.699006863382204,-0.699006863382204,-0.699006863382204,-0.699006863382204,-0.699006863382204,-0.699006863382204,-0.699006863382204,0.6956225507883649,0.6966562681892521,0.746737388220787,0.7642062635288381,0.7642062635288381,0.7642062635288381,0.7628254747119089,0.6171784966592716,0.44057367281977255,0.39083537130714663,0.39083537130714663,0.33611083598585983,-0.07864326270501731,-0.16228697848812654,-0.16228697848812654,-0.29075817868883314,0.5472003450704124,-0.5718714906398419,-0.5718714906398419,-0.5737059825946007,-0.45202774082768143,-0.4278812908953344,-0.4278812908953344,-0.3468648381597219,-0.14115823369891445,-0.1389626278751375,-0.20531623427563397,-0.36622743181709855,-0.39572905529754643,-0.42058239682706816,-0.41835609615191044,-0.4145689406425387,-0.39340933303580633,-0.39340933303580633,-0.3995492399985034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</t>
  </si>
  <si>
    <t>-0.34578954544097623,-0.34578954544097623,-0.34578954544097623,-0.34578954544097623,-0.34578954544097623,-0.34578954544097623,-0.34578954544097623,-0.34578954544097623,-0.34578954544097623,-0.34578954544097623,-0.34578954544097623,0.4215221495081276,0.5200975893084278,0.6107521721516582,0.6424322266364078,0.6424322266364078,0.6424322266364078,0.6430738544264673,0.596300249056955,0.5292407794127834,0.4985399919781486,0.4985399919781486,0.46828100670695416,0.2761296356274828,0.2153596556063532,0.2153596556063532,0.30925675633794636,-0.5840877314679034,0.6758095052799202,0.6758095052799202,0.710745399359164,0.807195816786197,0.8159634841100254,0.8159634841100254,0.8594675410438933,0.8122740069241089,0.8119166463517122,0.8082818491493704,0.7695556217111212,0.7386482073525109,0.6990136567623761,0.6725412625732125,0.682511434760762,0.7506343289564171,0.7506343289564171,0.7411693515328929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</t>
  </si>
  <si>
    <t>Teste android</t>
  </si>
  <si>
    <t>NaN,NaN</t>
  </si>
  <si>
    <t>0</t>
  </si>
  <si>
    <t>1677952054365</t>
  </si>
  <si>
    <t>1677952055928</t>
  </si>
  <si>
    <t>27.110934800342456,27.110934800342118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</si>
  <si>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</t>
  </si>
  <si>
    <t>1677952080494,1677952080711,1677952080734,1677952080776,1677952080880,1677952080992,1677952081095,1677952081199,1677952081296,1677952081403,1677952081501,1677952081603,1677952081948,1677952081985,1677952082047,1677952082113,1677952082176,1677952082239,1677952082326,1677952082443,1677952082505,1677952082593,1677952082695,1677952082832,1677952082920,1677952083001,1677952083086,1677952083198,1677952083282,1677952083369,1677952083541,1677952083618,1677952083697,1677952083788,1677952083862,1677952084011,1677952084104,1677952084180,1677952084264,1677952084369,1677952084508,1677952084596,1677952084710,1677952084795,1677952084866,1677952084968,1677952085071,1677952085184,1677952085364,1677952085423,1677952085505,1677952085615,1677952085727,1677952085767,1677952085879,1677952086006,1677952086092,1677952086199,1677952086284,1677952086367,1677952086471,1677952086597,1677952086697,1677952086776,1677952086884,1677952087006,1677952087108,1677952087175,1677952087279,1677952087391,1677952087495,1677952087591,1677952087776,1677952087852,1677952087895,1677952087991,1677952088095,1677952088199,1677952088295,1677952088402,1677952088495,1677952088599,1677952088695,1677952088799,1677952088895,1677952088999,1677952089095,1677952089199,1677952089295,1677952089490,1677952089571,1677952089591,1677952089695,1677952089950,1677952090005,1677952090059,1677952090114,1677952090202,1677952090304,1677952090416,1677952090523,1677952090602,1677952090687,1677952090785,1677952090892,1677952091007,1677952091180,1677952091234,1677952091319,1677952091370,1677952091508,1677952091611,1677952091671,1677952091800,1677952091864,1677952091972,1677952092063,1677952092222,1677952092308,1677952092376,1677952092507,1677952092618,1677952092706,1677952092796,1677952092914,1677952093003,1677952093105,1677952093169,1677952093292,1677952093369,1677952093515,1677952093595,1677952093671,1677952093774,1677952093871,1677952093983,1677952094095,1677952094199,1677952094295,1677952094399,1677952094495,1677952094599,1677952094695,1677952094799,1677952094895,1677952095000,1677952095095,1677952095199,1677952095295,1677952095400,1677952095497,1677952095603,1677952095707,1677952095803,1677952095899,1677952096000,1677952096099,1677952096203,1677952096299,1677952096403,1677952096497,1677952096591</t>
  </si>
  <si>
    <t>0.624883987936306,0.624883987936306,0.624883987936306,0.624883987936306,0.624883987936306,0.624883987936306,0.624883987936306,0.624883987936306,0.624883987936306,0.624883987936306,0.624883987936306,0.624883987936306,-0.46573848226447034,-0.4420087440836244,-0.39475470678904684,-0.3627399822080538,-0.3244465008878386,-0.27454419353309517,-0.1699895672039665,-0.031203883337719805,-0.022776533438497646,-0.022776533438497646,-0.022776533438497646,0.11695606312279451,0.25385226974745434,0.3485535021627641,0.4043709863037897,0.5086655289288795,0.5324380291861988,0.5324380291861988,0.5709575202342855,0.7703653635159566,0.8174649815862107,0.8272106029151272,0.8272106029151272,0.6746625166223528,0.7800780497327071,0.806182390197286,0.806182390197286,0.806182390197286,0.806182390197286,0.806182390197286,0.806182390197286,0.806182390197286,0.806182390197286,0.806182390197286,0.806182390197286,0.806182390197286,0.8293801384082714,0.8302227130605556,0.8302153421636965,0.8278509604918598,0.8241207904533112,0.8241207904533112,0.8241207904533112,0.8262175078250628,0.8767374139570515,0.9087594907671488,0.8940951698750553,0.8913475465592181,0.8913475465592181,0.759029451999788,0.928292772825361,0.9499710598265338,0.9499710598265338,0.9939392480519418,0.9267984202719269,0.920915784674465,0.920915784674465,0.920915784674465,0.920915784674465,0.920915784674465,0.918325775387834,0.9129817858882691,0.9129817858882691,0.9129817858882691,0.9129817858882691,0.9129817858882691,0.9129817858882691,0.9129817858882691,0.9129817858882691,0.9129817858882691,0.9129817858882691,0.9129817858882691,0.9129817858882691,0.9129817858882691,0.9129817858882691,0.9129817858882691,0.9129817858882691,0.7861130888209898,-0.6852808449781574,-0.6852808449781574,-0.6852808449781574,0.8410562344583946,0.8303134311942565,0.8281115964632367,0.8283611605886122,0.8283611605886122,0.8283611605886122,0.8232027873665182,-0.7013582825965151,-0.5766024006730379,-0.48050407587205474,-0.48050407587205474,-0.48050407587205474,-0.6656826683692475,-0.6223386665577831,-0.6006798117654598,-0.5940538112478833,-0.5926506095619513,-0.5926506095619513,-0.496908371169956,-0.4460133445216082,-0.37093281992139776,-0.37093281992139776,-0.37093281992139776,-0.37093281992139776,-0.2776616395617524,-0.21737934058839073,-0.22013939846464253,-0.2545860787036131,-0.3072865569330499,-0.3888714087688074,-0.44640891317743986,-0.45317709026345926,-0.4583993454457453,-0.44550820884753134,-0.4436351981077548,-0.4508634258897958,-0.45724811942055615,-0.4609148164818428,-0.4699566813331731,-0.4699566813331731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</si>
  <si>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-0.18707899615920756,-0.21180416082094528,-0.23119078427079984,-0.23623560223756365,-0.23127767379499242,-0.21623330210397773,-0.1527819844542873,-0.0691067951070491,-0.06672161321172829,-0.06672161321172829,-0.06672161321172829,-0.2121538239964235,-0.3565117796814685,-0.44414717148489485,-0.4368253038153252,-0.2934057399196734,-0.2558673541056543,-0.2558673541056543,-0.24585877252325564,-0.37816810608172635,-0.42963982816954754,-0.44828678377146003,-0.44828678377146003,-0.32181676777224816,-0.2208311726679194,-0.19261850216821866,-0.19261850216821866,-0.19261850216821866,-0.19261850216821866,-0.19261850216821866,-0.19261850216821866,-0.19261850216821866,-0.19261850216821866,-0.19261850216821866,-0.19261850216821866,-0.19261850216821866,-0.0929710014463194,-0.06480428961818704,-0.027849650363398034,0.023304719773551537,0.05220518047258225,0.05220518047258225,0.05220518047258225,0.052899441902236465,0.11494444531781527,0.16423259370118987,0.18643588678909626,0.19071071352946953,0.19071071352946953,0.012174882903071648,0.0848392188941474,0.09376145019658741,0.09376145019658741,0.10585143613238578,0.10918392143433112,0.10835882863081957,0.10835882863081957,0.10835882863081957,0.10835882863081957,0.10835882863081957,-0.0023392487239248107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-0.010171313388460702,-0.08150400656773316,-0.08150400656773316,-0.08150400656773316,0.00002193361508276543,0.062245238704675354,0.07796634040458277,0.08013058635301983,0.08013058635301983,0.08013058635301983,0.09596735519324746,-0.24555914146414531,-0.3193198722084805,-0.31496986251475423,-0.31496986251475423,-0.31496986251475423,-0.30327212350657046,-0.3309384125525567,-0.3417299002680733,-0.3477930629001131,-0.35027182384270233,-0.35027182384270233,-0.32309409124231186,-0.32562066068972706,-0.347499043710455,-0.347499043710455,-0.347499043710455,-0.347499043710455,-0.35148125977880995,-0.35315222556557724,-0.3554171043646806,-0.3466644759622688,-0.30678202630922413,-0.2697562676426671,-0.24998847161961138,-0.25818511928897525,-0.293095444478576,-0.32392348940469107,-0.3266130202129966,-0.327673099567808,-0.3241563829166827,-0.3187837999820514,-0.3052670402037208,-0.3052670402037208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</t>
  </si>
  <si>
    <t>-0.699006863382204,-0.699006863382204,-0.699006863382204,-0.699006863382204,-0.699006863382204,-0.699006863382204,-0.699006863382204,-0.699006863382204,-0.699006863382204,-0.699006863382204,-0.699006863382204,-0.699006863382204,0.6861528470176272,0.6801023668903888,0.6803215582993951,0.68280335347645,0.6893848329194489,0.6993196827405227,0.7230163833593543,0.736823814455988,0.7367794673268974,0.7367794673268974,0.7367794673268974,0.7084571287179261,0.6479352585065158,0.5853428514476839,0.5448329222183506,0.4466053619019818,0.4179793232642177,0.4179793232642177,0.38970402383746827,0.28613848069195413,0.2495526933496853,0.2415792679916184,0.2415792679916184,0.42524850730049846,0.2439706754114331,0.1892780709059668,0.1892780709059668,0.1892780709059668,0.1892780709059668,0.1892780709059668,0.1892780709059668,0.1892780709059668,0.1892780709059668,0.1892780709059668,0.1892780709059668,0.1892780709059668,0.03768666894930271,-0.004684626024353368,-0.060405476064019324,-0.1350903256193153,-0.17689518574544472,-0.17689518574544472,-0.17689518574544472,-0.17668881304293765,-0.22484532273541122,-0.2562807550973633,-0.31386807898943864,-0.3236448044491527,-0.3236448044491527,-0.18084301229390096,-0.16632046663574795,-0.15265188794065473,-0.15265188794065473,-0.014882415880310685,0.13488357390614686,0.14022024545799944,0.14022024545799944,0.14022024545799944,0.14022024545799944,0.14022024545799944,-0.14757002762211477,-0.1619899281496251,-0.1619899281496251,-0.1619899281496251,-0.1619899281496251,-0.1619899281496251,-0.1619899281496251,-0.1619899281496251,-0.1619899281496251,-0.1619899281496251,-0.1619899281496251,-0.1619899281496251,-0.1619899281496251,-0.1619899281496251,-0.1619899281496251,-0.1619899281496251,-0.1619899281496251,-0.3044875614002102,0.25561189984769384,0.25561189984769384,0.25561189984769384,-0.1788044544875106,-0.08850652528473395,-0.06517714326640847,-0.06192466253075625,-0.06192466253075625,-0.06192466253075625,-0.038185723704786914,-0.20344831487930742,-0.34455838513885195,-0.40956170427204447,-0.40956170427204447,-0.40956170427204447,-0.2712924345181399,-0.32434948035480365,-0.34775559316050747,-0.3561568807983565,-0.35848697240485344,-0.35848697240485344,-0.41697535838971483,-0.45008934814744006,-0.49850690534274816,-0.49850690534274816,-0.49850690534274816,-0.49850690534274816,-0.5486875892740626,-0.5774415633979215,-0.5760502890255172,-0.5602766617550308,-0.5338477292051779,-0.4892812904468294,-0.45505831879865355,-0.4538424513602238,-0.46062927003858894,-0.4760847539924968,-0.477830585181113,-0.4734943096945589,-0.4686588016798314,-0.4650531658349612,-0.45591406292844394,-0.45591406292844394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</si>
  <si>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0.5265770464648604,0.5451862417217106,0.5726099196217519,0.588550784575529,0.6049740968060028,0.6235548301393932,0.6519267763038867,0.6718193469863805,0.6724473751755178,0.6724473751755178,0.6724473751755178,0.6628729373200146,0.6234085954464479,0.5819084914753648,0.5906139570390824,0.6750674797248737,0.6901702163255637,0.6901702163255637,0.6794790268037418,0.42620518545037556,0.2913487174720637,0.2374890212141745,0.2374890212141745,0.5103216276860261,0.5321561228085395,0.5264426637653707,0.5264426637653707,0.5264426637653707,0.5264426637653707,0.5264426637653707,0.5264426637653707,0.5264426637653707,0.5264426637653707,0.5264426637653707,0.5264426637653707,0.5264426637653707,0.5496041247001802,0.553632283239033,0.5534600808298034,0.5439395933125747,0.5355442419954859,0.5355442419954859,0.5355442419954859,0.5323038062565891,0.4093456513785024,0.2854890850339775,0.2594654433922539,0.2537380845301174,0.2537380845301174,0.6253174139008655,0.32157788673306026,0.255853819704219,0.255853819704219,-0.025666288165951973,-0.3330615273068744,-0.34714660384176266,-0.34714660384176266,-0.34714660384176266,-0.34714660384176266,-0.34714660384176266,-0.36728107100877055,-0.37439983297869583,-0.37439983297869583,-0.37439983297869583,-0.37439983297869583,-0.37439983297869583,-0.37439983297869583,-0.37439983297869583,-0.37439983297869583,-0.37439983297869583,-0.37439983297869583,-0.37439983297869583,-0.37439983297869583,-0.37439983297869583,-0.37439983297869583,-0.37439983297869583,-0.37439983297869583,-0.5377825591452643,0.6770596850172681,0.6770596850172681,0.6770596850172681,-0.5105422382653627,-0.5466916235127821,-0.5512752248765187,-0.5509648018970548,-0.5509648018970548,-0.5509648018970548,-0.5582734886364835,0.6374998436465921,0.6684639182344518,0.7086388566622339,0.7086388566622339,0.7086388566622339,0.6255341870032646,0.630850034317066,0.6336169871663545,0.6318958229015347,0.6305251739809891,0.6305251739809891,0.6890746181374662,0.7017569811016114,0.7022422111003266,0.7022422111003266,0.7022422111003266,0.7022422111003266,0.7059085403342263,0.7032716180281985,0.7024125509145386,0.7078839819693353,0.7255800178369808,0.7325396933466107,0.7287981701302295,0.7224942895147514,0.7012743943026405,0.6855212001661637,0.6842438731130248,0.6820232031987,0.682792592453054,0.6853174255506661,0.6914442270058007,0.6914442270058007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</t>
  </si>
  <si>
    <t>27.11093480034214,27.11093480034212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</si>
  <si>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</t>
  </si>
  <si>
    <t>1677952099946,1677952100113,1677952100147,1677952100247,1677952100343,1677952100447,1677952100551,1677952100647,1677952100751,1677952100983,1677952101042,1677952101098,1677952101177,1677952101264,1677952101343,1677952101446,1677952101568,1677952101675,1677952101735,1677952101831,1677952101926,1677952102075,1677952102199,1677952102239,1677952102343,1677952102469,1677952102568,1677952102644,1677952102743,1677952102851,1677952103042,1677952103091,1677952103169,1677952103233,1677952103335,1677952103434,1677952103568,1677952103674,1677952103756,1677952103858,1677952103953,1677952104070,1677952104157,1677952104252,1677952104369,1677952104415,1677952104519,1677952104614,1677952104719,1677952105026,1677952105089,1677952105150,1677952105211,1677952105250,1677952105365,1677952105427,1677952105535,1677952105692,1677952105779,1677952105841,1677952105955,1677952106052,1677952106173,1677952106280,1677952106332,1677952106446,1677952106543,1677952106614,1677952106734,1677952106842,1677952106944,1677952107015,1677952107119,1677952107223,1677952107327,1677952107431,1677952107543,1677952107647,1677952107751,1677952107959,1677952108007,1677952108077,1677952108169,1677952108267,1677952108380,1677952108476,1677952108567,1677952108663,1677952108758,1677952108849,1677952108940,1677952109052,1677952109144,1677952109238,1677952109348,1677952109441,1677952109549,1677952109642,1677952109751,1677952109842,1677952109952,1677952110041,1677952110157,1677952110247,1677952110358,1677952110451,1677952110542,1677952110654,1677952110738,1677952110841,1677952110945,1677952111049,1677952111154,1677952111258,1677952111343,1677952111447,1677952111549,1677952111623,1677952111818,1677952111865,1677952111947,1677952112050,1677952112154,1677952112258,1677952112319,1677952112423,1677952112542,1677952112648,1677952112750,1677952112850,1677952112921,1677952113023,1677952113126,1677952113261,1677952113365,1677952113454,1677952113526,1677952113623,1677952113735,1677952113847,1677952114084,1677952114132,1677952114200,1677952114239,1677952114335,1677952114483,1677952114573,1677952114711,1677952114735,1677952114839,1677952114936,1677952115180,1677952115228,1677952115277,1677952115371,1677952115423,1677952115519,1677952115639,1677952115743,1677952115848,1677952116061,1677952116109,1677952116176,1677952116268,1677952116335,1677952116447,1677952116543,1677952116646,1677952116742,1677952116956,1677952116964,1677952117047,1677952117142,1677952117246,1677952117567,1677952117615,1677952117623,1677952117646,1677952117746,1677952117846,1677952117951,1677952118046,1677952118150,1677952118247,1677952118351,1677952118447,1677952118546,1677952118657,1677952118750,1677952118943,1677952118992,1677952119078,1677952119169,1677952119279,1677952119398,1677952119423,1677952119527,1677952119623,1677952119721,1677952119824,1677952119935,1677952120047,1677952120262,1677952120312,1677952120380,1677952120491,1677952120561,1677952120647,1677952120751,1677952120988,1677952120996,1677952121038,1677952121143,1677952121247,1677952121343,1677952121447,1677952121552,1677952121773,1677952121822,1677952121872,1677952121974,1677952122048,1677952122143,1677952122247,1677952122342,1677952122573,1677952122583,1677952122648,1677952122745,1677952122847,1677952122952,1677952123047,1677952123149,1677952123340,1677952123392,1677952123490,1677952123591,1677952123648,1677952123752,1677952123847,1677952123943,1677952124045,1677952124291,1677952124299,1677952124326,1677952124447,1677952124543,1677952124647,1677952124863,1677952124872,1677952124951,1677952125047,1677952125150,1677952125396,1677952125404,1677952125447,1677952125551,1677952125647,1677952125913,1677952125920,1677952125951,1677952126047,1677952126143,1677952126243,1677952126497,1677952126506,1677952126551,1677952126649,1677952126755,1677952126850,1677952127085,1677952127095,1677952127152,1677952127251,1677952127352,1677952127448,1677952127637,1677952127647,1677952127743,1677952127851,1677952127956,1677952128146,1677952128154,1677952128247,1677952128347,1677952128459,1677952128555,1677952128656,1677952128823,1677952128847,1677952128945,1677952129051,1677952129155,1677952129251,1677952129355,1677952129449,1677952129547,1677952129649,1677952129750,1677952129910,1677952129943,1677952130047,1677952130143,1677952130247,1677952130352,1677952130447,1677952130550,1677952130647,1677952130751,1677952130849,1677952131071,1677952131119,1677952131185,1677952131273,1677952131369,1677952131447,1677952131543,1677952131647,1677952131743,1677952131847,1677952131944,1677952132047,1677952132168,1677952132254,1677952132393,1677952132487,1677952132579,1677952132653,1677952132743,1677952132847,1677952132943,1677952133047,1677952133143,1677952133248,1677952133343,1677952133447,1677952133554,1677952133776,1677952133822,1677952133869,1677952133979,1677952134071,1677952134143,1677952134247,1677952134343,1677952134446,1677952134544,1677952134640,1677952134871,1677952134921,1677952134953,1677952135048,1677952135151,1677952135248,1677952135351,1677952135447,1677952135551,1677952135761,1677952135814,1677952135884,1677952135957,1677952136046,1677952136165,1677952136278,1677952136371,1677952136432,1677952136536,1677952136631,1677952136767,1677952136856,1677952136966,1677952137031,1677952137127,1677952137238,1677952137430,1677952137478,1677952137568,1677952137658,1677952137747,1677952137856,1677952137915,1677952138039,1677952138119,1677952138222,1677952138318,1677952138423,1677952138622,1677952138667,1677952138772,1677952138875,1677952138977,1677952139022,1677952139134,1677952139264,1677952139347,1677952139434,1677952139539,1677952139623,1677952139727,1677952139835,1677952140001,1677952140073,1677952140135,1677952140231,1677952140368,1677952140462,1677952140562,1677952140676,1677952140727,1677952140823,1677952140942,1677952141055,1677952141162,1677952141248,1677952141357,1677952141462,1677952141527,1677952141656,1677952141743,1677952141853,1677952141939,1677952142046,1677952142151,1677952142295,1677952142325,1677952142422,1677952142526,1677952142621,1677952142727,1677952142831,1677952142945,1677952143048,1677952143146,1677952143246,1677952143350,1677952143447,1677952143550,1677952143647,1677952143750,1677952143847,1677952143947,1677952144054,1677952144150,1677952144246,1677952144401,1677952144448,1677952144550,1677952144646,1677952144768,1677952144848,1677952144954,1677952145058,1677952145153,1677952145251,1677952145353,1677952145451,1677952145553,1677952145651,1677952145750,1677952145858,1677952145955,1677952146048,1677952146155,1677952146250,1677952146354,1677952146456,1677952146543,1677952146646,1677952146743,1677952146847,1677952146949,1677952147047,1677952147150,1677952147247,1677952147350,1677952147446,1677952147544,1677952147786,1677952147815,1677952147877,1677952147978,1677952148068,1677952148179,1677952148275,1677952148363,1677952148455,1677952148519,1677952148615,1677952148719,1677952148823,1677952148927,1677952149036,1677952149172,1677952149281,1677952149370,1677952149480,1677952149571,1677952149664,1677952149753,1677952149845,1677952149956,1677952150051,1677952150162,1677952150256,1677952150345,1677952150422,1677952150520,1677952150622,1677952150727,1677952150823,1677952150999,1677952151067,1677952151174,1677952151262,1677952151373,1677952151431,1677952151535,1677952151631,1677952151735,1677952151971,1677952152017,1677952152062,1677952152147,1677952152219,1677952152335,1677952152446,1677952152551,1677952152646,1677952152853,1677952152900,1677952152964,1677952153068,1677952153174,1677952153259,1677952153369,1677952153455,1677952153528,1677952153632,1677952153731,1677952153833,1677952153938,1677952154211,1677952154255,1677952154300,1677952154365,1677952154472,1677952154556,1677952154641,1677952154768,1677952154855,1677952154960,1677952155048,1677952155151,1677952155260,1677952155347,1677952155453,1677952155557,1677952155642,1677952155747,1677952155852,1677952155957,1677952156024,1677952156119,1677952156360,1677952156367,1677952156425,1677952156523,1677952156659,1677952156751,1677952156856,1677952156962,1677952157046,1677952157151,1677952157256,1677952157343,1677952157429,1677952157528,1677952157663,1677952157728,1677952157898,1677952157930,1677952158028,1677952158138,1677952158267,1677952158346,1677952158451,1677952158555,1677952158650,1677952158755,1677952158851,1677952158955,1677952159058,1677952159155,1677952159248,1677952159347,1677952159450,1677952159555,1677952159651,1677952159755,1677952159852,1677952159951,1677952160137,1677952160168,1677952160268,1677952160386,1677952160440,1677952160578,1677952160640,1677952160762,1677952160831,1677952160926,1677952161024,1677952161135,1677952161247,1677952161343,1677952161443,1677952161551,1677952161647,1677952161749,1677952161847</t>
  </si>
  <si>
    <t>0.624883987936306,0.624883987936306,0.624883987936306,0.624883987936306,0.624883987936306,0.624883987936306,0.624883987936306,0.624883987936306,0.624883987936306,-0.5665202206231864,-0.5176750847059113,-0.4701909595494653,-0.3602105606004356,-0.25346982586078076,-0.25346982586078076,0.7381184382579884,0.6305758380616068,-0.38157484693084487,-0.30603027058022664,-0.30603027058022664,-0.30603027058022664,-0.07957497258597339,0.2039917762721615,0.2039917762721615,0.2039917762721615,-0.3522314444423529,-0.026276903270169946,0.21849100236688684,0.21849100236688684,0.21849100236688684,0.5511543196989429,0.628471260037577,0.6939692541171409,0.7044225274844578,0.7044225274844578,0.7044225274844578,0.15265212782447926,0.3745726078337947,0.4494642090307533,0.47939608980779747,0.4857619573462282,0.5370211849832238,0.5994109675742483,0.6291960014756436,0.6353368069311485,0.6353368069311485,0.6353368069311485,0.6353368069311485,0.6353368069311485,0.7593771617331471,0.8113725344596598,0.8567001417591258,0.891460422684743,0.9046987440459037,0.9053835795302659,0.9053835795302659,0.9053835795302659,0.9100232003893233,0.9204613159515772,0.8858578034511403,0.8227935857975694,0.799411818760974,0.7686479054701371,0.8997540346286047,0.9303130934821922,0.8859480506666656,0.8392763736507816,0.814683923398169,0.7871765907824136,0.7654920642614372,0.7537019833928593,0.7537019833928593,0.7537019833928593,0.7537019833928593,0.7537019833928593,0.7537019833928593,0.7537019833928593,0.7537019833928593,0.7537019833928593,0.6105157141449071,0.5608723955374331,0.5090952387492899,0.40566211535386537,0.21380273194945928,-0.13406276219834326,-0.3609016657030312,-0.5536491107197484,0.689941166322415,0.7722007645177326,0.8179243800554171,0.8455776427999104,0.8311500582148154,0.7666454365965549,-0.6168379111791351,-0.3936223140692637,-0.14594604793789617,0.08846849337031087,0.17933543316804434,0.2057207255004902,0.23282135873799786,0.29867561116572666,0.43632803748294763,0.6241341473732626,0.7047843630949219,0.6802743814777586,0.5882826934200895,0.4261991631582338,0.2172900589171373,0.031538196445889004,-0.072307867301228,-0.08978282160137442,-0.08941542961586639,-0.04182428765600961,0.02933151444731113,0.07117136566694651,0.10427694429059216,0.11248980882224253,0.11579076414970661,0.11816496061454759,0.12574742125111782,0.12719082983827865,0.1763820959766927,0.2951801373687841,0.41697526278995495,0.44059740170102485,0.44059740170102485,0.44414873294222157,0.5744417819528789,0.7382570342876708,0.8303067096755531,0.8374837362923842,0.8374837362923842,0.8374837362923842,0.8374837362923842,0.9001608919075558,0.9217353749363241,0.9158737983618104,0.9158737983618104,0.9158737983618104,0.9158737983618104,0.7835451868012625,0.6434862005254294,0.4794400627399617,0.4794400627399617,0.4794400627399617,0.4347475778443485,0.08850552460409031,-0.40063899649139284,-0.40063899649139284,-0.40063899649139284,-0.40063899649139284,0.2086920814056434,0.21981507644199372,0.2255050301648219,0.20775356704391748,0.20775356704391748,0.20775356704391748,0.20775356704391748,0.20775356704391748,0.20775356704391748,0.14406602913127714,0.09708907218298743,-0.04419487554739816,-0.012777354767923245,-0.012777354767923245,-0.012777354767923245,-0.012777354767923245,-0.012777354767923245,-0.012777354767923245,0.12528555031842123,0.12528555031842123,0.12528555031842123,0.12528555031842123,0.12528555031842123,-0.22645525554144155,-0.2744273020471696,-0.2744273020471696,-0.2744273020471696,-0.2744273020471696,-0.2744273020471696,-0.2744273020471696,-0.2744273020471696,-0.2744273020471696,-0.2744273020471696,-0.2744273020471696,-0.2744273020471696,-0.2744273020471696,-0.2744273020471696,-0.2744273020471696,-0.2885405878190324,-0.29348969118505025,-0.2943241722140307,0.27924821378231945,0.254426450075688,0.16120753553927714,0.16120753553927714,0.16120753553927714,0.16120753553927714,0.16120753553927714,0.16120753553927714,0.16120753553927714,0.16120753553927714,0.1554513083421593,0.13993172858069614,0.09339803025944442,0.0467204341754312,0.02804049525167782,0.02804049525167782,0.02804049525167782,0.2596058094293333,0.2596058094293333,0.2596058094293333,0.2596058094293333,0.2596058094293333,0.2596058094293333,0.2596058094293333,0.2596058094293333,-0.3488102920043295,-0.3759013868819802,-0.39643173532432546,-0.4202108893084348,-0.42074081302359434,-0.42074081302359434,-0.42074081302359434,-0.42074081302359434,-0.28472133799115074,-0.28472133799115074,-0.28472133799115074,-0.28472133799115074,-0.28472133799115074,-0.28472133799115074,-0.28472133799115074,-0.28472133799115074,-0.22216975174809245,-0.18767390638378184,-0.11351782600564678,0.02476471509695223,0.07737561411753366,0.07737561411753366,0.07737561411753366,0.07737561411753366,0.07737561411753366,0.4843395694851928,0.4843395694851928,0.4843395694851928,0.4843395694851928,0.4843395694851928,0.4843395694851928,-0.3826031193811267,-0.3826031193811267,-0.3826031193811267,-0.3826031193811267,-0.3826031193811267,0.7896368836088159,0.7896368836088159,0.7896368836088159,0.7896368836088159,0.7896368836088159,0.9114860260723823,0.9114860260723823,0.9114860260723823,0.9114860260723823,0.9114860260723823,0.9114860260723823,0.6954541671339906,0.6954541671339906,0.6954541671339906,0.6954541671339906,0.6954541671339906,0.6954541671339906,0.6906098846833333,0.6906098846833333,0.6906098846833333,0.6906098846833333,0.6906098846833333,0.6906098846833333,-0.1630783483768014,-0.1630783483768014,-0.1630783483768014,-0.1630783483768014,-0.1630783483768014,0.005871089641190071,0.005871089641190071,0.005871089641190071,0.005871089641190071,0.005871089641190071,0.005871089641190071,0.005871089641190071,0.7678611120301595,0.7678611120301595,0.7678611120301595,0.7678611120301595,0.7678611120301595,0.7678611120301595,0.7678611120301595,0.7678611120301595,0.7678611120301595,0.7678611120301595,0.7678611120301595,0.47186823886789875,0.47186823886789875,0.47186823886789875,0.47186823886789875,0.47186823886789875,0.47186823886789875,0.47186823886789875,0.47186823886789875,0.47186823886789875,0.47186823886789875,0.47186823886789875,-0.12617801984557722,-0.18758607937107938,-0.2336832774864681,-0.2926401824814949,0.7307330914577954,0.7307330914577954,0.7307330914577954,0.7307330914577954,0.7307330914577954,0.7307330914577954,0.7307330914577954,0.7307330914577954,0.7307330914577954,0.7307330914577954,0.7673833353361202,0.834344685919932,0.8688484602453226,0.9656178529007728,0.5002583506642053,0.5002583506642053,0.5002583506642053,0.5002583506642053,0.5002583506642053,0.5002583506642053,0.5002583506642053,0.5002583506642053,0.5002583506642053,0.25512841161532934,0.1594453189587952,0.10968195529270106,0.03714208178097921,-0.4828382687034526,-0.4828382687034526,-0.4828382687034526,-0.4828382687034526,-0.4828382687034526,-0.4828382687034526,-0.4828382687034526,0.8290795920704118,0.9850881877357448,0.9653942749474982,0.9653942749474982,0.9653942749474982,0.9653942749474982,0.9653942749474982,0.9653942749474982,0.9653942749474982,0.8485032192339427,0.7692271492242423,0.6706995440816119,-0.5962614358477796,-0.5829249687279723,-0.5602140015754188,0.4672375809129314,0.3733481711574828,0.34545054005454395,0.34545054005454395,0.34545054005454395,0.10606056866922074,-0.2675593624906106,-0.5485190457811585,-0.5758185381346569,-0.5758185381346569,-0.5758185381346569,0.2311410890168533,0.23201993798804602,0.22435214160342865,0.18280859825527537,0.16420291417452884,0.24992454519132584,0.24992454519132584,0.10908814409505994,-0.011169551079470617,-0.011169551079470617,-0.011169551079470617,-0.011169551079470617,-0.3646878215858312,-0.46154738886584334,-0.588222122843704,-0.6321151050562728,-0.6523034451701285,-0.6523034451701285,-0.6523034451701285,-0.6676397695071364,-0.7055909532722161,-0.6445662791860087,-0.4979485004024916,-0.49216421063362126,-0.49216421063362126,-0.678707107435132,-0.5813143145748352,-0.5575228052589315,-0.5577306090649637,-0.5577306090649637,-0.5370794886664269,-0.48411036632922244,-0.4500243210692543,-0.4252388771210535,-0.4242698997562236,-0.4242698997562236,-0.4242698997562236,-0.325647471778013,-0.06000909678944294,0.035236219966080375,0.10151525753298256,0.07873863910035724,0.024559589919561642,-0.0685234559121157,-0.13456228599997663,-0.23677230616530867,-0.28416366943637644,-0.3228935276012861,-0.3889702630297198,-0.41440083243450077,-0.41440083243450077,-0.41440083243450077,-0.41440083243450077,-0.41440083243450077,-0.41440083243450077,-0.41440083243450077,-0.07411867098770834,-0.07411867098770834,-0.07411867098770834,-0.07411867098770834,-0.07411867098770834,-0.07411867098770834,-0.07411867098770834,-0.07411867098770834,-0.07411867098770834,-0.4097140882138726,-0.4097140882138726,-0.4097140882138726,-0.4097140882138726,-0.4097140882138726,-0.4097140882138726,-0.4097140882138726,-0.4097140882138726,-0.4097140882138726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-0.094975008661217,-0.094975008661217,-0.094975008661217,-0.094975008661217,-0.094975008661217,-0.094975008661217,-0.094975008661217,-0.045465883021688754,-0.038364270646441566,-0.027477579338367464,-0.023439341866853234,-0.01558401500703835,0.009438861766419159,0.05571452908179662,0.08672843305707818,0.09294868850244667,0.09294868850244667,0.09294868850244667,0.09294868850244667,0.09294868850244667,0.09294868850244667,0.09294868850244667,-0.11176453234216673,-0.14833929465710538,-0.17481166304182222,-0.19175655013103896,-0.20072632134237267,-0.2083411192844464,-0.22573926062339664,-0.23467361395276493,-0.18837349738373163,-0.0917053346464846,0.01448194174854863,0.09656548532862048,-0.14764544340408728,-0.16089429289693874,-0.16089429289693874,-0.16089429289693874,-0.16089429289693874,-0.16089429289693874,0.024401110411700844,0.1062924825203908,0.23730568921192136,0.37719886986784873,0.4580554526279104,0.4580554526279104,0.4580554526279104,0.4580554526279104,0.4580554526279104,0.5854717147460055,0.6206389715200838,0.6559361069435029,0.7036779731215553,0.725002914431174,0.725002914431174,0.725002914431174,0.725002914431174,0.725002914431174,0.7954195434328659,0.8093933291935024,0.8111397691033776,0.7894968232045462,0.7615192445090142,0.7556769115973668,0.7615867478207452,0.7602473190013251,0.7620528259745339,0.7620528259745339,0.7620528259745339,0.7620528259745339,0.7620528259745339,0.6300742333033944,0.6083885742997679,0.5988577796675335,0.5800392590281905,0.5310153421514243,0.49077264000618903,0.41370354962627026,0.2737641168264787,0.21560977128577655,0.25827331785957053,0.3448599659098482,0.4537177465211402,0.513190540992127,0.5483622553319638,0.5537851446659983,-0.5326000354962019,-0.5009206392930712,-0.48242529560338554,-0.48054241898673383,-0.47858507679420154,-0.47858507679420154,-0.47858507679420154,-0.4493080328398519,-0.4493080328398519,-0.4493080328398519,-0.4493080328398519,-0.45273841836417617,-0.45402195188323535,-0.48208126087982994,-0.5075012917635359,-0.5229818022300111,-0.5076694617295615,-0.44301209662967084,-0.4091083317102922,-0.396709109020028,-0.396709109020028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-0.47715995997541705,-0.4871709929058949,-0.51237703360595,-0.5264392476507834,-0.5264392476507834,-0.5231087866974287,-0.5214314428734053,-0.5214314428734053,-0.5214314428734053,-0.5214314428734053,-0.5214314428734053,-0.5214314428734053,-0.5214314428734053,-0.5214314428734053,-0.5214314428734053,-0.5214314428734053,-0.5214314428734053,-0.5214314428734053,-0.5214314428734053</t>
  </si>
  <si>
    <t>-0.03659230559987375,-0.03659230559987375,-0.03659230559987375,-0.03659230559987375,-0.03659230559987375,-0.03659230559987375,-0.03659230559987375,-0.03659230559987375,-0.03659230559987375,-0.19752957611580704,-0.3230212259044609,-0.3731687566467736,-0.40724479158566107,-0.39160294925592126,-0.39160294925592126,0.14017460247556832,0.27211276103763476,-0.401057533354067,-0.41417008722535403,-0.41417008722535403,-0.41417008722535403,-0.48501166460490347,-0.4136113798646048,-0.4136113798646048,-0.4136113798646048,-0.4977729898697461,-0.49997500905965575,-0.4135803858051188,-0.4135803858051188,-0.4135803858051188,-0.3607430712057607,-0.34031314451789835,-0.3033912825561189,-0.288243034552977,-0.288243034552977,-0.288243034552977,-0.3152672492208425,-0.30442299178194976,-0.28289596082007296,-0.2657919593138721,-0.2642226243010828,-0.24389216998101626,-0.21460084896518922,-0.19108556332749477,-0.1823655975789355,-0.1823655975789355,-0.1823655975789355,-0.1823655975789355,-0.1823655975789355,-0.1253099434736255,-0.09157903352125266,-0.052587162187275105,-0.009640605208147662,0.01698841195712494,0.09231591530364003,0.09231591530364003,0.09231591530364003,0.10301357241075124,0.1778547866885724,0.24371804327355784,0.28909125391698265,0.2673662836501818,0.2023806361075829,0.25517218892740867,0.2991874396077703,0.3473865374835025,0.35078629749195156,0.3478803284641192,0.3401401664631097,0.32883834332017514,0.3184759501979212,0.3184759501979212,0.3184759501979212,0.3184759501979212,0.3184759501979212,0.3184759501979212,0.3184759501979212,0.3184759501979212,0.3184759501979212,0.3204993149144181,0.31804373925761514,0.3081595217049303,0.2850397170472618,0.26595304620695775,0.23608595182918127,0.16619059469702616,0.08345781616148222,0.004684001644887166,0.1009266813172415,0.17461942914558495,0.21982504802594796,0.2424280637422851,0.22915200097380364,-0.07732010963031324,0.32925861158801867,0.5606692734890146,0.4827843929882596,0.23229495535692554,0.007289603487058642,-0.0895214670490705,-0.1268873981232651,-0.11782409993684707,-0.0025830371156025335,0.13208214552693068,0.2944351065919079,0.3748338707199087,0.40557599230217173,0.4531668532280207,0.5195210843527815,0.5775374415203325,0.6182678559777165,0.6599885311724756,0.7332725849043553,0.7910974110832834,0.8038904815560382,0.7992489178832731,0.797689436450359,0.7976763200816748,0.7529133012690349,0.6680637088998528,0.4029079329656026,-0.012502797674839009,-0.2506743913229395,-0.3261050364112303,-0.3383147438562181,-0.3383147438562181,-0.3437761047824889,-0.4423886320834114,-0.3798071382880324,-0.2623629379410368,-0.17650372132191294,-0.17650372132191294,-0.17650372132191294,-0.17650372132191294,-0.10414756291377845,-0.036954934005193986,-0.019948048886612543,-0.019948048886612543,-0.019948048886612543,-0.019948048886612543,-0.0878722996645196,-0.0729515138059084,-0.009599909024305516,-0.009599909024305516,-0.009599909024305516,-0.0015881215776382134,0.13748097860208242,0.3747299568349775,0.3747299568349775,0.3747299568349775,0.3747299568349775,0.05439138650218802,-0.13791468258180348,-0.2700292993362901,-0.3518606940685007,-0.3518606940685007,-0.3518606940685007,-0.3518606940685007,-0.3518606940685007,-0.3518606940685007,-0.6114826819412781,-0.7453081080024117,0.8846860172138985,0.9612665940265259,0.9612665940265259,0.9612665940265259,0.9612665940265259,0.9612665940265259,0.9612665940265259,0.8456017945118658,0.8456017945118658,0.8456017945118658,0.8456017945118658,0.8456017945118658,0.9477273969944308,0.9015201734390988,0.9015201734390988,0.9015201734390988,0.9015201734390988,0.9015201734390988,0.9015201734390988,0.9015201734390988,0.9015201734390988,0.9015201734390988,0.9015201734390988,0.9015201734390988,0.9015201734390988,0.9015201734390988,0.9015201734390988,0.8730060519544836,0.8580258204117479,0.8016689285237055,-0.716132945959099,-0.6215939616022802,-0.2659857017936611,-0.2659857017936611,-0.2659857017936611,-0.2659857017936611,-0.2659857017936611,-0.2659857017936611,-0.2659857017936611,-0.2659857017936611,-0.11972276152397786,-0.030695180225385033,0.09329772511928336,0.2732792696664734,0.3182786105479822,0.3182786105479822,0.3182786105479822,-0.42641012439924564,-0.42641012439924564,-0.42641012439924564,-0.42641012439924564,-0.42641012439924564,-0.42641012439924564,-0.42641012439924564,-0.42641012439924564,0.7094609175644362,0.7754128850843668,0.8273968039778907,0.9027242309432602,0.9053736196170709,0.9053736196170709,0.9053736196170709,0.9053736196170709,0.6763052584673019,0.6763052584673019,0.6763052584673019,0.6763052584673019,0.6763052584673019,0.6763052584673019,0.6763052584673019,0.6763052584673019,0.5268087206741716,0.4439202064002866,0.3112851160060186,0.0992018514390757,0.02618830516697843,0.02618830516697843,0.02618830516697843,0.02618830516697843,0.02618830516697843,0.6343399360129862,0.6343399360129862,0.6343399360129862,0.6343399360129862,0.6343399360129862,0.6343399360129862,-0.20310355099662403,-0.20310355099662403,-0.20310355099662403,-0.20310355099662403,-0.20310355099662403,0.35405373927352196,0.35405373927352196,0.35405373927352196,0.35405373927352196,0.35405373927352196,0.32427001154436114,0.32427001154436114,0.32427001154436114,0.32427001154436114,0.32427001154436114,0.32427001154436114,0.16393743062047242,0.16393743062047242,0.16393743062047242,0.16393743062047242,0.16393743062047242,0.16393743062047242,0.19979957399435422,0.19979957399435422,0.19979957399435422,0.19979957399435422,0.19979957399435422,0.19979957399435422,-0.14821074777346213,-0.14821074777346213,-0.14821074777346213,-0.14821074777346213,-0.14821074777346213,-0.12565669056585158,-0.12565669056585158,-0.12565669056585158,-0.12565669056585158,-0.12565669056585158,-0.12565669056585158,-0.12565669056585158,0.2986604258824628,0.2986604258824628,0.2986604258824628,0.2986604258824628,0.2986604258824628,0.2986604258824628,0.2986604258824628,0.2986604258824628,0.2986604258824628,0.2986604258824628,0.2986604258824628,0.034843787913794846,0.034843787913794846,0.034843787913794846,0.034843787913794846,0.034843787913794846,0.034843787913794846,0.034843787913794846,0.034843787913794846,0.034843787913794846,0.034843787913794846,0.034843787913794846,-0.08514954948149667,-0.10549981553410484,-0.11967717004147368,-0.13391413570840768,0.168052787590617,0.168052787590617,0.168052787590617,0.168052787590617,0.168052787590617,0.168052787590617,0.168052787590617,0.168052787590617,0.168052787590617,0.168052787590617,0.17510401539398027,0.1792630373321874,0.18023433324203272,0.17267944670997995,0.015567454031985511,0.015567454031985511,0.015567454031985511,0.015567454031985511,0.015567454031985511,0.015567454031985511,0.015567454031985511,0.015567454031985511,0.015567454031985511,-0.014066855245573308,-0.021643899112787236,-0.023906918313045932,-0.03012237715296436,-0.08834495533607774,-0.08834495533607774,-0.08834495533607774,-0.08834495533607774,-0.08834495533607774,-0.08834495533607774,-0.08834495533607774,0.159092117730287,0.1646612574825824,0.1506729830502809,0.1506729830502809,0.1506729830502809,0.1506729830502809,0.1506729830502809,0.1506729830502809,0.1506729830502809,0.10684605641472995,0.09011917682832642,0.07131746737630815,-0.05435826910626006,-0.04960103547970486,-0.008453193898686684,-0.1651165672636397,-0.1879604160830678,-0.1851415440728098,-0.1851415440728098,-0.1851415440728098,-0.13450120022837303,-0.06064487869830647,0.03284600274932637,0.05206772078875372,0.05206772078875372,0.05206772078875372,-0.07362207432852844,-0.1874091174624438,-0.2924150511296957,-0.3388510415879516,-0.3757460184131282,-0.46776642206455044,-0.46776642206455044,-0.33408873084741164,-0.22372752393219417,-0.22372752393219417,-0.22372752393219417,-0.22372752393219417,-0.13831361485926666,-0.07998478021441818,0.04875013324573435,0.1166211585640615,0.19291798430497625,0.19291798430497625,0.19291798430497625,0.13446343220569504,-0.024972052313376288,-0.2007737605904908,-0.32150129635334174,-0.32558524746937895,-0.32558524746937895,0.24453078910039985,0.1436809505822429,0.11964711745071462,0.11642718292138637,0.11642718292138637,0.06645308586497119,-0.10399625599983085,-0.296688380652153,-0.4112969670216634,-0.4143089730408636,-0.4143089730408636,-0.4143089730408636,-0.42010311869972766,-0.4038388040504998,-0.38058016557038576,-0.34195453096067596,-0.2947429738264198,-0.2261906744272327,-0.1804617815098265,-0.17581780817914497,-0.2542973368600964,-0.34986428953347903,-0.3982952565640057,-0.4033694210969615,-0.38404535317903554,-0.38404535317903554,-0.38404535317903554,-0.38404535317903554,-0.38404535317903554,-0.38404535317903554,-0.38404535317903554,-0.4298150473429072,-0.4298150473429072,-0.4298150473429072,-0.4298150473429072,-0.4298150473429072,-0.4298150473429072,-0.4298150473429072,-0.4298150473429072,-0.4298150473429072,0.20599210762863823,0.20599210762863823,0.20599210762863823,0.20599210762863823,0.20599210762863823,0.20599210762863823,0.20599210762863823,0.20599210762863823,0.20599210762863823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0.11872123045171087,0.11872123045171087,0.11872123045171087,0.11872123045171087,0.11872123045171087,0.11872123045171087,0.11872123045171087,-0.19422943625060307,-0.2725309717130833,-0.3754446209794791,-0.47289314004085553,-0.5388860905492764,-0.5747932419467736,-0.5949404682932903,-0.6029510659017014,-0.6031966485094905,-0.6031966485094905,-0.6031966485094905,-0.6031966485094905,-0.6031966485094905,-0.6031966485094905,-0.6031966485094905,0.6669418568155329,0.7565595333220938,0.827463323772379,0.9058770766303195,0.9503531533205276,0.9677831469852755,0.9540894524902137,0.8990316495152371,0.8245493879887058,0.76102770766506,0.6715126154007686,0.5998184287810528,-0.5568954187046827,-0.5472461349832953,-0.5472461349832953,-0.5472461349832953,-0.5472461349832953,-0.5472461349832953,-0.3483812758183952,-0.2564466258542884,-0.11379829954000766,0.04711216425673788,0.1382117280976384,0.1382117280976384,0.1382117280976384,0.1382117280976384,0.1382117280976384,0.3749854845309732,0.4303989133586936,0.4847795648788588,0.5427606925138952,0.5629679414543194,0.5629679414543194,0.5629679414543194,0.5629679414543194,0.5629679414543194,0.5394132808710277,0.511058377569237,0.4593689358270624,0.3850260512961626,0.3261739950147932,0.2900268960990642,0.25415146439205866,0.23397312757485672,0.2324276780097094,0.2324276780097094,0.2324276780097094,0.2324276780097094,0.2324276780097094,0.18235140289462484,0.18964904532720972,0.20186399451379977,0.2368378420381767,0.30565710742782937,0.35904586428087953,0.4355423453176225,0.5046596199327766,0.5257718499948552,0.5740872053660462,0.6284062010926135,0.641054583858615,0.6119181716734335,0.5564689970672251,0.4613799270207942,-0.3728520250945079,-0.31640195187699793,-0.29230396459060065,-0.2715090946640352,-0.2624529134827582,-0.2624529134827582,-0.2624529134827582,-0.2827435417436027,-0.2827435417436027,-0.2827435417436027,-0.2827435417436027,-0.30116183352797893,-0.32213885282565213,-0.33821624343784207,-0.32921235158339274,-0.3057230470097755,-0.2886294667805799,-0.2742821033853898,-0.26410601339644196,-0.2640984405803058,-0.2640984405803058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-0.2763747322982895,-0.27887486689787655,-0.28711381863898594,-0.2884589865787485,-0.2884589865787485,-0.2937860175298468,-0.2964427577101115,-0.2964427577101115,-0.2964427577101115,-0.2964427577101115,-0.2964427577101115,-0.2964427577101115,-0.2964427577101115,-0.2964427577101115,-0.2964427577101115,-0.2964427577101115,-0.2964427577101115,-0.2964427577101115,-0.2964427577101115</t>
  </si>
  <si>
    <t>-0.699006863382204,-0.699006863382204,-0.699006863382204,-0.699006863382204,-0.699006863382204,-0.699006863382204,-0.699006863382204,-0.699006863382204,-0.699006863382204,0.6179875278177114,0.5427957725004979,0.5088218755164513,0.47496319182348695,0.46228228807682453,0.46228228807682453,-0.5550379182937406,-0.5004111810700417,0.4026882534487414,0.3769643138711576,0.3769643138711576,0.3769643138711576,0.25378997092040523,0.10015900377157579,0.10015900377157579,0.10015900377157579,0.33998421026887676,0.16701955317552447,0.029454017886299318,0.029454017886299318,0.029454017886299318,-0.13910634060470414,-0.1798979177411201,-0.23178732267292898,-0.24976005080827932,-0.24976005080827932,-0.24976005080827932,-0.08139701277413289,-0.15220408674664945,-0.1824493309934393,-0.19877223202634206,-0.20085360506620217,-0.22186537099164297,-0.24824966341682458,-0.26735208514847775,-0.2744962000841305,-0.2744962000841305,-0.2744962000841305,-0.2744962000841305,-0.2744962000841305,-0.3047995949924903,-0.31909568182876596,-0.33377512748395655,-0.3475949366647518,-0.3579338813632797,-0.40925500938359105,-0.40925500938359105,-0.40925500938359105,-0.3994405555792895,-0.32071924284199926,-0.2417777288769842,-0.1741146236166211,-0.21058511183536385,-0.3101627544472368,-0.14913612618123512,0.003018561773162511,0.29704638979319997,0.4131362947692078,0.46272448258646093,0.5135238555183166,0.551900917601926,0.573177004687101,0.573177004687101,0.573177004687101,0.573177004687101,0.573177004687101,0.573177004687101,0.573177004687101,0.573177004687101,0.573177004687101,0.7237880361366447,0.7629028210699631,0.8010885377336256,0.8632961427929087,0.9272081361061782,0.9290717078420232,0.8665431611948251,0.7570980812119612,-0.6275414576419539,-0.4922153421910659,-0.3745765111357165,-0.28622168984668417,-0.2542226994271181,-0.29532606617098917,0.48436750906423365,0.7197288098214913,0.7766324787686526,0.8662331926914192,0.9556888237811043,0.9782542118100254,0.9673383228517753,0.9447832765870867,0.8918075227496164,0.7783202412490948,0.6755153153747042,0.5847333730956565,0.5535155267165345,0.5476148808386174,0.4877308889292033,0.3852056727173636,0.30875502161336843,0.28868039947082913,0.28099737995794033,0.3034257146618921,0.34364450043920125,0.3752162739662357,0.41026382948374,0.4188325293725911,0.4215103528822061,0.46982337191497076,0.5488821299739487,0.7086936683715643,0.8123254242660618,0.7803776824359845,0.7125876503263604,0.6966978052933193,0.6966978052933193,0.6940192271051325,0.5714220065276217,0.349508985971472,0.1033112253796968,-0.042176077853412,-0.042176077853412,-0.042176077853412,-0.042176077853412,-0.16726029311419813,-0.2825316983096761,-0.3192939076503462,-0.3192939076503462,-0.3192939076503462,-0.3192939076503462,-0.11069445238601425,-0.13270151944988995,-0.18854046475554992,-0.18854046475554992,-0.18854046475554992,-0.1971469475617032,-0.27869222231880886,-0.30466407303816534,-0.30466407303816534,-0.30466407303816534,-0.30466407303816534,0.03921040680024967,0.08042943326960293,0.10699772716818362,0.12941633284562695,0.12941633284562695,0.12941633284562695,0.12941633284562695,0.12941633284562695,0.12941633284562695,0.1939524735687969,0.22249328519941786,-0.22737740173519314,-0.18549352262512575,-0.18549352262512575,-0.18549352262512575,-0.18549352262512575,-0.18549352262512575,-0.18549352262512575,-0.19254685876128172,-0.19254685876128172,-0.19254685876128172,-0.19254685876128172,-0.19254685876128172,-0.17942582469743698,-0.027773529463001687,-0.027773529463001687,-0.027773529463001687,-0.027773529463001687,-0.027773529463001687,-0.027773529463001687,-0.027773529463001687,-0.027773529463001687,-0.027773529463001687,-0.027773529463001687,-0.027773529463001687,-0.027773529463001687,-0.027773529463001687,-0.027773529463001687,0.029242960237907015,0.053108128642544924,0.10768985016440508,-0.15639244922608012,-0.19417864088882567,-0.29282319346300884,-0.29282319346300884,-0.29282319346300884,-0.29282319346300884,-0.29282319346300884,-0.29282319346300884,-0.29282319346300884,-0.29282319346300884,-0.32564314445005865,-0.34020294944348384,-0.355802955886096,-0.36487443891100346,-0.3667831590547759,-0.3667831590547759,-0.3667831590547759,-0.2646112371169921,-0.2646112371169921,-0.2646112371169921,-0.2646112371169921,-0.2646112371169921,-0.2646112371169921,-0.2646112371169921,-0.2646112371169921,0.14516762679558998,0.11411843916844308,0.08289274309987983,0.0022946282535050776,-0.005466678932933321,-0.005466678932933321,-0.005466678932933321,-0.005466678932933321,-0.4132501158820619,-0.4132501158820619,-0.4132501158820619,-0.4132501158820619,-0.4132501158820619,-0.4132501158820619,-0.4132501158820619,-0.4132501158820619,-0.4995597966180546,-0.5341172784109846,-0.5682011164733995,-0.5844012594808061,-0.5797854237013209,-0.5797854237013209,-0.5797854237013209,-0.5797854237013209,-0.5797854237013209,0.24573158434838813,0.24573158434838813,0.24573158434838813,0.24573158434838813,0.24573158434838813,0.24573158434838813,-0.4242205664222288,-0.4242205664222288,-0.4242205664222288,-0.4242205664222288,-0.4242205664222288,0.2065899274326006,0.2065899274326006,0.2065899274326006,0.2065899274326006,0.2065899274326006,0.0442491753286359,0.0442491753286359,0.0442491753286359,0.0442491753286359,0.0442491753286359,0.0442491753286359,-0.488441930577075,-0.488441930577075,-0.488441930577075,-0.488441930577075,-0.488441930577075,-0.488441930577075,-0.438700442775949,-0.438700442775949,-0.438700442775949,-0.438700442775949,-0.438700442775949,-0.438700442775949,-0.5666279688153925,-0.5666279688153925,-0.5666279688153925,-0.5666279688153925,-0.5666279688153925,-0.5687021327033942,-0.5687021327033942,-0.5687021327033942,-0.5687021327033942,-0.5687021327033942,-0.5687021327033942,-0.5687021327033942,0.23422666372468642,0.23422666372468642,0.23422666372468642,0.23422666372468642,0.23422666372468642,0.23422666372468642,0.23422666372468642,0.23422666372468642,0.23422666372468642,0.23422666372468642,0.23422666372468642,-0.5392648369896951,-0.5392648369896951,-0.5392648369896951,-0.5392648369896951,-0.5392648369896951,-0.5392648369896951,-0.5392648369896951,-0.5392648369896951,-0.5392648369896951,-0.5392648369896951,-0.5392648369896951,-0.5774796142306785,-0.5683204443912755,-0.5596801933011535,-0.5458738497957891,0.3347432207904982,0.3347432207904982,0.3347432207904982,0.3347432207904982,0.3347432207904982,0.3347432207904982,0.3347432207904982,0.3347432207904982,0.3347432207904982,0.3347432207904982,0.3104831993005185,0.25096100160018275,0.21289771018384382,0.043187010237496964,-0.5837033929158358,-0.5837033929158358,-0.5837033929158358,-0.5837033929158358,-0.5837033929158358,-0.5837033929158358,-0.5837033929158358,-0.5837033929158358,-0.5837033929158358,-0.6405876886701154,-0.6514042236839224,-0.654760962616652,-0.6563412898560265,-0.5583166528596888,-0.5583166528596888,-0.5583166528596888,-0.5583166528596888,-0.5583166528596888,-0.5583166528596888,-0.5583166528596888,0.34481622371097,-0.018969385155745318,-0.18541390560213264,-0.18541390560213264,-0.18541390560213264,-0.18541390560213264,-0.18541390560213264,-0.18541390560213264,-0.18541390560213264,-0.3884739589185287,-0.46642045919356484,-0.5381900350514731,0.5782663670103768,0.5837309284609048,0.5764976147009286,-0.5137111545044032,-0.5105273601710327,-0.5131771313164395,-0.5131771313164395,-0.5131771313164395,-0.525314079667448,-0.4757893465492057,-0.3688281435492135,-0.3497905040964291,-0.3497905040964291,-0.3497905040964291,-0.2782521460006696,-0.24768614917467155,-0.21461348083629858,-0.18854743500924048,-0.17328763040378428,-0.18006912878214051,-0.18006912878214051,-0.16150743279396357,-0.13816756293769913,-0.13816756293769913,-0.13816756293769913,-0.13816756293769913,-0.03695106715312451,0.002516350389730537,0.0831444335651603,0.12606734813849677,0.17942922165306838,0.17942922165306838,0.17942922165306838,0.12428476268062583,-0.037307012598311595,-0.22082288382723023,-0.3786071833924392,-0.3837659313681713,-0.3837659313681713,0.11125085915039404,0.06565552174168343,0.054011637103727674,0.05182183939651112,0.05182183939651112,0.022118260661600882,-0.08045565342442615,-0.18745379377070354,-0.24591374568619054,-0.24758175436293953,-0.24758175436293953,-0.24758175436293953,-0.31137921660478735,-0.4497679005043972,-0.49053381413915836,-0.5201465894812924,-0.5278925047412245,-0.5305609543391588,-0.5185598313635471,-0.5051852604345913,-0.4808086905228503,-0.46838581448386046,-0.45009886547416406,-0.4083970656248112,-0.38796866161988686,-0.38796866161988686,-0.38796866161988686,-0.38796866161988686,-0.38796866161988686,-0.38796866161988686,-0.38796866161988686,-0.5745172830630768,-0.5745172830630768,-0.5745172830630768,-0.5745172830630768,-0.5745172830630768,-0.5745172830630768,-0.5745172830630768,-0.5745172830630768,-0.5745172830630768,0.7145495494643752,0.7145495494643752,0.7145495494643752,0.7145495494643752,0.7145495494643752,0.7145495494643752,0.7145495494643752,0.7145495494643752,0.7145495494643752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0.9722978667525342,0.9722978667525342,0.9722978667525342,0.9722978667525342,0.9722978667525342,0.9722978667525342,0.9722978667525342,0.9678304401742661,0.9503142350849947,0.9168443065730884,0.8723278471077304,0.8350073498379103,0.8132766475778427,0.799845847204955,0.7923362705879643,0.7916306765755449,0.7916306765755449,0.7916306765755449,0.7916306765755449,0.7916306765755449,0.7916306765755449,0.7916306765755449,-0.7364179613511725,-0.6368713573038495,-0.5333300681529878,-0.37742003870503327,-0.23769355801876957,-0.1391718071516109,-0.10284817843748004,-0.08140263295347745,-0.17015072130630082,-0.3176520940184566,-0.4611846782101364,-0.5507349644792954,0.5975501001133132,0.6078016020348981,0.6078016020348981,0.6078016020348981,0.6078016020348981,0.6078016020348981,0.635278744183844,0.6267985363422433,0.5899649934751868,0.5205869181893306,0.4665106300182292,0.4665106300182292,0.4665106300182292,0.4665106300182292,0.4665106300182292,0.29186537200283874,0.2411993018698993,0.18704710487139248,0.12475848079067714,0.10216927046912334,0.10216927046912334,0.10216927046912334,0.10216927046912334,0.10216927046912334,0.20674561271441086,0.272949186186733,0.36081910167366615,0.44534088136516187,0.49008579429310534,0.49046145196140295,0.46953636888162403,0.46126251471133056,0.45827348161414466,0.45827348161414466,0.45827348161414466,0.45827348161414466,0.45827348161414466,0.5612150882364031,0.5803356658932763,0.5914038385706919,0.6148481193693653,0.6622610798813545,0.6920648767656145,0.7337215752912546,0.7893565058920466,0.8034799633271172,0.755048991251922,0.6649185318201796,0.5546928061817702,0.49618061721569207,0.4623572660276827,0.44961109333655885,-0.44741580367417483,-0.45505809492457916,-0.4599807855960937,-0.45497596941395213,-0.45327388158382975,-0.45327388158382975,-0.45327388158382975,-0.4758108800793878,-0.4758108800793878,-0.4758108800793878,-0.4758108800793878,-0.4783096569312554,-0.48228490024344234,-0.4674071015716807,-0.4470692822010848,-0.4288572475378026,-0.43287478534989604,-0.4670037478825047,-0.48264153718261876,-0.48893994944491986,-0.48893994944491986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-0.4485014651043898,-0.4433372493784654,-0.4305951510907537,-0.42198449837120816,-0.42198449837120816,-0.42610608492799906,-0.4281570374473386,-0.4281570374473386,-0.4281570374473386,-0.4281570374473386,-0.4281570374473386,-0.4281570374473386,-0.4281570374473386,-0.4281570374473386,-0.4281570374473386,-0.4281570374473386,-0.4281570374473386,-0.4281570374473386,-0.4281570374473386</t>
  </si>
  <si>
    <t>-0.34578954544097623,-0.34578954544097623,-0.34578954544097623,-0.34578954544097623,-0.34578954544097623,-0.34578954544097623,-0.34578954544097623,-0.34578954544097623,-0.34578954544097623,0.5080633047626241,0.5770983829863797,0.6170622655912247,0.6919609802374097,0.7541188657251757,0.7541188657251757,-0.35702263398915685,-0.5271787245265719,0.728968903084388,0.7698743523484746,0.7698743523484746,0.7698743523484746,0.8330799238940655,0.8816355004327534,0.8816355004327534,0.8816355004327534,0.7159370062163539,0.8493756433565631,0.8833716133045909,0.8833716133045909,0.8833716133045909,0.7394205694040429,0.6759050067631763,0.6104384007065476,0.5986023494978493,0.5986023494978493,0.5986023494978493,0.9331015034554545,0.8624708224124079,0.8274442831829181,0.8124183794181129,0.8086281932597451,0.7764667497426437,0.7300856608566945,0.7043589722447186,0.6983851134707715,0.6983851134707715,0.6983851134707715,0.6983851134707715,0.6983851134707715,0.5610177815338474,0.48110896560140687,0.38973532269483996,0.29048775107220387,0.23046672851662675,0.06533515893491125,0.06533515893491125,0.06533515893491125,0.041148769250811644,-0.13512145632543865,-0.31209132840679177,-0.4572975616837751,-0.49508577546284727,-0.5215568437848015,-0.3210735850785559,-0.21212098519798064,-0.07862625137944967,-0.043388294133919,-0.03399169368175717,-0.030837183662373834,-0.03595303416065837,-0.044435466388047545,-0.044435466388047545,-0.044435466388047545,-0.044435466388047545,-0.044435466388047545,-0.044435466388047545,-0.044435466388047545,-0.044435466388047545,-0.044435466388047545,0.026108057510674854,0.04743017443174937,0.06416308734149684,0.09439479705539346,0.1544099781837079,0.2512296973452091,0.3020490419013188,0.3366154342063857,-0.3607644190921093,-0.3889008115037153,-0.40025017274352953,-0.3933859968512409,-0.4310325205082138,-0.5220408505427013,0.6155653565153139,0.4675902916815388,0.24736958135200687,0.09344844272311217,0.023167395754433946,-0.02538782890478831,-0.045129712995858697,-0.04557442016806764,-0.020363387428013063,0.06831907540256006,0.17179163851626078,0.329577936608991,0.45502044313113266,0.5949624610640876,0.7138230967232214,0.7620497193649596,0.7522582087269135,0.7254981255464246,0.6909851605672738,0.6070377919632947,0.5051861100183229,0.45596872494020585,0.4266275616614212,0.41906672288073776,0.4154924905840079,0.44544876479520296,0.4864225265085148,0.5650141367864074,0.5557521402209196,0.4909599869578585,0.46044106685963027,0.4539044302529762,0.4539044302529762,0.4504300225504427,0.38442922340284663,0.4342425103043463,0.48071118914921124,0.5154499066467725,0.5154499066467725,0.5154499066467725,0.5154499066467725,0.38844259314172247,0.2630856721562676,0.2425462045823406,0.2425462045823406,0.2425462045823406,0.2425462045823406,0.6050472191516978,0.7503291898243477,0.8570283315832602,0.8570283315832602,0.8570283315832602,0.8787064939417647,0.9463595499894166,0.7786177859133582,0.7786177859133582,0.7786177859133582,0.7786177859133582,0.975680140328534,0.9623886838284677,0.9299371727440284,0.9034843220238802,0.9034843220238802,0.9034843220238802,0.9034843220238802,0.9034843220238802,0.9034843220238802,0.7534695394856995,0.6209559358357742,-0.40457011889376027,-0.2034586628234291,-0.2034586628234291,-0.2034586628234291,-0.2034586628234291,-0.2034586628234291,-0.2034586628234291,0.48185770013654927,0.48185770013654927,0.48185770013654927,0.48185770013654927,0.48185770013654927,-0.135414813279288,-0.3334361465627495,-0.3334361465627495,-0.3334361465627495,-0.3334361465627495,-0.3334361465627495,-0.3334361465627495,-0.3334361465627495,-0.3334361465627495,-0.3334361465627495,-0.3334361465627495,-0.3334361465627495,-0.3334361465627495,-0.3334361465627495,-0.3334361465627495,-0.3921091834022967,-0.4181327771736348,-0.509021715510985,0.6202543354434477,0.7149704775891337,0.9041671937738122,0.9041671937738122,0.9041671937738122,0.9041671937738122,0.9041671937738122,0.9041671937738122,0.9041671937738122,0.9041671937738122,0.9249096677948936,0.9293755271349157,0.9251900340005494,0.8888207274981816,0.8737176723218342,0.8737176723218342,0.8737176723218342,0.8250818884885149,0.8250818884885149,0.8250818884885149,0.8250818884885149,0.8250818884885149,0.8250818884885149,0.8250818884885149,0.8250818884885149,-0.5949142348028138,-0.4943783842636117,-0.3890825119897983,-0.09223072186473735,-0.05697273540186643,-0.05697273540186643,-0.05697273540186643,-0.05697273540186643,0.5392302836316463,0.5392302836316463,0.5392302836316463,0.5392302836316463,0.5392302836316463,0.5392302836316463,0.5392302836316463,0.5392302836316463,0.6508096364012752,0.6945733137077899,0.7532348710531477,0.8049974344521058,0.810663955949624,0.810663955949624,0.810663955949624,0.810663955949624,0.810663955949624,-0.5501309075697969,-0.5501309075697969,-0.5501309075697969,-0.5501309075697969,-0.5501309075697969,-0.5501309075697969,0.7952362615203077,0.7952362615203077,0.7952362615203077,0.7952362615203077,0.7952362615203077,-0.4565524544172171,-0.4565524544172171,-0.4565524544172171,-0.4565524544172171,-0.4565524544172171,-0.2491670009662809,-0.2491670009662809,-0.2491670009662809,-0.2491670009662809,-0.2491670009662809,-0.2491670009662809,0.5008917055728352,0.5008917055728352,0.5008917055728352,0.5008917055728352,0.5008917055728352,0.5008917055728352,0.5391475112782518,0.5391475112782518,0.5391475112782518,0.5391475112782518,0.5391475112782518,0.5391475112782518,0.7939595528055995,0.7939595528055995,0.7939595528055995,0.7939595528055995,0.7939595528055995,0.8128676464720889,0.8128676464720889,0.8128676464720889,0.8128676464720889,0.8128676464720889,0.8128676464720889,0.8128676464720889,-0.5160708600995733,-0.5160708600995733,-0.5160708600995733,-0.5160708600995733,-0.5160708600995733,-0.5160708600995733,-0.5160708600995733,-0.5160708600995733,-0.5160708600995733,-0.5160708600995733,-0.5160708600995733,0.6966489152923453,0.6966489152923453,0.6966489152923453,0.6966489152923453,0.6966489152923453,0.6966489152923453,0.6966489152923453,0.6966489152923453,0.6966489152923453,0.6966489152923453,0.6966489152923453,0.8020884967875633,0.794161900518628,0.786020090087034,0.7735958039983094,-0.5707314480264405,-0.5707314480264405,-0.5707314480264405,-0.5707314480264405,-0.5707314480264405,-0.5707314480264405,-0.5707314480264405,-0.5707314480264405,-0.5707314480264405,-0.5707314480264405,-0.532974280236325,-0.45689417177223857,-0.4090140624093581,-0.18946992634711562,0.6393665506297848,0.6393665506297848,0.6393665506297848,0.6393665506297848,0.6393665506297848,0.6393665506297848,0.6393665506297848,0.6393665506297848,0.6393665506297848,0.7241263911047687,0.741472365810128,0.7474532826693967,0.7529470229609488,0.6688384635184131,0.6688384635184131,0.6688384635184131,0.6688384635184131,0.6688384635184131,0.6688384635184131,0.6688384635184131,-0.4103882307695442,-0.04613128108531675,0.10456208532104948,0.10456208532104948,0.10456208532104948,0.10456208532104948,0.10456208532104948,0.10456208532104948,0.10456208532104948,0.34309501660679975,0.42734070963318366,0.5053982851049655,-0.5541890358759681,-0.5630243522894928,-0.5947598811250695,0.7003759075920974,0.7514278671942087,0.7635677867276667,0.7635677867276667,0.7635677867276667,0.8334900722947028,0.8356785769310855,0.7496757946237544,0.7371353789069517,0.7371353789069517,0.7371353789069517,0.9293703946143798,0.9217896411736203,0.9044891421537897,0.9034438846824611,0.8954461065705256,0.8284367235700483,0.8284367235700483,0.9221712671141749,0.9647439871363324,0.9647439871363324,0.9647439871363324,0.9647439871363324,0.9200580173922658,0.8834987893290445,0.8029353410287131,0.7556037473889327,0.7106954489567647,0.7106954489567647,0.7106954489567647,0.7216162562867746,0.7071958640112725,0.7038902348895603,0.7108732714581926,0.7102762464863981,0.7102762464863981,0.6835090356661486,0.7981972216031561,0.8197167998518267,0.8201803312385483,0.8201803312385483,0.8406190533042514,0.8650715691679219,0.8211669686690576,0.7678106094514405,0.7661895339439431,0.7661895339439431,0.7661895339439431,0.7877246201877521,0.7943689094630043,0.783130719332991,0.7760214408729019,0.7926262104741535,0.8165412904904786,0.8329668557033758,0.8341276533919583,0.8050433172300264,0.7599083607067221,0.7311030500077811,0.720560255212245,0.7281905206606686,0.7281905206606686,0.7281905206606686,0.7281905206606686,0.7281905206606686,0.7281905206606686,0.7281905206606686,0.6926004180986681,0.6926004180986681,0.6926004180986681,0.6926004180986681,0.6926004180986681,0.6926004180986681,0.6926004180986681,0.6926004180986681,0.6926004180986681,-0.5283186149228931,-0.5283186149228931,-0.5283186149228931,-0.5283186149228931,-0.5283186149228931,-0.5283186149228931,-0.5283186149228931,-0.5283186149228931,-0.5283186149228931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-0.17754400997584693,-0.17754400997584693,-0.17754400997584693,-0.17754400997584693,-0.17754400997584693,-0.17754400997584693,-0.17754400997584693,-0.15333629266066173,-0.1454575772853011,-0.13297682773998765,-0.12192949813535367,-0.11009834515307447,-0.09002628174825276,-0.05646548631810361,-0.03363666657414742,-0.028900111368926652,-0.028900111368926652,-0.028900111368926652,-0.028900111368926652,-0.028900111368926652,-0.028900111368926652,-0.028900111368926652,0.019642686607635608,-0.002828505972785329,-0.01744616519602013,-0.013048444406831247,-0.00629288252429152,-0.024919199841374258,-0.16786111834554554,-0.36061613861903136,-0.5056505357357153,-0.5581434465521639,-0.5798014947419698,-0.5723495072399948,0.5576757064121717,0.5524598689704522,0.5524598689704522,0.5524598689704522,0.5524598689704522,0.5524598689704522,0.6888076579554119,0.7280526293385823,0.7633329963805306,0.7645199259401929,0.7439425734652497,0.7439425734652497,0.7439425734652497,0.7439425734652497,0.7439425734652497,0.6568282593258962,0.609415243645595,0.5474942717900296,0.44122948935466416,0.38340489189992877,0.38340489189992877,0.38340489189992877,0.38340489189992877,0.38340489189992877,0.18329570089979366,0.09591931574691712,-0.029017781504428963,-0.173554617795418,-0.2711362746860039,-0.32293090430882987,-0.3673258185707211,-0.3930871176295591,-0.39400289461943017,-0.39400289461943017,-0.39400289461943017,-0.39400289461943017,-0.39400289461943017,-0.5047693048564913,-0.5070572917927311,-0.5008610457746271,-0.478982342756682,-0.4312849419502584,-0.3889402132867523,-0.31749785576278566,-0.21745846259325197,-0.1774720733268613,-0.18335701439068217,-0.2099061608983904,-0.27478194586949484,-0.3405824641867249,-0.41936481824497607,-0.5275418857666618,0.6141153541436335,0.6647484097177356,0.6857418634799851,0.6988266325240673,0.7047109909375809,0.7047109909375809,0.7047109909375809,0.7012719783550058,0.7012719783550058,0.7012719783550058,0.7012719783550058,0.6896008603891629,0.6763814764653756,0.6593466705638747,0.65893150124689,0.6701529036702044,0.6867198619098294,0.7144348182066449,0.72796671160092,0.7306241320544945,0.7306241320544945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0.7034072900834344,0.698817083074899,0.6852906291762899,0.6793984212001348,0.6793984212001348,0.6771119387303897,0.675953025785445,0.675953025785445,0.675953025785445,0.675953025785445,0.675953025785445,0.675953025785445,0.675953025785445,0.675953025785445,0.675953025785445,0.675953025785445,0.675953025785445,0.675953025785445,0.675953025785445</t>
  </si>
  <si>
    <t>teste@blabla.com</t>
  </si>
  <si>
    <t>Rodrigo A Consoli</t>
  </si>
  <si>
    <t>27.110934800342054,27.110934800342118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</si>
  <si>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</t>
  </si>
  <si>
    <t>1678751782304,1678751782404,1678751782515,1678751782608,1678751782703,1678751782814,1678751782910,1678751783004,1678751783100,1678751783210,1678751783302,1678751783412,1678751783507,1678751783600,1678751783709,1678751783804,1678751783899,1678751784009,1678751784100,1678751784210,1678751784303,1678751784413,1678751784507,1678751784600,1678751784709,1678751784817,1678751784903,1678751785014,1678751785104,1678751785198,1678751785307,1678751785395,1678751785495,1678751785594,1678751785699,1678751785810,1678751785906,1678751786004,1678751786108,1678751786204,1678751786313,1678751786408,1678751786503,1678751786611,1678751786706,1678751786798,1678751786915,1678751787007,1678751787138,1678751787217,1678751787305,1678751787405,1678751787497,1678751787607,1678751787706,1678751787796,1678751787893,1678751788002,1678751788096,1678751788197,1678751788305,1678751788397,1678751788509,1678751788601,1678751788712,1678751788806,1678751788899,1678751789007,1678751789102,1678751789222,1678751789308,1678751789408,1678751789497,1678751789608,1678751789699,1678751789809,1678751789904,1678751789997,1678751790111,1678751790200,1678751790332,1678751790411,1678751790503,1678751790608,1678751790704,1678751790797,1678751790910,1678751791001,1678751791100,1678751791203,1678751791297,1678751791409,1678751791517,1678751791599,1678751791711,1678751791804,1678751791913,1678751792009,1678751792105,1678751792199,1678751792310,1678751792405,1678751792501,1678751792599,1678751792707,1678751792803,1678751792897,1678751793013,1678751793104,1678751793201,1678751793314,1678751793401,1678751793513,1678751793611,1678751793702,1678751793801,1678751793911,1678751794004,1678751794101,1678751794212,1678751794302,1678751794398,1678751794512,1678751794604,1678751794696,1678751794812,1678751794900,1678751795002,1678751795111,1678751795202,1678751795302,1678751795411,1678751795502,1678751795612,1678751795712,1678751795799,1678751795910,1678751796005,1678751796099,1678751796210,1678751796305,1678751796400,1678751796494,1678751796606,1678751796700,1678751796809,1678751796904,1678751796999,1678751797108,1678751797205,1678751797299,1678751797408,1678751797505,1678751797599,1678751797709,1678751797805,1678751797900,1678751797997,1678751798106,1678751798202,1678751798309,1678751798403,1678751798497,1678751798606,1678751798701,1678751798798,1678751798910,1678751799006,1678751799102,1678751799198,1678751799306,1678751799400,1678751799509,1678751799603,1678751799712,1678751799807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</si>
  <si>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-0.592839763797263,-0.48280902787607677,-0.4001156845307275,-0.37221772871297554,-0.37019787506626056,-0.37019787506626056,-0.37713895418111654,0.6450619916963419,0.7590831805131931,0.7824449485202843,0.7824449485202843,-0.60948008384934,-0.43481529016730464,-0.19735566034313265,-0.13679669759240554,-0.12254790084809682,-0.22960243698152658,-0.2794540011370746,-0.2794540011370746,0.039903608115191995,0.4130585685540941,0.4938007490882244,0.49211010678696143,0.48658445556028407,0.20856730615132688,-0.3121342106953184,-0.2548351092243499,-0.13924504044941255,-0.13278775957212552,-0.11571734427270332,-0.11092622036896749,-0.11092622036896749,-0.11092622036896749,-0.11092622036896749,0.0448337288830091,0.44389433677334217,0.5274376409774437,0.5497766025561243,0.5685658772652176,0.584504105566205,0.5875515551959258,0.5875515551959258,0.5933522885028102,0.5933522885028102,0.5946884089522639,0.6317151529615136,0.43326792142571746,-0.22285583476034834,0.15972776241587958,0.5665519868420311,0.590608529158946,0.8927292655104104,0.8927292655104104,0.8019076159536078,0.72450823486358,0.7108161293347672,0.6795865653765791,0.7225353076960611,0.8994092560794928,0.9014677086853489,0.9014677086853489,0.9870452975565337,0.9699441701924595,0.9774527133195494,0.9774206744992954,0.9774206744992954,0.9774206744992954,0.9654665258833083,0.8172519415387028,0.82211685767746,0.8232989350241113,0.8350571057209024,0.8368544782474068,0.8368544782474068,0.8265647962023216,0.3596305079275383,0.35304856831141285,0.24890723961869154,-0.3511508301565614,-0.3577696810091999,-0.4448264489228566,-0.5574965769694367,-0.5016924515339211,-0.4302924660074067,-0.4302924660074067,-0.4023277957788339,-0.2593787890290841,-0.2185781226209681,-0.16146481876794821,-0.12636854208462595,-0.11164264241875492,-0.11038623207693857,-0.27360759565819504,-0.4440200726671518,-0.5171462914643409,-0.4999193236250344,-0.489333552111271,-0.5068129963751015,-0.5083380151893948,-0.5083380151893948,-0.4828029202722981,-0.4785051847099585,-0.46922386833195073,-0.4734708396355928,-0.5522155521188231,-0.5857425564494203,-0.5207024565154755,-0.4594845192189132,-0.41301734197424184,-0.43506249098588795,-0.4367965000258038,-0.4367965000258038,-0.4402442836430329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</si>
  <si>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-0.03659230559987375,0.021244454557129224,-0.07975438516680891,-0.1175446578269609,-0.12049307440360126,-0.1234908979422179,-0.1234908979422179,-0.13254045828694705,0.2659669877071982,0.17231519894837108,0.10596894173486095,0.10596894173486095,-0.2014120780624182,-0.2474442126959559,-0.13603723109087382,-0.06441276437454219,-0.04256427734222947,-0.11872347807929798,-0.15258887148832306,-0.15258887148832306,-0.19294098329221948,-0.20516032047639574,0.07451804195706453,0.09365686275066536,0.03998264879251916,-0.2856837697291904,-0.31174065053466915,-0.037177118247621425,0.047768555235038,0.053580996310312774,0.05020312791311676,0.04748002364784989,0.04748002364784989,0.04748002364784989,0.04748002364784989,0.012947874531721366,-0.09565522509649227,-0.10580021713718345,-0.11357197346734596,-0.12211244479917245,-0.1475494143105582,-0.14683944827114423,-0.14683944827114423,-0.15831654586026792,-0.15831654586026792,-0.16436033551966872,-0.27779420253594406,-0.3750112477605129,-0.16285046583881863,-0.006976712675866033,-0.013777906111106021,-0.022575147687812935,-0.18025051861714905,-0.18025051861714905,-0.13569368226213074,-0.09501913639754656,-0.08623577730211152,0.09450306037854433,0.17551788004078056,0.16750000518653715,0.16836111597507897,0.16836111597507897,0.11850291156753315,0.09489652565546348,0.08579219358438371,0.0646120187636644,0.0646120187636644,0.0646120187636644,0.06468218394896137,0.008874624884516718,-0.00708480660137101,-0.008978231300503934,0.0010837687407759858,0.002272845166204353,0.002272845166204353,0.005868687951019243,-0.16248389605244515,-0.1654624040919048,-0.1671162738467,-0.3509141970428652,-0.35249374023386887,-0.31205329510246976,-0.2298479843714727,-0.17570527706985317,-0.06095703504224563,-0.06095703504224563,-0.1141213996645509,-0.3994347332894618,-0.5632912512808946,-0.6527857965225851,-0.6393130184936352,-0.4528517501089809,-0.24266825042587598,-0.1185871737009419,-0.04463351593556953,-0.2131485809987959,-0.3370623794980232,-0.39790617347851814,-0.3066834768006022,-0.26231202196601683,-0.26231202196601683,-0.27298891536451136,-0.2747195087093701,-0.19947142706011942,-0.11383980106626154,-0.08364373440053768,-0.16633210050833955,-0.31069457974114345,-0.35832846280157254,-0.35830579913350113,-0.29327760158268407,-0.2904192185208221,-0.2904192185208221,-0.28468906067591904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</si>
  <si>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-0.699006863382204,0.7168337547767868,0.741685957617254,0.7568657648418604,0.7636280682124498,0.7631490062016292,0.7631490062016292,0.7582361114456158,-0.5931569398295597,-0.5843740242749536,-0.5972826559492919,-0.5972826559492919,0.7018908223464304,0.7532011946117976,0.8348844983726129,0.8528065043737798,0.8564767702381592,0.8318737638694189,0.8153431041734849,0.8153431041734849,0.8145213119364376,0.6871110814132565,0.5605243875978033,0.5514291916155067,0.5788021782748624,0.7502798922916212,0.830645671089798,0.9261374879320734,0.9533212723778259,0.95419054132862,0.9565539617378827,0.9571867184427212,0.9571867184427212,0.9571867184427212,0.9571867184427212,0.9638385540619063,0.8634241557433017,0.8159840966422872,0.8015761504384805,0.7887358209227983,0.777176366070949,0.7748750372736523,0.7748750372736523,0.770148844523428,0.770148844523428,0.7688816888974269,0.7197733063953091,0.8129634297983065,0.9041738681916685,0.9314305600868078,0.7747696313119159,0.7565915018572184,0.3294548751574208,0.3294548751574208,0.46918893770654485,0.5726289903611472,0.5895392889915875,0.6866401220179523,0.6497062331114613,0.3723919638556976,0.3681941160060049,0.3681941160060049,-0.06288167046355067,-0.2240147034737106,-0.18931915605473162,-0.14313720118408896,-0.14313720118408896,-0.14313720118408896,-0.1836301451864301,-0.3249609724814265,-0.3026285318766014,-0.2993977614669361,-0.30279874056169664,-0.30279214985742875,-0.30279214985742875,-0.3159049927737075,-0.3798774082273267,-0.37858955953647216,-0.37525274145647336,-0.20249380283563112,-0.19973151220829433,-0.1432839985191417,-0.04741726006249152,-0.0282042682695344,0.020605875381964726,0.020605875381964726,-0.007385830240921154,-0.14256157499816244,-0.1932399029684809,-0.24381947294629447,-0.27762221480367183,-0.30821279595965817,-0.3147695294252853,-0.2655425028668831,-0.21547860340967714,-0.28101383341063274,-0.34688796690043355,-0.3749235526177323,-0.3285006871202654,-0.3080653790696287,-0.3080653790696287,-0.32579003852573324,-0.3287411640378668,-0.30148835165544247,-0.2623816644606378,-0.22655866143322448,-0.269071242586949,-0.3811841343571892,-0.43782702530277323,-0.4689239153464814,-0.44241716844825546,-0.4407052751735857,-0.4407052751735857,-0.437261126468213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</si>
  <si>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-0.34578954544097623,0.36638648395374657,0.45873371461164597,0.5032344447861209,0.5136219961125532,0.5150797275716792,0.5150797275716792,0.5150507115382824,-0.40164839480662556,-0.22936258854933994,-0.140726382831517,-0.140726382831517,0.3087336646811143,0.42707725937511787,0.4954921689237522,0.4998587054470646,0.4996176901736664,0.4910941841140293,0.4835676995242186,0.4835676995242186,0.5456523723278077,0.5614002348103978,0.6606211414501508,0.6670696226722486,0.6531653648402594,0.5585378641963049,0.3397319096252364,0.2755835307711326,0.26364281798092043,0.26271067466169695,0.2628567299229227,0.2631246986238821,0.2631246986238821,0.2631246986238821,0.2631246986238821,0.26236907402247023,0.2197876770232127,0.21162656487488446,0.20572498431839364,0.199291743000158,0.18050212445734498,0.18108015636294764,0.18108015636294764,0.17245199423195662,0.17245199423195662,0.16778654547944458,0.07545020846222307,-0.1036143529011022,-0.32601321870234384,-0.32691815356481624,-0.28028741303407934,-0.27971633364717274,-0.24900541013098207,-0.24900541013098207,-0.3440830434699554,-0.3716923737865698,-0.3738278316630951,-0.24032605887402805,-0.15817083667560702,-0.15598385684659163,-0.15311302284184547,-0.15311302284184547,-0.08800304563628777,-0.004513175796090276,0.03720416502157291,0.1413713327722762,0.1413713327722762,0.1413713327722762,0.1731201093380446,0.47583702193955346,0.4821718049950356,0.4821402652542765,0.45933797833903744,0.4560551834995685,0.4560551834995685,0.4657899008366213,0.8366349478774393,0.839433646368411,0.8770990349501001,0.8441259269844051,0.8413419884193936,0.8271770470236324,0.7963159386800543,0.8465440679226736,0.9003932648992127,0.9003932648992127,0.9083248870277632,0.8676697153743602,0.7730361637353238,0.6988217804067042,0.7058581740006017,0.8291357459570287,0.9109594630654441,0.9168223083034972,0.8685752677785034,0.7798452545696082,0.7184277003381059,0.6794524866231225,0.7356447038647773,0.7601845747343793,0.7601845747343793,0.7656626169939644,0.7664797628164722,0.8056952804815728,0.8330796635753523,0.7979554389959489,0.7462170973096853,0.697879993704204,0.6846767012677931,0.6936454361934178,0.7273073122204163,0.7284533996853421,0.7284533996853421,0.7307118561586644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</t>
  </si>
  <si>
    <t>27.110934800342118,27.110934800342058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</si>
  <si>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</t>
  </si>
  <si>
    <t>1678817934946,1678817935059,1678817935154,1678817935245,1678817935351,1678817935446,1678817935538,1678817935648,1678817935811,1678817935842,1678817935948,1678817936039,1678817936172,1678817936299,1678817936336,1678817936439,1678817936547,1678817936650,1678817936743,1678817936860,1678817936954,1678817937042,1678817937150,1678817937271,1678817937344,1678817937449,1678817937540,1678817937644,1678817937746,1678817937839,1678817937949,1678817938042,1678817938153,1678817938247,1678817938341,1678817938468,1678817938545,1678817938650,1678817938751,1678817938837,1678817938955,1678817939045,1678817939149,1678817939241,1678817939337,1678817939445,1678817939539,1678817939655,1678817939748,1678817939853,1678817939955,1678817940044,1678817940154,1678817940246,1678817940338,1678817940446,1678817940545,1678817940655,1678817940775,1678817940845,1678817940957,1678817941046,1678817941165,1678817941244,1678817941355,1678817941447,1678817941541,1678817941634,1678817941745,1678817941839,1678817941950,1678817942045,1678817942141,1678817942250,1678817942344,1678817942440,1678817942546,1678817942642,1678817942747,1678817942840,1678817942950,1678817943043,1678817943151,1678817943244,1678817943354,1678817943449,1678817943543,1678817943654,1678817943748,1678817943839,1678817943948,1678817944044,1678817944152,1678817944245,1678817944341,1678817944450,1678817944544,1678817944638,1678817944746,1678817944855,1678817944949,1678817945044,1678817945152,1678817945243,1678817945353,1678817945449,1678817945541,1678817945650,1678817945743,1678817945852,1678817945944,1678817946053,1678817946147,1678817946240,1678817946349,1678817946441,1678817946551,1678817946644,1678817946753,1678817946846,1678817946940,1678817947050,1678817947142,1678817947251,1678817947344,1678817947438,1678817947547,1678817947640,1678817947748,1678817947841,1678817947950,1678817948042,1678817948153,1678817948249,1678817948341,1678817948451,1678817948543,1678817948638,1678817948748,1678817948840,1678817948949,1678817949042,1678817949151,1678817949245,1678817949352,1678817949444,1678817949553,1678817949647,1678817949742,1678817949852,1678817949945,1678817950053,1678817950148,1678817950240,1678817950350,1678817950441,1678817950550,1678817950641,1678817950750,1678817950844,1678817950939,1678817951048,1678817951138,1678817951246,1678817951339,1678817951449,1678817951544,1678817951650,1678817951745,1678817951854,1678817951949,1678817952042,1678817952153,1678817952248,1678817952340,1678817952449,1678817952543,1678817952649,1678817952745,1678817952851,1678817952945,1678817953038,1678817953147,1678817953242,1678817953353,1678817953447,1678817953555,1678817953649,1678817953743,1678817953851,1678817953943,1678817954052,1678817954144,1678817954238,1678817954347,1678817954443,1678817954550,1678817954645,1678817954752,1678817954845,1678817954953,1678817955046,1678817955153,1678817955247,1678817955339,1678817955449,1678817955542,1678817955650,1678817955743,1678817955853,1678817955946,1678817956041,1678817956151,1678817956245,1678817956353,1678817956448,1678817956542,1678817956649,1678817956743,1678817956852,1678817956944,1678817957039,1678817957147,1678817957240,1678817957349,1678817957443,1678817957551,1678817957646,1678817957755,1678817957849,1678817957944,1678817958050,1678817958145,1678817958238,1678817958348,1678817958443,1678817958551,1678817958643,1678817958752,1678817958847,1678817958952,1678817959045,1678817959151,1678817959246,1678817959341,1678817959449,1678817959542,1678817959651,1678817959745,1678817959853,1678817959948,1678817960041,1678817960151,1678817960247,1678817960340,1678817960450,1678817960542,1678817960650,1678817960741,1678817960849,1678817960944,1678817961053,1678817961148,1678817961242,1678817961351,1678817961443,1678817961552,1678817961645,1678817961739,1678817961847,1678817961940,1678817962051,1678817962143,1678817962253,1678817962347,1678817962441,1678817962535,1678817962645,1678817962753,1678817962845,1678817962939,1678817963048,1678817963140,1678817963248,1678817963343,1678817963452,1678817963545,1678817963651,1678817963743,1678817963851</t>
  </si>
  <si>
    <t>0.624883987936306,0.624883987936306,0.624883987936306,0.624883987936306,0.624883987936306,0.624883987936306,0.624883987936306,0.624883987936306,-0.15761624836052052,-0.01957875445533378,-0.005890057168667711,-0.005890057168667711,0.3568214982094749,0.2702109441740382,0.2702109441740382,0.2702109441740382,-0.23656885493170146,0.051896906377337924,0.051896906377337924,0.07537002165211487,0.17347640720688104,0.19028194672170742,0.19028194672170742,0.2048754026298581,0.2210694506870535,0.22176201367823112,0.22176201367823112,-0.23082742071805443,-0.3016306619583281,-0.3016306619583281,-0.3016306619583281,-0.2916391666543567,0.00970332879555798,0.149216628577988,0.149216628577988,0.9195649799423501,0.9254038131126047,0.9254038131126047,0.8992268557996543,0.8992268557996543,0.85834381786813,-0.5010876221232715,-0.498639558774253,-0.498639558774253,0.26882469613503973,0.2900411596903563,0.2818157708006478,0.27438556697653865,-0.4594716168025345,-0.47342098602964633,-0.5310619938600334,0.824851173048024,0.8055487293613021,0.707396410795333,0.6036942492030853,0.6005226326948733,0.6215480679008129,0.6838760622153002,0.801602633493846,-0.730649155665533,-0.6206157270059598,-0.5508974724437822,-0.5387445055429618,-0.546629833080275,-0.5302022080196153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,-0.5193787062495596</t>
  </si>
  <si>
    <t>-0.03659230559987375,-0.03659230559987375,-0.03659230559987375,-0.03659230559987375,-0.03659230559987375,-0.03659230559987375,-0.03659230559987375,-0.03659230559987375,-0.1853278031140425,-0.21239076445084926,-0.1482664997725718,-0.1482664997725718,-0.34153522880287135,-0.6026003240766276,-0.6026003240766276,-0.6026003240766276,0.756444443389947,0.8257010366558754,0.8257010366558754,0.9398322872654152,0.9417449186048072,0.9324037959537405,0.9324037959537405,0.958891718844435,0.907715151326286,0.879471448880663,0.879471448880663,-0.5153393292937937,-0.4509022100112309,-0.4509022100112309,-0.4509022100112309,-0.4478284460583962,-0.08548668841147528,0.00246916062007192,0.00246916062007192,0.17488217386452837,0.17642400728895827,0.17642400728895827,0.24602545408840243,0.24602545408840243,0.16554731939724027,0.06432894921900865,0.06198086640217205,0.06198086640217205,-0.15164880538786374,-0.2705547985208138,-0.2775804825510938,-0.274408592010715,-0.21281816182709015,-0.2096884164014346,-0.15111732090799718,-0.05578689085126464,-0.017409365491256754,0.16670974052007811,0.20828389343957415,0.2682058325741286,0.3493320004866223,0.3920816492943261,0.27764425996132586,-0.19090086925357136,-0.23449161977273703,-0.3515792690378598,-0.34279682838704895,-0.253650491798723,-0.269627689814616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,-0.28158180634436464</t>
  </si>
  <si>
    <t>-0.699006863382204,-0.699006863382204,-0.699006863382204,-0.699006863382204,-0.699006863382204,-0.699006863382204,-0.699006863382204,-0.699006863382204,0.7929867400303475,0.7799715989560223,0.7863870159028107,0.7863870159028107,0.6601226710742742,0.6712938070473244,0.6712938070473244,0.6712938070473244,-0.5786634531857853,-0.41480370947129963,-0.41480370947129963,-0.2231871866134594,0.2634159089054563,0.2997010300509227,0.2997010300509227,0.19571284163097608,-0.22210252340624004,-0.2762961053336253,-0.2762961053336253,0.6401787093441136,0.6854506146004679,0.6854506146004679,0.6854506146004679,0.6871655579954317,0.7923621115374015,0.7794661357316269,0.7794661357316269,0.26665560626450185,0.25355829166705424,0.25355829166705424,-0.36163579282240577,-0.36163579282240577,-0.4593483190473106,0.6224119491448639,0.6243749113384373,0.6243749113384373,-0.6415215319815695,-0.5979661129976104,-0.5947372924265056,-0.5958376689966358,-0.4626911390120149,-0.4546734692464647,-0.40318179851890873,0.14068293611464677,0.2015827803387381,0.44792726966975216,0.5538461992334242,0.5731752888902001,0.5697401861976603,0.5007319012469996,0.2523244082385343,-0.2208943716516499,-0.31645395040092905,-0.4233600607522054,-0.43063786775353435,-0.3904041099657877,-0.4072392529221798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,-0.41862619128510903</t>
  </si>
  <si>
    <t>-0.34578954544097623,-0.34578954544097623,-0.34578954544097623,-0.34578954544097623,-0.34578954544097623,-0.34578954544097623,-0.34578954544097623,-0.34578954544097623,0.5585541636956253,0.5883461059376084,0.5996480746998295,0.5996480746998295,0.5659241689801572,0.33648702752294546,0.33648702752294546,0.33648702752294546,-0.19229037648275368,0.3787642958130084,0.3787642958130084,0.2474310234816694,0.11676687612559235,0.06778815994897908,0.06778815994897908,0.015786847359320937,-0.27901966081658536,-0.31782391676932253,-0.31782391676932253,0.5208793503587734,0.485657899881603,0.485657899881603,0.485657899881603,0.49213796366354523,0.6039537695177627,0.608408451822668,0.608408451822668,0.22958933027419354,0.2195689983937664,0.2195689983937664,-0.009060413841128151,-0.009060413841128151,0.157604242190241,-0.5978096242190439,-0.5980576332733932,-0.5980576332733932,0.7022720602276279,0.6965003620884654,0.6998689163207115,0.7031286919691979,0.7276751838761351,0.7246898470222688,0.7297815778313759,-0.5447170610662101,-0.5569134055564532,-0.5207296241772774,-0.5342522445507029,-0.488782453858637,-0.40870683008268255,-0.35756548335808286,-0.46548821241072325,0.6171825872593096,0.6780167379385753,0.6274314714753666,0.6378053927741103,0.6960185949518273,0.6930676145772076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,0.689717012839686</t>
  </si>
  <si>
    <t>Tabela de dados "crús"</t>
  </si>
  <si>
    <t>Tabela com precisão alterada</t>
  </si>
  <si>
    <t>precision</t>
  </si>
  <si>
    <t>decimals (&lt;=12)</t>
  </si>
  <si>
    <t>Limit per cell (chars)</t>
  </si>
  <si>
    <t>char/array cell</t>
  </si>
  <si>
    <t>Max rows</t>
  </si>
  <si>
    <t>Max minutes @10Hz</t>
  </si>
  <si>
    <t>source &gt;</t>
  </si>
  <si>
    <t>X</t>
  </si>
  <si>
    <t>func</t>
  </si>
  <si>
    <t>O tempo de sistema (numeros inteiros) tem 13 caracteres+1 da vírgula.</t>
  </si>
  <si>
    <t>O tamanho mínimo (char/array cell) que vale a pena deixar é 14 mesmo</t>
  </si>
  <si>
    <t>&lt;---</t>
  </si>
  <si>
    <t xml:space="preserve">5~6 decimals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</si>
</sst>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.0000000000000000"/>
    <numFmt numFmtId="166" formatCode="#,##0.0000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nsolas"/>
    </font>
    <font>
      <color rgb="FF000000"/>
      <name val="Roboto"/>
    </font>
    <font>
      <color rgb="FF000000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shrinkToFit="0" wrapText="0"/>
    </xf>
    <xf borderId="0" fillId="0" fontId="2" numFmtId="49" xfId="0" applyAlignment="1" applyFont="1" applyNumberFormat="1">
      <alignment readingOrder="0" shrinkToFit="0" wrapText="0"/>
    </xf>
    <xf borderId="0" fillId="2" fontId="3" numFmtId="49" xfId="0" applyAlignment="1" applyFill="1" applyFont="1" applyNumberFormat="1">
      <alignment readingOrder="0"/>
    </xf>
    <xf borderId="0" fillId="2" fontId="4" numFmtId="49" xfId="0" applyAlignment="1" applyFont="1" applyNumberFormat="1">
      <alignment horizontal="left" readingOrder="0"/>
    </xf>
    <xf borderId="0" fillId="0" fontId="5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wrapText="0"/>
    </xf>
    <xf borderId="0" fillId="3" fontId="1" numFmtId="0" xfId="0" applyFill="1" applyFont="1"/>
    <xf borderId="0" fillId="3" fontId="1" numFmtId="1" xfId="0" applyAlignment="1" applyFont="1" applyNumberFormat="1">
      <alignment readingOrder="0"/>
    </xf>
    <xf borderId="0" fillId="3" fontId="1" numFmtId="1" xfId="0" applyFont="1" applyNumberFormat="1"/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Font="1"/>
    <xf borderId="0" fillId="3" fontId="1" numFmtId="2" xfId="0" applyFont="1" applyNumberFormat="1"/>
    <xf borderId="0" fillId="3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3" fontId="1" numFmtId="165" xfId="0" applyFont="1" applyNumberFormat="1"/>
    <xf borderId="0" fillId="3" fontId="1" numFmtId="165" xfId="0" applyAlignment="1" applyFont="1" applyNumberFormat="1">
      <alignment readingOrder="0"/>
    </xf>
    <xf borderId="0" fillId="3" fontId="1" numFmtId="166" xfId="0" applyFont="1" applyNumberFormat="1"/>
    <xf borderId="0" fillId="5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'teste guilherme'!$F$3:$F$1615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'teste guilherme'!$G$3:$G$1615</c:f>
              <c:numCache/>
            </c:numRef>
          </c:val>
        </c:ser>
        <c:axId val="1776285618"/>
        <c:axId val="2031839495"/>
      </c:barChart>
      <c:catAx>
        <c:axId val="1776285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1839495"/>
      </c:catAx>
      <c:valAx>
        <c:axId val="2031839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285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'teste guilherme'!$F$3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'teste guilherme'!$F$4:$F$2115</c:f>
              <c:numCache/>
            </c:numRef>
          </c:val>
          <c:smooth val="0"/>
        </c:ser>
        <c:axId val="864139395"/>
        <c:axId val="1078996818"/>
      </c:lineChart>
      <c:catAx>
        <c:axId val="864139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8996818"/>
      </c:catAx>
      <c:valAx>
        <c:axId val="1078996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-0.5746852080779224,-0.5395705243641246,-0.5136494253154001,-0.4948274700361382,-0.45905350862992983,-0.2975798594352975,-0.2892632464131889,-0.27811217884420913,-0.24631564845894233,-0.2261818817706783,-0.23121821817470628,-0.26109367224652574,-0.3015964639124578,-0.38186181583269824,-0.4458941392477519,-0.48667421760820384,-0.5630103623625272,0.6207949185458823,0.6952373352375905,0.7228212309758408,0.7792781347461591,0.7817032449486379,0.7852504534389243,0.7852504534389243,0.7852504534389243,0.7465190601188243,-0.700006554389585,-0.6317266650128885,-0.5519307452143347,-0.4376858193203458,-0.3059342919239519,-0.17003450152050398,-0.01818066985902079,0.016539348995721223,0.09795941822053336,0.10119516945496874,0.12439499705351867,0.1330285256674348,0.015243123192212426,-0.08670447954435463,-0.37917162049178754,-0.4268835701334706,-0.4766336830148724,-0.5077206962631484,-0.5165634304931651,-0.6289921808896233,-0.7242270069480956,0.7852991525501074,0.8213490514776606,0.8213490514776606,0.8213490514776606,-0.5112854414130358,-0.286922059948476,-0.12569759183003104,-0.007448746327801429,0.10908815149152763,0.15452877023890718,0.0682957445859635,0.035532985099591935,0.010545242654799655,0.03702826561854406,0.05865913673441946,0.05865913673441946,0.06313987894211781,0.20287945964684573,0.24428442122574684,0.289781490592875,-0.31087417931709876,-0.2668757772564939,-0.19378163362422665,-0.1406804867121586,-0.08985620769637609,-0.05776186037912447,0.0005353057082804066,0.15043713077628781,0.20342555784523025,0.27819578933822875,0.35688429148592704,0.37008912343907613,0.37323061054364154,0.37323061054364154,0.37323061054364154,0.37323061054364154,0.33149309117216286,0.23555120602970725,0.2189196597224827,0.11539525038042535,-0.02113325596324043,-0.08220388855229024,0.1412081010172329,0.22840629429179182,0.26030608787967346,0.2945694022271894,-0.3283466290146141,-0.3376190481448813,0.3399406072396086,0.3148777267130662,0.3085942838003426,0.3085942838003426,0.3085942838003426,0.3085942838003426,-0.05313314383842644,-0.18978723326594807,-0.34858181050907,-0.3773557434785958,-0.37957261609893084,-0.3255118211264585,-0.1994668932551918,-0.1994668932551918,-0.0541307112016376,0.04515308606326269,0.09103913841344193,0.11718118212286398,0.14211223223502017,-0.23662287652136607,-0.23662287652136607,-0.3477103399798174,-0.37540520602675476,-0.3823790866919529,-0.3823790866919529,-0.3823790866919529,-0.29070684618751746,-0.14075359493188747,-0.10174935337149185,-0.10711812856350188,-0.1810935605516871,-0.2902134552619847,-0.3934545650080598,-0.43997775636842323,0.4422799131174425,0.4422799131174425,0.4402151470869019,0.4402151470869019,-0.45203003130497277,-0.44510803793996917,-0.4107303223065231,-0.30694470168174837,-0.20675181467943385,-0.12180787880820061,-0.05240440099898025,-0.007710198695614259,-0.026263626320117965,-0.03707271146499631,-0.08114752157067952,-0.12550553368954354,-0.12550553368954354,-0.08434568215761952,0.11846331615443749,0.13616399067491633,0.14495747036486725,0.14447420543959721,0.14447420543959721,0.11692471261484993,0.04417275823905521,-0.015967629994694303,-0.13915218246462327,-0.2382415806930954,-0.26227164296022765,-0.3012992451026721,-0.36190353372478457,-0.3876672127760834,-0.4093018382509068,-0.41185332207183756,-0.41506138953280164,-0.420693371607656,-0.4269927834193307,-0.42659765570824737,-0.4359259869006609,-0.44513331583479016,-0.48415695694459215,-0.4976751298172423,-0.532243113078255,-0.5614974973486472,-0.6540851459214154,-0.6631967164734068,-0.6839516896111075,-0.730575802650654,-0.7683073686711713,0.8004772198067187,0.8218882094407237,0.8005651524129364,0.7595984641017659,0.7310611367966408,0.7184329871752223,0.7184329871752223,0.7184329871752223,0.7184329871752223,0.7184329871752223,0.7184329871752223,0.7184329871752223,0.7184329871752223,0.7184329871752223,0.7184329871752223,0.7184329871752223,-0.6175619925307354,-0.574306298351265,-0.5417378711118103,-0.5197403272089782,-0.4879844247090367,-0.4472271656866229,-0.443670737125084,-0.4203885010259642,-0.3860256441716152,-0.382138419531659,-0.3742934951990615,-0.3723177581087028,-0.3723177581087028,-0.3692223175153579,-0.3709260775025996,-0.37576198076920764,-0.3737584691311082,-0.3745183010587703,-0.3772716840916085,-0.3934682823291193,-0.3981783001143695,-0.41334778321174964,-0.42181789066628517,-0.42181789066628517,-0.42181789066628517,-0.42181789066628517,-0.43208258800792576,-0.43486240634802975,-0.43486240634802975,-0.4367107917745166,-0.4431695001718919,-0.4495850549856784,-0.4523669210265331,-0.4523669210265331,-0.4523669210265331,-0.4523669210265331,-0.4523669210265331,-0.46657538021052114,-0.4735077985097976,-0.4926665876547199,-0.494314208190165,-0.494314208190165,-0.5133355893819329,-0.5249516738389804,-0.5249516738389804,-0.5249516738389804,-0.5261710809405182,-0.5257820948091689,-0.5269572413722035,-0.5269572413722035,-0.5281161352920146,-0.5281161352920146,-0.5265109011577095,-0.5265109011577095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-0.48616739483794197,-0.4816619303245589,-0.4816619303245589,-0.4869342413691172,-0.4902519497174517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-0.4995223041696487,-0.49786185616084666,-0.50181374398391,-0.50181374398391,-0.5095974683539927,-0.5095974683539927,-0.5095974683539927,-0.5095974683539927,-0.5095974683539927,-0.5095974683539927,-0.5095974683539927,-0.5095974683539927,-0.5095974683539927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-0.5106887155584746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139395"/>
      </c:valAx>
      <c:lineChart>
        <c:varyColors val="0"/>
        <c:ser>
          <c:idx val="1"/>
          <c:order val="1"/>
          <c:tx>
            <c:strRef>
              <c:f>'teste guilherme'!$H$3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'teste guilherme'!$H$4:$H$2115</c:f>
              <c:numCache/>
            </c:numRef>
          </c:val>
          <c:smooth val="0"/>
        </c:ser>
        <c:axId val="894643651"/>
        <c:axId val="145624560"/>
      </c:lineChart>
      <c:catAx>
        <c:axId val="8946436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24560"/>
      </c:catAx>
      <c:valAx>
        <c:axId val="14562456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64365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1588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152400</xdr:colOff>
      <xdr:row>7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7" max="11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</row>
    <row r="2">
      <c r="A2" s="1">
        <v>44866.55888888889</v>
      </c>
      <c r="B2" s="2" t="s">
        <v>11</v>
      </c>
      <c r="C2" s="2" t="s">
        <v>12</v>
      </c>
      <c r="D2" s="2" t="s">
        <v>13</v>
      </c>
      <c r="E2" s="5"/>
      <c r="F2" s="5"/>
      <c r="G2" s="2"/>
      <c r="H2" s="2" t="s">
        <v>14</v>
      </c>
      <c r="I2" s="2" t="s">
        <v>15</v>
      </c>
      <c r="J2" s="2" t="s">
        <v>16</v>
      </c>
      <c r="K2" s="2" t="s">
        <v>17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</row>
    <row r="3">
      <c r="A3" s="1">
        <v>44866.5606712963</v>
      </c>
      <c r="B3" s="2" t="s">
        <v>11</v>
      </c>
      <c r="C3" s="2" t="s">
        <v>12</v>
      </c>
      <c r="D3" s="2" t="s">
        <v>13</v>
      </c>
      <c r="E3" s="5"/>
      <c r="F3" s="5"/>
      <c r="G3" s="2"/>
      <c r="H3" s="2" t="s">
        <v>18</v>
      </c>
      <c r="I3" s="2" t="s">
        <v>19</v>
      </c>
      <c r="J3" s="2" t="s">
        <v>20</v>
      </c>
      <c r="K3" s="2" t="s">
        <v>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</row>
    <row r="4">
      <c r="A4" s="1">
        <v>44866.56079861111</v>
      </c>
      <c r="B4" s="2" t="s">
        <v>11</v>
      </c>
      <c r="C4" s="2" t="s">
        <v>22</v>
      </c>
      <c r="D4" s="2" t="s">
        <v>13</v>
      </c>
      <c r="E4" s="5"/>
      <c r="F4" s="5"/>
      <c r="G4" s="2"/>
      <c r="H4" s="2" t="s">
        <v>23</v>
      </c>
      <c r="I4" s="2" t="s">
        <v>24</v>
      </c>
      <c r="J4" s="2" t="s">
        <v>25</v>
      </c>
      <c r="K4" s="2" t="s">
        <v>26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</row>
    <row r="5">
      <c r="A5" s="1">
        <v>44866.59480324074</v>
      </c>
      <c r="B5" s="2" t="s">
        <v>27</v>
      </c>
      <c r="C5" s="2" t="s">
        <v>28</v>
      </c>
      <c r="D5" s="2" t="s">
        <v>13</v>
      </c>
      <c r="E5" s="5"/>
      <c r="F5" s="5"/>
      <c r="G5" s="2"/>
      <c r="H5" s="2" t="s">
        <v>29</v>
      </c>
      <c r="I5" s="2" t="s">
        <v>30</v>
      </c>
      <c r="J5" s="2" t="s">
        <v>31</v>
      </c>
      <c r="K5" s="2" t="s">
        <v>32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</row>
    <row r="6">
      <c r="A6" s="1">
        <v>44866.62851851852</v>
      </c>
      <c r="B6" s="2" t="s">
        <v>11</v>
      </c>
      <c r="C6" s="2" t="s">
        <v>33</v>
      </c>
      <c r="D6" s="2" t="s">
        <v>13</v>
      </c>
      <c r="E6" s="5"/>
      <c r="F6" s="5"/>
      <c r="G6" s="2"/>
      <c r="H6" s="2" t="s">
        <v>34</v>
      </c>
      <c r="I6" s="2" t="s">
        <v>35</v>
      </c>
      <c r="J6" s="2" t="s">
        <v>36</v>
      </c>
      <c r="K6" s="2" t="s">
        <v>37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</row>
    <row r="7">
      <c r="A7" s="1">
        <v>44873.59511574074</v>
      </c>
      <c r="B7" s="2" t="s">
        <v>38</v>
      </c>
      <c r="C7" s="2" t="s">
        <v>39</v>
      </c>
      <c r="D7" s="2" t="s">
        <v>13</v>
      </c>
      <c r="E7" s="2"/>
      <c r="F7" s="2" t="s">
        <v>40</v>
      </c>
      <c r="G7" s="2"/>
      <c r="H7" s="2" t="s">
        <v>41</v>
      </c>
      <c r="I7" s="2" t="s">
        <v>42</v>
      </c>
      <c r="J7" s="2" t="s">
        <v>43</v>
      </c>
      <c r="K7" s="2" t="s">
        <v>44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</row>
    <row r="8">
      <c r="A8" s="1">
        <v>44932.38711805556</v>
      </c>
      <c r="B8" s="5"/>
      <c r="C8" s="2" t="s">
        <v>45</v>
      </c>
      <c r="D8" s="2" t="s">
        <v>46</v>
      </c>
      <c r="E8" s="4"/>
      <c r="F8" s="4"/>
      <c r="G8" s="2" t="s">
        <v>47</v>
      </c>
      <c r="H8" s="2" t="s">
        <v>48</v>
      </c>
      <c r="I8" s="2" t="s">
        <v>49</v>
      </c>
      <c r="J8" s="2" t="s">
        <v>50</v>
      </c>
      <c r="K8" s="2" t="s">
        <v>51</v>
      </c>
      <c r="L8" s="3" t="s">
        <v>52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</row>
    <row r="9">
      <c r="A9" s="1">
        <v>44986.42538194444</v>
      </c>
      <c r="B9" s="5"/>
      <c r="C9" s="2" t="s">
        <v>53</v>
      </c>
      <c r="D9" s="2" t="s">
        <v>54</v>
      </c>
      <c r="E9" s="4"/>
      <c r="F9" s="3" t="s">
        <v>55</v>
      </c>
      <c r="G9" s="2" t="s">
        <v>56</v>
      </c>
      <c r="H9" s="2" t="s">
        <v>57</v>
      </c>
      <c r="I9" s="2" t="s">
        <v>58</v>
      </c>
      <c r="J9" s="2" t="s">
        <v>59</v>
      </c>
      <c r="K9" s="2" t="s">
        <v>60</v>
      </c>
      <c r="L9" s="3" t="s">
        <v>61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</row>
    <row r="10">
      <c r="A10" s="1">
        <v>44986.45143518518</v>
      </c>
      <c r="B10" s="5"/>
      <c r="C10" s="5"/>
      <c r="D10" s="2" t="s">
        <v>62</v>
      </c>
      <c r="E10" s="4"/>
      <c r="F10" s="3" t="s">
        <v>63</v>
      </c>
      <c r="G10" s="2" t="s">
        <v>64</v>
      </c>
      <c r="H10" s="2" t="s">
        <v>65</v>
      </c>
      <c r="I10" s="6" t="s">
        <v>66</v>
      </c>
      <c r="J10" s="2" t="s">
        <v>67</v>
      </c>
      <c r="K10" s="2" t="s">
        <v>68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</row>
    <row r="11">
      <c r="A11" s="1">
        <v>44986.49099537037</v>
      </c>
      <c r="B11" s="5"/>
      <c r="C11" s="2" t="s">
        <v>69</v>
      </c>
      <c r="D11" s="2" t="s">
        <v>46</v>
      </c>
      <c r="E11" s="4"/>
      <c r="F11" s="3" t="s">
        <v>70</v>
      </c>
      <c r="G11" s="2" t="s">
        <v>71</v>
      </c>
      <c r="H11" s="6" t="s">
        <v>72</v>
      </c>
      <c r="I11" s="6" t="s">
        <v>73</v>
      </c>
      <c r="J11" s="6" t="s">
        <v>74</v>
      </c>
      <c r="K11" s="6" t="s">
        <v>75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</row>
    <row r="12">
      <c r="A12" s="1">
        <v>44986.49133101852</v>
      </c>
      <c r="B12" s="5"/>
      <c r="C12" s="2" t="s">
        <v>69</v>
      </c>
      <c r="D12" s="2" t="s">
        <v>62</v>
      </c>
      <c r="E12" s="4"/>
      <c r="F12" s="3" t="s">
        <v>76</v>
      </c>
      <c r="G12" s="2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</row>
    <row r="13">
      <c r="A13" s="1">
        <v>44986.49136574074</v>
      </c>
      <c r="B13" s="5"/>
      <c r="C13" s="2" t="s">
        <v>69</v>
      </c>
      <c r="D13" s="2" t="s">
        <v>82</v>
      </c>
      <c r="E13" s="4"/>
      <c r="F13" s="3" t="s">
        <v>83</v>
      </c>
      <c r="G13" s="2" t="s">
        <v>84</v>
      </c>
      <c r="H13" s="6" t="s">
        <v>85</v>
      </c>
      <c r="I13" s="6" t="s">
        <v>86</v>
      </c>
      <c r="J13" s="6" t="s">
        <v>87</v>
      </c>
      <c r="K13" s="6" t="s">
        <v>88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</row>
    <row r="14">
      <c r="A14" s="1">
        <v>44986.49140046296</v>
      </c>
      <c r="B14" s="5"/>
      <c r="C14" s="2" t="s">
        <v>69</v>
      </c>
      <c r="D14" s="2" t="s">
        <v>89</v>
      </c>
      <c r="E14" s="4"/>
      <c r="F14" s="3" t="s">
        <v>90</v>
      </c>
      <c r="G14" s="2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</row>
    <row r="15">
      <c r="A15" s="1">
        <v>44986.491435185184</v>
      </c>
      <c r="B15" s="5"/>
      <c r="C15" s="2" t="s">
        <v>69</v>
      </c>
      <c r="D15" s="2" t="s">
        <v>96</v>
      </c>
      <c r="E15" s="4"/>
      <c r="F15" s="3" t="s">
        <v>97</v>
      </c>
      <c r="G15" s="2" t="s">
        <v>98</v>
      </c>
      <c r="H15" s="6" t="s">
        <v>99</v>
      </c>
      <c r="I15" s="6" t="s">
        <v>100</v>
      </c>
      <c r="J15" s="6" t="s">
        <v>101</v>
      </c>
      <c r="K15" s="6" t="s">
        <v>102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</row>
    <row r="16">
      <c r="A16" s="1">
        <v>44986.49208333333</v>
      </c>
      <c r="B16" s="5"/>
      <c r="C16" s="2" t="s">
        <v>69</v>
      </c>
      <c r="D16" s="2" t="s">
        <v>96</v>
      </c>
      <c r="E16" s="2"/>
      <c r="F16" s="2" t="s">
        <v>97</v>
      </c>
      <c r="G16" s="6" t="s">
        <v>103</v>
      </c>
      <c r="H16" s="6" t="s">
        <v>99</v>
      </c>
      <c r="I16" s="6" t="s">
        <v>100</v>
      </c>
      <c r="J16" s="6" t="s">
        <v>101</v>
      </c>
      <c r="K16" s="6" t="s">
        <v>102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</row>
    <row r="17">
      <c r="A17" s="1">
        <v>44986.5096875</v>
      </c>
      <c r="B17" s="5"/>
      <c r="C17" s="2" t="s">
        <v>104</v>
      </c>
      <c r="D17" s="2" t="s">
        <v>46</v>
      </c>
      <c r="E17" s="2"/>
      <c r="F17" s="2" t="s">
        <v>105</v>
      </c>
      <c r="G17" s="7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</row>
    <row r="18">
      <c r="A18" s="1">
        <v>44986.509722222225</v>
      </c>
      <c r="B18" s="5"/>
      <c r="C18" s="2" t="s">
        <v>104</v>
      </c>
      <c r="D18" s="2" t="s">
        <v>62</v>
      </c>
      <c r="E18" s="2"/>
      <c r="F18" s="2" t="s">
        <v>111</v>
      </c>
      <c r="G18" s="7" t="s">
        <v>112</v>
      </c>
      <c r="H18" s="6" t="s">
        <v>113</v>
      </c>
      <c r="I18" s="6" t="s">
        <v>114</v>
      </c>
      <c r="J18" s="6" t="s">
        <v>115</v>
      </c>
      <c r="K18" s="6" t="s">
        <v>116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</row>
    <row r="19">
      <c r="A19" s="1">
        <v>44988.94583333333</v>
      </c>
      <c r="B19" s="5"/>
      <c r="C19" s="2" t="s">
        <v>117</v>
      </c>
      <c r="D19" s="2" t="s">
        <v>62</v>
      </c>
      <c r="E19" s="2" t="s">
        <v>118</v>
      </c>
      <c r="F19" s="2" t="s">
        <v>119</v>
      </c>
      <c r="G19" s="8" t="s">
        <v>120</v>
      </c>
      <c r="H19" s="8" t="s">
        <v>121</v>
      </c>
      <c r="I19" s="8" t="s">
        <v>122</v>
      </c>
      <c r="J19" s="8" t="s">
        <v>123</v>
      </c>
      <c r="K19" s="8" t="s">
        <v>124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</row>
    <row r="20">
      <c r="A20" s="1">
        <v>44989.04464208333</v>
      </c>
      <c r="B20" s="5"/>
      <c r="C20" s="2" t="s">
        <v>117</v>
      </c>
      <c r="D20" s="2" t="s">
        <v>82</v>
      </c>
      <c r="E20" s="2" t="s">
        <v>125</v>
      </c>
      <c r="F20" s="2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6" t="s">
        <v>131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</row>
    <row r="21">
      <c r="A21" s="1">
        <v>44989.61641829861</v>
      </c>
      <c r="B21" s="5"/>
      <c r="C21" s="2" t="s">
        <v>132</v>
      </c>
      <c r="D21" s="2" t="s">
        <v>46</v>
      </c>
      <c r="E21" s="2" t="s">
        <v>133</v>
      </c>
      <c r="F21" s="2" t="s">
        <v>134</v>
      </c>
      <c r="G21" s="6" t="s">
        <v>135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</row>
    <row r="22">
      <c r="A22" s="1">
        <v>44989.616424803244</v>
      </c>
      <c r="B22" s="5"/>
      <c r="C22" s="2" t="s">
        <v>132</v>
      </c>
      <c r="D22" s="2" t="s">
        <v>62</v>
      </c>
      <c r="E22" s="2" t="s">
        <v>133</v>
      </c>
      <c r="F22" s="2" t="s">
        <v>134</v>
      </c>
      <c r="G22" s="6" t="s">
        <v>136</v>
      </c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</row>
    <row r="23">
      <c r="A23" s="9">
        <v>44989.61688393519</v>
      </c>
      <c r="B23" s="5"/>
      <c r="C23" s="2" t="s">
        <v>132</v>
      </c>
      <c r="D23" s="2" t="s">
        <v>46</v>
      </c>
      <c r="E23" s="2" t="s">
        <v>137</v>
      </c>
      <c r="F23" s="2" t="s">
        <v>138</v>
      </c>
      <c r="G23" s="6" t="s">
        <v>139</v>
      </c>
      <c r="H23" s="6" t="s">
        <v>140</v>
      </c>
      <c r="I23" s="6" t="s">
        <v>141</v>
      </c>
      <c r="J23" s="6" t="s">
        <v>142</v>
      </c>
      <c r="K23" s="6" t="s">
        <v>143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</row>
    <row r="24">
      <c r="A24" s="9">
        <v>44989.617653587964</v>
      </c>
      <c r="B24" s="5"/>
      <c r="C24" s="2" t="s">
        <v>132</v>
      </c>
      <c r="D24" s="2" t="s">
        <v>62</v>
      </c>
      <c r="E24" s="2" t="s">
        <v>144</v>
      </c>
      <c r="F24" s="2" t="s">
        <v>145</v>
      </c>
      <c r="G24" s="6" t="s">
        <v>146</v>
      </c>
      <c r="H24" s="6" t="s">
        <v>147</v>
      </c>
      <c r="I24" s="6" t="s">
        <v>148</v>
      </c>
      <c r="J24" s="6" t="s">
        <v>149</v>
      </c>
      <c r="K24" s="6" t="s">
        <v>150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</row>
    <row r="25">
      <c r="A25" s="9">
        <v>44998.87267560185</v>
      </c>
      <c r="B25" s="2" t="s">
        <v>151</v>
      </c>
      <c r="C25" s="2" t="s">
        <v>152</v>
      </c>
      <c r="D25" s="2" t="s">
        <v>46</v>
      </c>
      <c r="E25" s="2" t="s">
        <v>153</v>
      </c>
      <c r="F25" s="2" t="s">
        <v>154</v>
      </c>
      <c r="G25" s="6" t="s">
        <v>155</v>
      </c>
      <c r="H25" s="6" t="s">
        <v>156</v>
      </c>
      <c r="I25" s="6" t="s">
        <v>157</v>
      </c>
      <c r="J25" s="6" t="s">
        <v>158</v>
      </c>
      <c r="K25" s="6" t="s">
        <v>159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</row>
    <row r="26">
      <c r="A26" s="9">
        <v>44999.63836370371</v>
      </c>
      <c r="B26" s="5"/>
      <c r="C26" s="2"/>
      <c r="D26" s="2" t="s">
        <v>82</v>
      </c>
      <c r="E26" s="2" t="s">
        <v>160</v>
      </c>
      <c r="F26" s="2" t="s">
        <v>161</v>
      </c>
      <c r="G26" s="6" t="s">
        <v>162</v>
      </c>
      <c r="H26" s="6" t="s">
        <v>163</v>
      </c>
      <c r="I26" s="6" t="s">
        <v>164</v>
      </c>
      <c r="J26" s="6" t="s">
        <v>165</v>
      </c>
      <c r="K26" s="6" t="s">
        <v>166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</row>
    <row r="27">
      <c r="A27" s="9"/>
      <c r="B27" s="5"/>
      <c r="C27" s="2"/>
      <c r="D27" s="2"/>
      <c r="E27" s="2"/>
      <c r="F27" s="2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</row>
    <row r="28">
      <c r="A28" s="9"/>
      <c r="B28" s="5"/>
      <c r="C28" s="2"/>
      <c r="D28" s="2"/>
      <c r="E28" s="2"/>
      <c r="F28" s="2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</row>
    <row r="29">
      <c r="A29" s="9"/>
      <c r="B29" s="5"/>
      <c r="C29" s="2"/>
      <c r="D29" s="2"/>
      <c r="E29" s="2"/>
      <c r="F29" s="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</row>
    <row r="30">
      <c r="A30" s="1"/>
      <c r="B30" s="5"/>
      <c r="C30" s="2"/>
      <c r="D30" s="2"/>
      <c r="E30" s="2"/>
      <c r="F30" s="2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</row>
    <row r="31">
      <c r="A31" s="1"/>
      <c r="B31" s="5"/>
      <c r="C31" s="2"/>
      <c r="D31" s="2"/>
      <c r="E31" s="2"/>
      <c r="F31" s="2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</row>
    <row r="32">
      <c r="A32" s="1"/>
      <c r="B32" s="5"/>
      <c r="C32" s="2"/>
      <c r="D32" s="2"/>
      <c r="E32" s="2"/>
      <c r="F32" s="2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</row>
    <row r="33">
      <c r="A33" s="1"/>
      <c r="B33" s="5"/>
      <c r="C33" s="5"/>
      <c r="D33" s="2"/>
      <c r="E33" s="5"/>
      <c r="F33" s="2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</row>
    <row r="34">
      <c r="A34" s="1"/>
      <c r="B34" s="5"/>
      <c r="C34" s="5"/>
      <c r="D34" s="2"/>
      <c r="E34" s="5"/>
      <c r="F34" s="2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</row>
    <row r="35">
      <c r="A35" s="1"/>
      <c r="B35" s="5"/>
      <c r="C35" s="5"/>
      <c r="D35" s="2"/>
      <c r="E35" s="5"/>
      <c r="F35" s="2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</row>
    <row r="36">
      <c r="A36" s="1"/>
      <c r="B36" s="5"/>
      <c r="C36" s="5"/>
      <c r="D36" s="5"/>
      <c r="E36" s="5"/>
      <c r="F36" s="5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</row>
    <row r="37">
      <c r="A37" s="1"/>
      <c r="B37" s="5"/>
      <c r="C37" s="5"/>
      <c r="D37" s="5"/>
      <c r="E37" s="5"/>
      <c r="F37" s="5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</row>
    <row r="38">
      <c r="A38" s="1"/>
      <c r="B38" s="5"/>
      <c r="C38" s="5"/>
      <c r="D38" s="5"/>
      <c r="E38" s="5"/>
      <c r="F38" s="5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</row>
    <row r="39">
      <c r="A39" s="1"/>
      <c r="B39" s="5"/>
      <c r="C39" s="5"/>
      <c r="D39" s="5"/>
      <c r="E39" s="5"/>
      <c r="F39" s="5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</row>
    <row r="40">
      <c r="A40" s="1"/>
      <c r="B40" s="5"/>
      <c r="C40" s="5"/>
      <c r="D40" s="5"/>
      <c r="E40" s="5"/>
      <c r="F40" s="5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</row>
    <row r="41">
      <c r="A41" s="1"/>
      <c r="B41" s="5"/>
      <c r="C41" s="5"/>
      <c r="D41" s="5"/>
      <c r="E41" s="5"/>
      <c r="F41" s="5"/>
      <c r="G41" s="6"/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</row>
    <row r="42">
      <c r="A42" s="1"/>
      <c r="B42" s="5"/>
      <c r="C42" s="5"/>
      <c r="D42" s="5"/>
      <c r="E42" s="5"/>
      <c r="F42" s="5"/>
      <c r="G42" s="6"/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</row>
    <row r="43">
      <c r="A43" s="1"/>
      <c r="B43" s="5"/>
      <c r="C43" s="5"/>
      <c r="D43" s="5"/>
      <c r="E43" s="5"/>
      <c r="F43" s="5"/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</row>
    <row r="44">
      <c r="A44" s="10"/>
      <c r="B44" s="5"/>
      <c r="C44" s="5"/>
      <c r="D44" s="5"/>
      <c r="E44" s="5"/>
      <c r="F44" s="5"/>
      <c r="G44" s="11"/>
      <c r="H44" s="11"/>
      <c r="I44" s="11"/>
      <c r="J44" s="11"/>
      <c r="K44" s="1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</row>
    <row r="45">
      <c r="A45" s="10"/>
      <c r="B45" s="5"/>
      <c r="C45" s="5"/>
      <c r="D45" s="5"/>
      <c r="E45" s="5"/>
      <c r="F45" s="5"/>
      <c r="G45" s="11"/>
      <c r="H45" s="11"/>
      <c r="I45" s="11"/>
      <c r="J45" s="11"/>
      <c r="K45" s="1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</row>
    <row r="46">
      <c r="A46" s="10"/>
      <c r="B46" s="5"/>
      <c r="C46" s="5"/>
      <c r="D46" s="5"/>
      <c r="E46" s="5"/>
      <c r="F46" s="5"/>
      <c r="G46" s="11"/>
      <c r="H46" s="11"/>
      <c r="I46" s="11"/>
      <c r="J46" s="11"/>
      <c r="K46" s="1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</row>
    <row r="47">
      <c r="A47" s="10"/>
      <c r="B47" s="5"/>
      <c r="C47" s="5"/>
      <c r="D47" s="5"/>
      <c r="E47" s="5"/>
      <c r="F47" s="5"/>
      <c r="G47" s="11"/>
      <c r="H47" s="11"/>
      <c r="I47" s="11"/>
      <c r="J47" s="11"/>
      <c r="K47" s="1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</row>
    <row r="48">
      <c r="A48" s="10"/>
      <c r="B48" s="5"/>
      <c r="C48" s="5"/>
      <c r="D48" s="5"/>
      <c r="E48" s="5"/>
      <c r="F48" s="5"/>
      <c r="G48" s="11"/>
      <c r="H48" s="11"/>
      <c r="I48" s="11"/>
      <c r="J48" s="11"/>
      <c r="K48" s="1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</row>
    <row r="49">
      <c r="A49" s="10"/>
      <c r="B49" s="5"/>
      <c r="C49" s="5"/>
      <c r="D49" s="5"/>
      <c r="E49" s="5"/>
      <c r="F49" s="5"/>
      <c r="G49" s="11"/>
      <c r="H49" s="11"/>
      <c r="I49" s="11"/>
      <c r="J49" s="11"/>
      <c r="K49" s="1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</row>
    <row r="50">
      <c r="A50" s="10"/>
      <c r="B50" s="5"/>
      <c r="C50" s="5"/>
      <c r="D50" s="5"/>
      <c r="E50" s="5"/>
      <c r="F50" s="5"/>
      <c r="G50" s="11"/>
      <c r="H50" s="11"/>
      <c r="I50" s="11"/>
      <c r="J50" s="11"/>
      <c r="K50" s="1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</row>
    <row r="51">
      <c r="A51" s="10"/>
      <c r="B51" s="5"/>
      <c r="C51" s="5"/>
      <c r="D51" s="5"/>
      <c r="E51" s="5"/>
      <c r="F51" s="5"/>
      <c r="G51" s="11"/>
      <c r="H51" s="11"/>
      <c r="I51" s="11"/>
      <c r="J51" s="11"/>
      <c r="K51" s="1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</row>
    <row r="52">
      <c r="A52" s="10"/>
      <c r="B52" s="5"/>
      <c r="C52" s="5"/>
      <c r="D52" s="5"/>
      <c r="E52" s="5"/>
      <c r="F52" s="5"/>
      <c r="G52" s="11"/>
      <c r="H52" s="11"/>
      <c r="I52" s="11"/>
      <c r="J52" s="11"/>
      <c r="K52" s="1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</row>
    <row r="53">
      <c r="A53" s="10"/>
      <c r="B53" s="5"/>
      <c r="C53" s="5"/>
      <c r="D53" s="5"/>
      <c r="E53" s="5"/>
      <c r="F53" s="5"/>
      <c r="G53" s="11"/>
      <c r="H53" s="11"/>
      <c r="I53" s="11"/>
      <c r="J53" s="11"/>
      <c r="K53" s="1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</row>
    <row r="54">
      <c r="A54" s="10"/>
      <c r="B54" s="5"/>
      <c r="C54" s="5"/>
      <c r="D54" s="5"/>
      <c r="E54" s="5"/>
      <c r="F54" s="5"/>
      <c r="G54" s="11"/>
      <c r="H54" s="11"/>
      <c r="I54" s="11"/>
      <c r="J54" s="11"/>
      <c r="K54" s="1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</row>
    <row r="55">
      <c r="A55" s="10"/>
      <c r="B55" s="5"/>
      <c r="C55" s="5"/>
      <c r="D55" s="5"/>
      <c r="E55" s="5"/>
      <c r="F55" s="5"/>
      <c r="G55" s="11"/>
      <c r="H55" s="11"/>
      <c r="I55" s="11"/>
      <c r="J55" s="11"/>
      <c r="K55" s="1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</row>
    <row r="56">
      <c r="A56" s="10"/>
      <c r="B56" s="5"/>
      <c r="C56" s="5"/>
      <c r="D56" s="5"/>
      <c r="E56" s="5"/>
      <c r="F56" s="5"/>
      <c r="G56" s="11"/>
      <c r="H56" s="11"/>
      <c r="I56" s="11"/>
      <c r="J56" s="11"/>
      <c r="K56" s="1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</row>
    <row r="57">
      <c r="A57" s="10"/>
      <c r="B57" s="5"/>
      <c r="C57" s="5"/>
      <c r="D57" s="5"/>
      <c r="E57" s="5"/>
      <c r="F57" s="5"/>
      <c r="G57" s="11"/>
      <c r="H57" s="11"/>
      <c r="I57" s="11"/>
      <c r="J57" s="11"/>
      <c r="K57" s="1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</row>
    <row r="58">
      <c r="A58" s="10"/>
      <c r="B58" s="5"/>
      <c r="C58" s="5"/>
      <c r="D58" s="5"/>
      <c r="E58" s="5"/>
      <c r="F58" s="5"/>
      <c r="G58" s="11"/>
      <c r="H58" s="11"/>
      <c r="I58" s="11"/>
      <c r="J58" s="11"/>
      <c r="K58" s="1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</row>
    <row r="59">
      <c r="A59" s="10"/>
      <c r="B59" s="5"/>
      <c r="C59" s="5"/>
      <c r="D59" s="5"/>
      <c r="E59" s="5"/>
      <c r="F59" s="5"/>
      <c r="G59" s="11"/>
      <c r="H59" s="11"/>
      <c r="I59" s="11"/>
      <c r="J59" s="11"/>
      <c r="K59" s="1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</row>
    <row r="60">
      <c r="A60" s="10"/>
      <c r="B60" s="5"/>
      <c r="C60" s="5"/>
      <c r="D60" s="5"/>
      <c r="E60" s="5"/>
      <c r="F60" s="5"/>
      <c r="G60" s="11"/>
      <c r="H60" s="11"/>
      <c r="I60" s="11"/>
      <c r="J60" s="11"/>
      <c r="K60" s="1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</row>
    <row r="61">
      <c r="A61" s="10"/>
      <c r="B61" s="5"/>
      <c r="C61" s="5"/>
      <c r="D61" s="5"/>
      <c r="E61" s="5"/>
      <c r="F61" s="5"/>
      <c r="G61" s="11"/>
      <c r="H61" s="11"/>
      <c r="I61" s="11"/>
      <c r="J61" s="11"/>
      <c r="K61" s="1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</row>
    <row r="62">
      <c r="A62" s="10"/>
      <c r="B62" s="5"/>
      <c r="C62" s="5"/>
      <c r="D62" s="5"/>
      <c r="E62" s="5"/>
      <c r="F62" s="5"/>
      <c r="G62" s="11"/>
      <c r="H62" s="11"/>
      <c r="I62" s="11"/>
      <c r="J62" s="11"/>
      <c r="K62" s="1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</row>
    <row r="63">
      <c r="A63" s="10"/>
      <c r="B63" s="5"/>
      <c r="C63" s="5"/>
      <c r="D63" s="5"/>
      <c r="E63" s="5"/>
      <c r="F63" s="5"/>
      <c r="G63" s="11"/>
      <c r="H63" s="11"/>
      <c r="I63" s="11"/>
      <c r="J63" s="11"/>
      <c r="K63" s="1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</row>
    <row r="64">
      <c r="A64" s="10"/>
      <c r="B64" s="5"/>
      <c r="C64" s="5"/>
      <c r="D64" s="5"/>
      <c r="E64" s="5"/>
      <c r="F64" s="5"/>
      <c r="G64" s="11"/>
      <c r="H64" s="11"/>
      <c r="I64" s="11"/>
      <c r="J64" s="11"/>
      <c r="K64" s="1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</row>
    <row r="65">
      <c r="A65" s="10"/>
      <c r="B65" s="5"/>
      <c r="C65" s="5"/>
      <c r="D65" s="5"/>
      <c r="E65" s="5"/>
      <c r="F65" s="5"/>
      <c r="G65" s="11"/>
      <c r="H65" s="11"/>
      <c r="I65" s="11"/>
      <c r="J65" s="11"/>
      <c r="K65" s="1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</row>
    <row r="66">
      <c r="A66" s="10"/>
      <c r="B66" s="5"/>
      <c r="C66" s="5"/>
      <c r="D66" s="5"/>
      <c r="E66" s="5"/>
      <c r="F66" s="5"/>
      <c r="G66" s="11"/>
      <c r="H66" s="11"/>
      <c r="I66" s="11"/>
      <c r="J66" s="11"/>
      <c r="K66" s="1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</row>
    <row r="67">
      <c r="A67" s="10"/>
      <c r="B67" s="5"/>
      <c r="C67" s="5"/>
      <c r="D67" s="5"/>
      <c r="E67" s="5"/>
      <c r="F67" s="5"/>
      <c r="G67" s="11"/>
      <c r="H67" s="11"/>
      <c r="I67" s="11"/>
      <c r="J67" s="11"/>
      <c r="K67" s="1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</row>
    <row r="68">
      <c r="A68" s="10"/>
      <c r="B68" s="5"/>
      <c r="C68" s="5"/>
      <c r="D68" s="5"/>
      <c r="E68" s="5"/>
      <c r="F68" s="5"/>
      <c r="G68" s="11"/>
      <c r="H68" s="11"/>
      <c r="I68" s="11"/>
      <c r="J68" s="11"/>
      <c r="K68" s="1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</row>
    <row r="69">
      <c r="A69" s="10"/>
      <c r="B69" s="5"/>
      <c r="C69" s="5"/>
      <c r="D69" s="5"/>
      <c r="E69" s="5"/>
      <c r="F69" s="5"/>
      <c r="G69" s="11"/>
      <c r="H69" s="11"/>
      <c r="I69" s="11"/>
      <c r="J69" s="11"/>
      <c r="K69" s="1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</row>
    <row r="70">
      <c r="A70" s="10"/>
      <c r="B70" s="5"/>
      <c r="C70" s="5"/>
      <c r="D70" s="5"/>
      <c r="E70" s="5"/>
      <c r="F70" s="5"/>
      <c r="G70" s="11"/>
      <c r="H70" s="11"/>
      <c r="I70" s="11"/>
      <c r="J70" s="11"/>
      <c r="K70" s="1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</row>
    <row r="71">
      <c r="A71" s="10"/>
      <c r="B71" s="5"/>
      <c r="C71" s="5"/>
      <c r="D71" s="5"/>
      <c r="E71" s="5"/>
      <c r="F71" s="5"/>
      <c r="G71" s="11"/>
      <c r="H71" s="11"/>
      <c r="I71" s="11"/>
      <c r="J71" s="11"/>
      <c r="K71" s="1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</row>
    <row r="72">
      <c r="A72" s="10"/>
      <c r="B72" s="5"/>
      <c r="C72" s="5"/>
      <c r="D72" s="5"/>
      <c r="E72" s="5"/>
      <c r="F72" s="5"/>
      <c r="G72" s="11"/>
      <c r="H72" s="11"/>
      <c r="I72" s="11"/>
      <c r="J72" s="11"/>
      <c r="K72" s="1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</row>
    <row r="73">
      <c r="A73" s="10"/>
      <c r="B73" s="5"/>
      <c r="C73" s="5"/>
      <c r="D73" s="5"/>
      <c r="E73" s="5"/>
      <c r="F73" s="5"/>
      <c r="G73" s="11"/>
      <c r="H73" s="11"/>
      <c r="I73" s="11"/>
      <c r="J73" s="11"/>
      <c r="K73" s="1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</row>
    <row r="74">
      <c r="A74" s="10"/>
      <c r="B74" s="5"/>
      <c r="C74" s="5"/>
      <c r="D74" s="5"/>
      <c r="E74" s="5"/>
      <c r="F74" s="5"/>
      <c r="G74" s="11"/>
      <c r="H74" s="11"/>
      <c r="I74" s="11"/>
      <c r="J74" s="11"/>
      <c r="K74" s="1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</row>
    <row r="75">
      <c r="A75" s="10"/>
      <c r="B75" s="5"/>
      <c r="C75" s="5"/>
      <c r="D75" s="5"/>
      <c r="E75" s="5"/>
      <c r="F75" s="5"/>
      <c r="G75" s="11"/>
      <c r="H75" s="11"/>
      <c r="I75" s="11"/>
      <c r="J75" s="11"/>
      <c r="K75" s="1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</row>
    <row r="76">
      <c r="A76" s="10"/>
      <c r="B76" s="5"/>
      <c r="C76" s="5"/>
      <c r="D76" s="5"/>
      <c r="E76" s="5"/>
      <c r="F76" s="5"/>
      <c r="G76" s="11"/>
      <c r="H76" s="11"/>
      <c r="I76" s="11"/>
      <c r="J76" s="11"/>
      <c r="K76" s="1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</row>
    <row r="77">
      <c r="A77" s="10"/>
      <c r="B77" s="5"/>
      <c r="C77" s="5"/>
      <c r="D77" s="5"/>
      <c r="E77" s="5"/>
      <c r="F77" s="5"/>
      <c r="G77" s="11"/>
      <c r="H77" s="11"/>
      <c r="I77" s="11"/>
      <c r="J77" s="11"/>
      <c r="K77" s="1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</row>
    <row r="78">
      <c r="A78" s="10"/>
      <c r="B78" s="5"/>
      <c r="C78" s="5"/>
      <c r="D78" s="5"/>
      <c r="E78" s="5"/>
      <c r="F78" s="5"/>
      <c r="G78" s="11"/>
      <c r="H78" s="11"/>
      <c r="I78" s="11"/>
      <c r="J78" s="11"/>
      <c r="K78" s="1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</row>
    <row r="79">
      <c r="A79" s="10"/>
      <c r="B79" s="5"/>
      <c r="C79" s="5"/>
      <c r="D79" s="5"/>
      <c r="E79" s="5"/>
      <c r="F79" s="5"/>
      <c r="G79" s="11"/>
      <c r="H79" s="11"/>
      <c r="I79" s="11"/>
      <c r="J79" s="11"/>
      <c r="K79" s="1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</row>
    <row r="80">
      <c r="A80" s="10"/>
      <c r="B80" s="5"/>
      <c r="C80" s="5"/>
      <c r="D80" s="5"/>
      <c r="E80" s="5"/>
      <c r="F80" s="5"/>
      <c r="G80" s="11"/>
      <c r="H80" s="11"/>
      <c r="I80" s="11"/>
      <c r="J80" s="11"/>
      <c r="K80" s="1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</row>
    <row r="81">
      <c r="A81" s="10"/>
      <c r="B81" s="5"/>
      <c r="C81" s="5"/>
      <c r="D81" s="5"/>
      <c r="E81" s="5"/>
      <c r="F81" s="5"/>
      <c r="G81" s="11"/>
      <c r="H81" s="11"/>
      <c r="I81" s="11"/>
      <c r="J81" s="11"/>
      <c r="K81" s="1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</row>
    <row r="82">
      <c r="A82" s="10"/>
      <c r="B82" s="5"/>
      <c r="C82" s="5"/>
      <c r="D82" s="5"/>
      <c r="E82" s="5"/>
      <c r="F82" s="5"/>
      <c r="G82" s="11"/>
      <c r="H82" s="11"/>
      <c r="I82" s="11"/>
      <c r="J82" s="11"/>
      <c r="K82" s="1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</row>
    <row r="83">
      <c r="A83" s="10"/>
      <c r="B83" s="5"/>
      <c r="C83" s="5"/>
      <c r="D83" s="5"/>
      <c r="E83" s="5"/>
      <c r="F83" s="5"/>
      <c r="G83" s="11"/>
      <c r="H83" s="11"/>
      <c r="I83" s="11"/>
      <c r="J83" s="11"/>
      <c r="K83" s="1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</row>
    <row r="84">
      <c r="A84" s="10"/>
      <c r="B84" s="5"/>
      <c r="C84" s="5"/>
      <c r="D84" s="5"/>
      <c r="E84" s="5"/>
      <c r="F84" s="5"/>
      <c r="G84" s="11"/>
      <c r="H84" s="11"/>
      <c r="I84" s="11"/>
      <c r="J84" s="11"/>
      <c r="K84" s="1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</row>
    <row r="85">
      <c r="A85" s="10"/>
      <c r="B85" s="5"/>
      <c r="C85" s="5"/>
      <c r="D85" s="5"/>
      <c r="E85" s="5"/>
      <c r="F85" s="5"/>
      <c r="G85" s="11"/>
      <c r="H85" s="11"/>
      <c r="I85" s="11"/>
      <c r="J85" s="11"/>
      <c r="K85" s="1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</row>
    <row r="86">
      <c r="A86" s="10"/>
      <c r="B86" s="5"/>
      <c r="C86" s="5"/>
      <c r="D86" s="5"/>
      <c r="E86" s="5"/>
      <c r="F86" s="5"/>
      <c r="G86" s="11"/>
      <c r="H86" s="11"/>
      <c r="I86" s="11"/>
      <c r="J86" s="11"/>
      <c r="K86" s="1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</row>
    <row r="87">
      <c r="A87" s="10"/>
      <c r="B87" s="5"/>
      <c r="C87" s="5"/>
      <c r="D87" s="5"/>
      <c r="E87" s="5"/>
      <c r="F87" s="5"/>
      <c r="G87" s="11"/>
      <c r="H87" s="11"/>
      <c r="I87" s="11"/>
      <c r="J87" s="11"/>
      <c r="K87" s="1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</row>
    <row r="88">
      <c r="A88" s="10"/>
      <c r="B88" s="5"/>
      <c r="C88" s="5"/>
      <c r="D88" s="5"/>
      <c r="E88" s="5"/>
      <c r="F88" s="5"/>
      <c r="G88" s="11"/>
      <c r="H88" s="11"/>
      <c r="I88" s="11"/>
      <c r="J88" s="11"/>
      <c r="K88" s="1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</row>
    <row r="89">
      <c r="A89" s="10"/>
      <c r="B89" s="5"/>
      <c r="C89" s="5"/>
      <c r="D89" s="5"/>
      <c r="E89" s="5"/>
      <c r="F89" s="5"/>
      <c r="G89" s="11"/>
      <c r="H89" s="11"/>
      <c r="I89" s="11"/>
      <c r="J89" s="11"/>
      <c r="K89" s="1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</row>
    <row r="90">
      <c r="A90" s="10"/>
      <c r="B90" s="5"/>
      <c r="C90" s="5"/>
      <c r="D90" s="5"/>
      <c r="E90" s="5"/>
      <c r="F90" s="5"/>
      <c r="G90" s="11"/>
      <c r="H90" s="11"/>
      <c r="I90" s="11"/>
      <c r="J90" s="11"/>
      <c r="K90" s="1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</row>
    <row r="91">
      <c r="A91" s="10"/>
      <c r="B91" s="5"/>
      <c r="C91" s="5"/>
      <c r="D91" s="5"/>
      <c r="E91" s="5"/>
      <c r="F91" s="5"/>
      <c r="G91" s="11"/>
      <c r="H91" s="11"/>
      <c r="I91" s="11"/>
      <c r="J91" s="11"/>
      <c r="K91" s="1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</row>
    <row r="92">
      <c r="A92" s="10"/>
      <c r="B92" s="5"/>
      <c r="C92" s="5"/>
      <c r="D92" s="5"/>
      <c r="E92" s="5"/>
      <c r="F92" s="5"/>
      <c r="G92" s="11"/>
      <c r="H92" s="11"/>
      <c r="I92" s="11"/>
      <c r="J92" s="11"/>
      <c r="K92" s="1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</row>
    <row r="93">
      <c r="A93" s="10"/>
      <c r="B93" s="5"/>
      <c r="C93" s="5"/>
      <c r="D93" s="5"/>
      <c r="E93" s="5"/>
      <c r="F93" s="5"/>
      <c r="G93" s="11"/>
      <c r="H93" s="11"/>
      <c r="I93" s="11"/>
      <c r="J93" s="11"/>
      <c r="K93" s="1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</row>
    <row r="94">
      <c r="A94" s="10"/>
      <c r="B94" s="5"/>
      <c r="C94" s="5"/>
      <c r="D94" s="5"/>
      <c r="E94" s="5"/>
      <c r="F94" s="5"/>
      <c r="G94" s="11"/>
      <c r="H94" s="11"/>
      <c r="I94" s="11"/>
      <c r="J94" s="11"/>
      <c r="K94" s="1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</row>
    <row r="95">
      <c r="A95" s="10"/>
      <c r="B95" s="5"/>
      <c r="C95" s="5"/>
      <c r="D95" s="5"/>
      <c r="E95" s="5"/>
      <c r="F95" s="5"/>
      <c r="G95" s="11"/>
      <c r="H95" s="11"/>
      <c r="I95" s="11"/>
      <c r="J95" s="11"/>
      <c r="K95" s="1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</row>
    <row r="96">
      <c r="A96" s="10"/>
      <c r="B96" s="5"/>
      <c r="C96" s="5"/>
      <c r="D96" s="5"/>
      <c r="E96" s="5"/>
      <c r="F96" s="5"/>
      <c r="G96" s="11"/>
      <c r="H96" s="11"/>
      <c r="I96" s="11"/>
      <c r="J96" s="11"/>
      <c r="K96" s="1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</row>
    <row r="97">
      <c r="A97" s="10"/>
      <c r="B97" s="5"/>
      <c r="C97" s="5"/>
      <c r="D97" s="5"/>
      <c r="E97" s="5"/>
      <c r="F97" s="5"/>
      <c r="G97" s="11"/>
      <c r="H97" s="11"/>
      <c r="I97" s="11"/>
      <c r="J97" s="11"/>
      <c r="K97" s="1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</row>
    <row r="98">
      <c r="A98" s="10"/>
      <c r="B98" s="5"/>
      <c r="C98" s="5"/>
      <c r="D98" s="5"/>
      <c r="E98" s="5"/>
      <c r="F98" s="5"/>
      <c r="G98" s="11"/>
      <c r="H98" s="11"/>
      <c r="I98" s="11"/>
      <c r="J98" s="11"/>
      <c r="K98" s="1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</row>
    <row r="99">
      <c r="A99" s="10"/>
      <c r="B99" s="5"/>
      <c r="C99" s="5"/>
      <c r="D99" s="5"/>
      <c r="E99" s="5"/>
      <c r="F99" s="5"/>
      <c r="G99" s="11"/>
      <c r="H99" s="11"/>
      <c r="I99" s="11"/>
      <c r="J99" s="11"/>
      <c r="K99" s="1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</row>
    <row r="100">
      <c r="A100" s="10"/>
      <c r="B100" s="5"/>
      <c r="C100" s="5"/>
      <c r="D100" s="5"/>
      <c r="E100" s="5"/>
      <c r="F100" s="5"/>
      <c r="G100" s="11"/>
      <c r="H100" s="11"/>
      <c r="I100" s="11"/>
      <c r="J100" s="11"/>
      <c r="K100" s="1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</row>
    <row r="101">
      <c r="A101" s="10"/>
      <c r="B101" s="5"/>
      <c r="C101" s="5"/>
      <c r="D101" s="5"/>
      <c r="E101" s="5"/>
      <c r="F101" s="5"/>
      <c r="G101" s="11"/>
      <c r="H101" s="11"/>
      <c r="I101" s="11"/>
      <c r="J101" s="11"/>
      <c r="K101" s="1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</row>
    <row r="102">
      <c r="A102" s="10"/>
      <c r="B102" s="5"/>
      <c r="C102" s="5"/>
      <c r="D102" s="5"/>
      <c r="E102" s="5"/>
      <c r="F102" s="5"/>
      <c r="G102" s="11"/>
      <c r="H102" s="11"/>
      <c r="I102" s="11"/>
      <c r="J102" s="11"/>
      <c r="K102" s="1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</row>
    <row r="103">
      <c r="A103" s="10"/>
      <c r="B103" s="5"/>
      <c r="C103" s="5"/>
      <c r="D103" s="5"/>
      <c r="E103" s="5"/>
      <c r="F103" s="5"/>
      <c r="G103" s="11"/>
      <c r="H103" s="11"/>
      <c r="I103" s="11"/>
      <c r="J103" s="11"/>
      <c r="K103" s="1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</row>
    <row r="104">
      <c r="A104" s="10"/>
      <c r="B104" s="5"/>
      <c r="C104" s="5"/>
      <c r="D104" s="5"/>
      <c r="E104" s="5"/>
      <c r="F104" s="5"/>
      <c r="G104" s="11"/>
      <c r="H104" s="11"/>
      <c r="I104" s="11"/>
      <c r="J104" s="11"/>
      <c r="K104" s="1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</row>
    <row r="105">
      <c r="A105" s="10"/>
      <c r="B105" s="5"/>
      <c r="C105" s="5"/>
      <c r="D105" s="5"/>
      <c r="E105" s="5"/>
      <c r="F105" s="5"/>
      <c r="G105" s="11"/>
      <c r="H105" s="11"/>
      <c r="I105" s="11"/>
      <c r="J105" s="11"/>
      <c r="K105" s="1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</row>
    <row r="106">
      <c r="A106" s="10"/>
      <c r="B106" s="5"/>
      <c r="C106" s="5"/>
      <c r="D106" s="5"/>
      <c r="E106" s="5"/>
      <c r="F106" s="5"/>
      <c r="G106" s="11"/>
      <c r="H106" s="11"/>
      <c r="I106" s="11"/>
      <c r="J106" s="11"/>
      <c r="K106" s="1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</row>
    <row r="107">
      <c r="A107" s="10"/>
      <c r="B107" s="5"/>
      <c r="C107" s="5"/>
      <c r="D107" s="5"/>
      <c r="E107" s="5"/>
      <c r="F107" s="5"/>
      <c r="G107" s="11"/>
      <c r="H107" s="11"/>
      <c r="I107" s="11"/>
      <c r="J107" s="11"/>
      <c r="K107" s="1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</row>
    <row r="108">
      <c r="A108" s="10"/>
      <c r="B108" s="5"/>
      <c r="C108" s="5"/>
      <c r="D108" s="5"/>
      <c r="E108" s="5"/>
      <c r="F108" s="5"/>
      <c r="G108" s="11"/>
      <c r="H108" s="11"/>
      <c r="I108" s="11"/>
      <c r="J108" s="11"/>
      <c r="K108" s="1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</row>
    <row r="109">
      <c r="A109" s="10"/>
      <c r="B109" s="5"/>
      <c r="C109" s="5"/>
      <c r="D109" s="5"/>
      <c r="E109" s="5"/>
      <c r="F109" s="5"/>
      <c r="G109" s="11"/>
      <c r="H109" s="11"/>
      <c r="I109" s="11"/>
      <c r="J109" s="11"/>
      <c r="K109" s="1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</row>
    <row r="110">
      <c r="A110" s="10"/>
      <c r="B110" s="5"/>
      <c r="C110" s="5"/>
      <c r="D110" s="5"/>
      <c r="E110" s="5"/>
      <c r="F110" s="5"/>
      <c r="G110" s="11"/>
      <c r="H110" s="11"/>
      <c r="I110" s="11"/>
      <c r="J110" s="11"/>
      <c r="K110" s="1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</row>
    <row r="111">
      <c r="A111" s="10"/>
      <c r="B111" s="5"/>
      <c r="C111" s="5"/>
      <c r="D111" s="5"/>
      <c r="E111" s="5"/>
      <c r="F111" s="5"/>
      <c r="G111" s="11"/>
      <c r="H111" s="11"/>
      <c r="I111" s="11"/>
      <c r="J111" s="11"/>
      <c r="K111" s="1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</row>
    <row r="112">
      <c r="A112" s="10"/>
      <c r="B112" s="5"/>
      <c r="C112" s="5"/>
      <c r="D112" s="5"/>
      <c r="E112" s="5"/>
      <c r="F112" s="5"/>
      <c r="G112" s="11"/>
      <c r="H112" s="11"/>
      <c r="I112" s="11"/>
      <c r="J112" s="11"/>
      <c r="K112" s="1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</row>
    <row r="113">
      <c r="A113" s="10"/>
      <c r="B113" s="5"/>
      <c r="C113" s="5"/>
      <c r="D113" s="5"/>
      <c r="E113" s="5"/>
      <c r="F113" s="5"/>
      <c r="G113" s="11"/>
      <c r="H113" s="11"/>
      <c r="I113" s="11"/>
      <c r="J113" s="11"/>
      <c r="K113" s="1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</row>
    <row r="114">
      <c r="A114" s="10"/>
      <c r="B114" s="5"/>
      <c r="C114" s="5"/>
      <c r="D114" s="5"/>
      <c r="E114" s="5"/>
      <c r="F114" s="5"/>
      <c r="G114" s="11"/>
      <c r="H114" s="11"/>
      <c r="I114" s="11"/>
      <c r="J114" s="11"/>
      <c r="K114" s="1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</row>
    <row r="115">
      <c r="A115" s="10"/>
      <c r="B115" s="5"/>
      <c r="C115" s="5"/>
      <c r="D115" s="5"/>
      <c r="E115" s="5"/>
      <c r="F115" s="5"/>
      <c r="G115" s="11"/>
      <c r="H115" s="11"/>
      <c r="I115" s="11"/>
      <c r="J115" s="11"/>
      <c r="K115" s="1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</row>
    <row r="116">
      <c r="A116" s="10"/>
      <c r="B116" s="5"/>
      <c r="C116" s="5"/>
      <c r="D116" s="5"/>
      <c r="E116" s="5"/>
      <c r="F116" s="5"/>
      <c r="G116" s="11"/>
      <c r="H116" s="11"/>
      <c r="I116" s="11"/>
      <c r="J116" s="11"/>
      <c r="K116" s="1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</row>
    <row r="117">
      <c r="A117" s="10"/>
      <c r="B117" s="5"/>
      <c r="C117" s="5"/>
      <c r="D117" s="5"/>
      <c r="E117" s="5"/>
      <c r="F117" s="5"/>
      <c r="G117" s="11"/>
      <c r="H117" s="11"/>
      <c r="I117" s="11"/>
      <c r="J117" s="11"/>
      <c r="K117" s="1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</row>
    <row r="118">
      <c r="A118" s="10"/>
      <c r="B118" s="5"/>
      <c r="C118" s="5"/>
      <c r="D118" s="5"/>
      <c r="E118" s="5"/>
      <c r="F118" s="5"/>
      <c r="G118" s="11"/>
      <c r="H118" s="11"/>
      <c r="I118" s="11"/>
      <c r="J118" s="11"/>
      <c r="K118" s="1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</row>
    <row r="119">
      <c r="A119" s="10"/>
      <c r="B119" s="5"/>
      <c r="C119" s="5"/>
      <c r="D119" s="5"/>
      <c r="E119" s="5"/>
      <c r="F119" s="5"/>
      <c r="G119" s="11"/>
      <c r="H119" s="11"/>
      <c r="I119" s="11"/>
      <c r="J119" s="11"/>
      <c r="K119" s="1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</row>
    <row r="120">
      <c r="A120" s="10"/>
      <c r="B120" s="5"/>
      <c r="C120" s="5"/>
      <c r="D120" s="5"/>
      <c r="E120" s="5"/>
      <c r="F120" s="5"/>
      <c r="G120" s="11"/>
      <c r="H120" s="11"/>
      <c r="I120" s="11"/>
      <c r="J120" s="11"/>
      <c r="K120" s="1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</row>
    <row r="121">
      <c r="A121" s="10"/>
      <c r="B121" s="5"/>
      <c r="C121" s="5"/>
      <c r="D121" s="5"/>
      <c r="E121" s="5"/>
      <c r="F121" s="5"/>
      <c r="G121" s="11"/>
      <c r="H121" s="11"/>
      <c r="I121" s="11"/>
      <c r="J121" s="11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</row>
    <row r="122">
      <c r="A122" s="10"/>
      <c r="B122" s="5"/>
      <c r="C122" s="5"/>
      <c r="D122" s="5"/>
      <c r="E122" s="5"/>
      <c r="F122" s="5"/>
      <c r="G122" s="11"/>
      <c r="H122" s="11"/>
      <c r="I122" s="11"/>
      <c r="J122" s="11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</row>
    <row r="123">
      <c r="A123" s="10"/>
      <c r="B123" s="5"/>
      <c r="C123" s="5"/>
      <c r="D123" s="5"/>
      <c r="E123" s="5"/>
      <c r="F123" s="5"/>
      <c r="G123" s="11"/>
      <c r="H123" s="11"/>
      <c r="I123" s="11"/>
      <c r="J123" s="11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</row>
    <row r="124">
      <c r="A124" s="10"/>
      <c r="B124" s="5"/>
      <c r="C124" s="5"/>
      <c r="D124" s="5"/>
      <c r="E124" s="5"/>
      <c r="F124" s="5"/>
      <c r="G124" s="11"/>
      <c r="H124" s="11"/>
      <c r="I124" s="11"/>
      <c r="J124" s="11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</row>
    <row r="125">
      <c r="A125" s="10"/>
      <c r="B125" s="5"/>
      <c r="C125" s="5"/>
      <c r="D125" s="5"/>
      <c r="E125" s="5"/>
      <c r="F125" s="5"/>
      <c r="G125" s="11"/>
      <c r="H125" s="11"/>
      <c r="I125" s="11"/>
      <c r="J125" s="11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</row>
    <row r="126">
      <c r="A126" s="10"/>
      <c r="B126" s="5"/>
      <c r="C126" s="5"/>
      <c r="D126" s="5"/>
      <c r="E126" s="5"/>
      <c r="F126" s="5"/>
      <c r="G126" s="11"/>
      <c r="H126" s="11"/>
      <c r="I126" s="11"/>
      <c r="J126" s="11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</row>
    <row r="127">
      <c r="A127" s="10"/>
      <c r="B127" s="5"/>
      <c r="C127" s="5"/>
      <c r="D127" s="5"/>
      <c r="E127" s="5"/>
      <c r="F127" s="5"/>
      <c r="G127" s="11"/>
      <c r="H127" s="11"/>
      <c r="I127" s="11"/>
      <c r="J127" s="11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</row>
    <row r="128">
      <c r="A128" s="10"/>
      <c r="B128" s="5"/>
      <c r="C128" s="5"/>
      <c r="D128" s="5"/>
      <c r="E128" s="5"/>
      <c r="F128" s="5"/>
      <c r="G128" s="11"/>
      <c r="H128" s="11"/>
      <c r="I128" s="11"/>
      <c r="J128" s="11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</row>
    <row r="129">
      <c r="A129" s="10"/>
      <c r="B129" s="5"/>
      <c r="C129" s="5"/>
      <c r="D129" s="5"/>
      <c r="E129" s="5"/>
      <c r="F129" s="5"/>
      <c r="G129" s="11"/>
      <c r="H129" s="11"/>
      <c r="I129" s="11"/>
      <c r="J129" s="11"/>
      <c r="K129" s="1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</row>
    <row r="130">
      <c r="A130" s="10"/>
      <c r="B130" s="5"/>
      <c r="C130" s="5"/>
      <c r="D130" s="5"/>
      <c r="E130" s="5"/>
      <c r="F130" s="5"/>
      <c r="G130" s="11"/>
      <c r="H130" s="11"/>
      <c r="I130" s="11"/>
      <c r="J130" s="11"/>
      <c r="K130" s="1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</row>
    <row r="131">
      <c r="A131" s="10"/>
      <c r="B131" s="5"/>
      <c r="C131" s="5"/>
      <c r="D131" s="5"/>
      <c r="E131" s="5"/>
      <c r="F131" s="5"/>
      <c r="G131" s="11"/>
      <c r="H131" s="11"/>
      <c r="I131" s="11"/>
      <c r="J131" s="11"/>
      <c r="K131" s="1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</row>
    <row r="132">
      <c r="A132" s="10"/>
      <c r="B132" s="5"/>
      <c r="C132" s="5"/>
      <c r="D132" s="5"/>
      <c r="E132" s="5"/>
      <c r="F132" s="5"/>
      <c r="G132" s="11"/>
      <c r="H132" s="11"/>
      <c r="I132" s="11"/>
      <c r="J132" s="11"/>
      <c r="K132" s="1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</row>
    <row r="133">
      <c r="A133" s="10"/>
      <c r="B133" s="5"/>
      <c r="C133" s="5"/>
      <c r="D133" s="5"/>
      <c r="E133" s="5"/>
      <c r="F133" s="5"/>
      <c r="G133" s="11"/>
      <c r="H133" s="11"/>
      <c r="I133" s="11"/>
      <c r="J133" s="11"/>
      <c r="K133" s="1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</row>
    <row r="134">
      <c r="A134" s="10"/>
      <c r="B134" s="5"/>
      <c r="C134" s="5"/>
      <c r="D134" s="5"/>
      <c r="E134" s="5"/>
      <c r="F134" s="5"/>
      <c r="G134" s="11"/>
      <c r="H134" s="11"/>
      <c r="I134" s="11"/>
      <c r="J134" s="11"/>
      <c r="K134" s="1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</row>
    <row r="135">
      <c r="A135" s="10"/>
      <c r="B135" s="5"/>
      <c r="C135" s="5"/>
      <c r="D135" s="5"/>
      <c r="E135" s="5"/>
      <c r="F135" s="5"/>
      <c r="G135" s="11"/>
      <c r="H135" s="11"/>
      <c r="I135" s="11"/>
      <c r="J135" s="11"/>
      <c r="K135" s="1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</row>
    <row r="136">
      <c r="A136" s="10"/>
      <c r="B136" s="5"/>
      <c r="C136" s="5"/>
      <c r="D136" s="5"/>
      <c r="E136" s="5"/>
      <c r="F136" s="5"/>
      <c r="G136" s="11"/>
      <c r="H136" s="11"/>
      <c r="I136" s="11"/>
      <c r="J136" s="11"/>
      <c r="K136" s="1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</row>
    <row r="137">
      <c r="A137" s="10"/>
      <c r="B137" s="5"/>
      <c r="C137" s="5"/>
      <c r="D137" s="5"/>
      <c r="E137" s="5"/>
      <c r="F137" s="5"/>
      <c r="G137" s="11"/>
      <c r="H137" s="11"/>
      <c r="I137" s="11"/>
      <c r="J137" s="11"/>
      <c r="K137" s="1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</row>
    <row r="138">
      <c r="A138" s="10"/>
      <c r="B138" s="5"/>
      <c r="C138" s="5"/>
      <c r="D138" s="5"/>
      <c r="E138" s="5"/>
      <c r="F138" s="5"/>
      <c r="G138" s="11"/>
      <c r="H138" s="11"/>
      <c r="I138" s="11"/>
      <c r="J138" s="11"/>
      <c r="K138" s="1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</row>
    <row r="139">
      <c r="A139" s="10"/>
      <c r="B139" s="5"/>
      <c r="C139" s="5"/>
      <c r="D139" s="5"/>
      <c r="E139" s="5"/>
      <c r="F139" s="5"/>
      <c r="G139" s="11"/>
      <c r="H139" s="11"/>
      <c r="I139" s="11"/>
      <c r="J139" s="11"/>
      <c r="K139" s="1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</row>
    <row r="140">
      <c r="A140" s="10"/>
      <c r="B140" s="5"/>
      <c r="C140" s="5"/>
      <c r="D140" s="5"/>
      <c r="E140" s="5"/>
      <c r="F140" s="5"/>
      <c r="G140" s="11"/>
      <c r="H140" s="11"/>
      <c r="I140" s="11"/>
      <c r="J140" s="11"/>
      <c r="K140" s="1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</row>
    <row r="141">
      <c r="A141" s="10"/>
      <c r="B141" s="5"/>
      <c r="C141" s="5"/>
      <c r="D141" s="5"/>
      <c r="E141" s="5"/>
      <c r="F141" s="5"/>
      <c r="G141" s="11"/>
      <c r="H141" s="11"/>
      <c r="I141" s="11"/>
      <c r="J141" s="11"/>
      <c r="K141" s="1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</row>
    <row r="142">
      <c r="A142" s="10"/>
      <c r="B142" s="5"/>
      <c r="C142" s="5"/>
      <c r="D142" s="5"/>
      <c r="E142" s="5"/>
      <c r="F142" s="5"/>
      <c r="G142" s="11"/>
      <c r="H142" s="11"/>
      <c r="I142" s="11"/>
      <c r="J142" s="11"/>
      <c r="K142" s="1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</row>
    <row r="143">
      <c r="A143" s="10"/>
      <c r="B143" s="5"/>
      <c r="C143" s="5"/>
      <c r="D143" s="5"/>
      <c r="E143" s="5"/>
      <c r="F143" s="5"/>
      <c r="G143" s="11"/>
      <c r="H143" s="11"/>
      <c r="I143" s="11"/>
      <c r="J143" s="11"/>
      <c r="K143" s="1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</row>
    <row r="144">
      <c r="A144" s="10"/>
      <c r="B144" s="5"/>
      <c r="C144" s="5"/>
      <c r="D144" s="5"/>
      <c r="E144" s="5"/>
      <c r="F144" s="5"/>
      <c r="G144" s="11"/>
      <c r="H144" s="11"/>
      <c r="I144" s="11"/>
      <c r="J144" s="11"/>
      <c r="K144" s="1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</row>
    <row r="145">
      <c r="A145" s="10"/>
      <c r="B145" s="5"/>
      <c r="C145" s="5"/>
      <c r="D145" s="5"/>
      <c r="E145" s="5"/>
      <c r="F145" s="5"/>
      <c r="G145" s="11"/>
      <c r="H145" s="11"/>
      <c r="I145" s="11"/>
      <c r="J145" s="11"/>
      <c r="K145" s="1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</row>
    <row r="146">
      <c r="A146" s="10"/>
      <c r="B146" s="5"/>
      <c r="C146" s="5"/>
      <c r="D146" s="5"/>
      <c r="E146" s="5"/>
      <c r="F146" s="5"/>
      <c r="G146" s="11"/>
      <c r="H146" s="11"/>
      <c r="I146" s="11"/>
      <c r="J146" s="11"/>
      <c r="K146" s="1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</row>
    <row r="147">
      <c r="A147" s="10"/>
      <c r="B147" s="5"/>
      <c r="C147" s="5"/>
      <c r="D147" s="5"/>
      <c r="E147" s="5"/>
      <c r="F147" s="5"/>
      <c r="G147" s="11"/>
      <c r="H147" s="11"/>
      <c r="I147" s="11"/>
      <c r="J147" s="11"/>
      <c r="K147" s="1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</row>
    <row r="148">
      <c r="A148" s="10"/>
      <c r="B148" s="5"/>
      <c r="C148" s="5"/>
      <c r="D148" s="5"/>
      <c r="E148" s="5"/>
      <c r="F148" s="5"/>
      <c r="G148" s="11"/>
      <c r="H148" s="11"/>
      <c r="I148" s="11"/>
      <c r="J148" s="11"/>
      <c r="K148" s="1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</row>
    <row r="149">
      <c r="A149" s="10"/>
      <c r="B149" s="5"/>
      <c r="C149" s="5"/>
      <c r="D149" s="5"/>
      <c r="E149" s="5"/>
      <c r="F149" s="5"/>
      <c r="G149" s="11"/>
      <c r="H149" s="11"/>
      <c r="I149" s="11"/>
      <c r="J149" s="11"/>
      <c r="K149" s="1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</row>
    <row r="150">
      <c r="A150" s="10"/>
      <c r="B150" s="5"/>
      <c r="C150" s="5"/>
      <c r="D150" s="5"/>
      <c r="E150" s="5"/>
      <c r="F150" s="5"/>
      <c r="G150" s="11"/>
      <c r="H150" s="11"/>
      <c r="I150" s="11"/>
      <c r="J150" s="11"/>
      <c r="K150" s="1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</row>
    <row r="151">
      <c r="A151" s="10"/>
      <c r="B151" s="5"/>
      <c r="C151" s="5"/>
      <c r="D151" s="5"/>
      <c r="E151" s="5"/>
      <c r="F151" s="5"/>
      <c r="G151" s="11"/>
      <c r="H151" s="11"/>
      <c r="I151" s="11"/>
      <c r="J151" s="11"/>
      <c r="K151" s="1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</row>
    <row r="152">
      <c r="A152" s="10"/>
      <c r="B152" s="5"/>
      <c r="C152" s="5"/>
      <c r="D152" s="5"/>
      <c r="E152" s="5"/>
      <c r="F152" s="5"/>
      <c r="G152" s="11"/>
      <c r="H152" s="11"/>
      <c r="I152" s="11"/>
      <c r="J152" s="11"/>
      <c r="K152" s="1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</row>
    <row r="153">
      <c r="A153" s="10"/>
      <c r="B153" s="5"/>
      <c r="C153" s="5"/>
      <c r="D153" s="5"/>
      <c r="E153" s="5"/>
      <c r="F153" s="5"/>
      <c r="G153" s="11"/>
      <c r="H153" s="11"/>
      <c r="I153" s="11"/>
      <c r="J153" s="11"/>
      <c r="K153" s="1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</row>
    <row r="154">
      <c r="A154" s="10"/>
      <c r="B154" s="5"/>
      <c r="C154" s="5"/>
      <c r="D154" s="5"/>
      <c r="E154" s="5"/>
      <c r="F154" s="5"/>
      <c r="G154" s="11"/>
      <c r="H154" s="11"/>
      <c r="I154" s="11"/>
      <c r="J154" s="11"/>
      <c r="K154" s="1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</row>
    <row r="155">
      <c r="A155" s="10"/>
      <c r="B155" s="5"/>
      <c r="C155" s="5"/>
      <c r="D155" s="5"/>
      <c r="E155" s="5"/>
      <c r="F155" s="5"/>
      <c r="G155" s="11"/>
      <c r="H155" s="11"/>
      <c r="I155" s="11"/>
      <c r="J155" s="11"/>
      <c r="K155" s="1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</row>
    <row r="156">
      <c r="A156" s="10"/>
      <c r="B156" s="5"/>
      <c r="C156" s="5"/>
      <c r="D156" s="5"/>
      <c r="E156" s="5"/>
      <c r="F156" s="5"/>
      <c r="G156" s="11"/>
      <c r="H156" s="11"/>
      <c r="I156" s="11"/>
      <c r="J156" s="11"/>
      <c r="K156" s="1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</row>
    <row r="157">
      <c r="A157" s="10"/>
      <c r="B157" s="5"/>
      <c r="C157" s="5"/>
      <c r="D157" s="5"/>
      <c r="E157" s="5"/>
      <c r="F157" s="5"/>
      <c r="G157" s="11"/>
      <c r="H157" s="11"/>
      <c r="I157" s="11"/>
      <c r="J157" s="11"/>
      <c r="K157" s="1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</row>
    <row r="158">
      <c r="A158" s="10"/>
      <c r="B158" s="5"/>
      <c r="C158" s="5"/>
      <c r="D158" s="5"/>
      <c r="E158" s="5"/>
      <c r="F158" s="5"/>
      <c r="G158" s="11"/>
      <c r="H158" s="11"/>
      <c r="I158" s="11"/>
      <c r="J158" s="11"/>
      <c r="K158" s="1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</row>
    <row r="159">
      <c r="A159" s="10"/>
      <c r="B159" s="5"/>
      <c r="C159" s="5"/>
      <c r="D159" s="5"/>
      <c r="E159" s="5"/>
      <c r="F159" s="5"/>
      <c r="G159" s="11"/>
      <c r="H159" s="11"/>
      <c r="I159" s="11"/>
      <c r="J159" s="11"/>
      <c r="K159" s="1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</row>
    <row r="160">
      <c r="A160" s="10"/>
      <c r="B160" s="5"/>
      <c r="C160" s="5"/>
      <c r="D160" s="5"/>
      <c r="E160" s="5"/>
      <c r="F160" s="5"/>
      <c r="G160" s="11"/>
      <c r="H160" s="11"/>
      <c r="I160" s="11"/>
      <c r="J160" s="11"/>
      <c r="K160" s="1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</row>
    <row r="161">
      <c r="A161" s="10"/>
      <c r="B161" s="5"/>
      <c r="C161" s="5"/>
      <c r="D161" s="5"/>
      <c r="E161" s="5"/>
      <c r="F161" s="5"/>
      <c r="G161" s="11"/>
      <c r="H161" s="11"/>
      <c r="I161" s="11"/>
      <c r="J161" s="11"/>
      <c r="K161" s="1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</row>
    <row r="162">
      <c r="A162" s="10"/>
      <c r="B162" s="5"/>
      <c r="C162" s="5"/>
      <c r="D162" s="5"/>
      <c r="E162" s="5"/>
      <c r="F162" s="5"/>
      <c r="G162" s="11"/>
      <c r="H162" s="11"/>
      <c r="I162" s="11"/>
      <c r="J162" s="11"/>
      <c r="K162" s="1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</row>
    <row r="163">
      <c r="A163" s="10"/>
      <c r="B163" s="5"/>
      <c r="C163" s="5"/>
      <c r="D163" s="5"/>
      <c r="E163" s="5"/>
      <c r="F163" s="5"/>
      <c r="G163" s="11"/>
      <c r="H163" s="11"/>
      <c r="I163" s="11"/>
      <c r="J163" s="11"/>
      <c r="K163" s="1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</row>
    <row r="164">
      <c r="A164" s="10"/>
      <c r="B164" s="5"/>
      <c r="C164" s="5"/>
      <c r="D164" s="5"/>
      <c r="E164" s="5"/>
      <c r="F164" s="5"/>
      <c r="G164" s="11"/>
      <c r="H164" s="11"/>
      <c r="I164" s="11"/>
      <c r="J164" s="11"/>
      <c r="K164" s="1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</row>
    <row r="165">
      <c r="A165" s="10"/>
      <c r="B165" s="5"/>
      <c r="C165" s="5"/>
      <c r="D165" s="5"/>
      <c r="E165" s="5"/>
      <c r="F165" s="5"/>
      <c r="G165" s="5"/>
      <c r="H165" s="5"/>
      <c r="I165" s="11"/>
      <c r="J165" s="5"/>
      <c r="K165" s="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</row>
    <row r="166">
      <c r="A166" s="10"/>
      <c r="B166" s="5"/>
      <c r="C166" s="5"/>
      <c r="D166" s="5"/>
      <c r="E166" s="5"/>
      <c r="F166" s="5"/>
      <c r="G166" s="5"/>
      <c r="H166" s="5"/>
      <c r="I166" s="11"/>
      <c r="J166" s="5"/>
      <c r="K166" s="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</row>
    <row r="167">
      <c r="A167" s="10"/>
      <c r="B167" s="5"/>
      <c r="C167" s="5"/>
      <c r="D167" s="5"/>
      <c r="E167" s="5"/>
      <c r="F167" s="5"/>
      <c r="G167" s="5"/>
      <c r="H167" s="5"/>
      <c r="I167" s="11"/>
      <c r="J167" s="5"/>
      <c r="K167" s="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</row>
    <row r="168">
      <c r="A168" s="10"/>
      <c r="B168" s="5"/>
      <c r="C168" s="5"/>
      <c r="D168" s="5"/>
      <c r="E168" s="5"/>
      <c r="F168" s="5"/>
      <c r="G168" s="5"/>
      <c r="H168" s="5"/>
      <c r="I168" s="11"/>
      <c r="J168" s="5"/>
      <c r="K168" s="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</row>
    <row r="169">
      <c r="A169" s="10"/>
      <c r="B169" s="5"/>
      <c r="C169" s="5"/>
      <c r="D169" s="5"/>
      <c r="E169" s="5"/>
      <c r="F169" s="5"/>
      <c r="G169" s="5"/>
      <c r="H169" s="5"/>
      <c r="I169" s="11"/>
      <c r="J169" s="5"/>
      <c r="K169" s="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</row>
    <row r="170">
      <c r="A170" s="10"/>
      <c r="B170" s="5"/>
      <c r="C170" s="5"/>
      <c r="D170" s="5"/>
      <c r="E170" s="5"/>
      <c r="F170" s="5"/>
      <c r="G170" s="5"/>
      <c r="H170" s="5"/>
      <c r="I170" s="11"/>
      <c r="J170" s="5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</row>
    <row r="171">
      <c r="A171" s="10"/>
      <c r="B171" s="5"/>
      <c r="C171" s="5"/>
      <c r="D171" s="5"/>
      <c r="E171" s="5"/>
      <c r="F171" s="5"/>
      <c r="G171" s="5"/>
      <c r="H171" s="5"/>
      <c r="I171" s="11"/>
      <c r="J171" s="5"/>
      <c r="K171" s="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</row>
    <row r="172">
      <c r="A172" s="10"/>
      <c r="B172" s="5"/>
      <c r="C172" s="5"/>
      <c r="D172" s="5"/>
      <c r="E172" s="5"/>
      <c r="F172" s="5"/>
      <c r="G172" s="5"/>
      <c r="H172" s="5"/>
      <c r="I172" s="11"/>
      <c r="J172" s="5"/>
      <c r="K172" s="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</row>
    <row r="173">
      <c r="A173" s="10"/>
      <c r="B173" s="5"/>
      <c r="C173" s="5"/>
      <c r="D173" s="5"/>
      <c r="E173" s="5"/>
      <c r="F173" s="5"/>
      <c r="G173" s="5"/>
      <c r="H173" s="5"/>
      <c r="I173" s="11"/>
      <c r="J173" s="5"/>
      <c r="K173" s="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</row>
    <row r="174">
      <c r="A174" s="10"/>
      <c r="B174" s="5"/>
      <c r="C174" s="5"/>
      <c r="D174" s="5"/>
      <c r="E174" s="5"/>
      <c r="F174" s="5"/>
      <c r="G174" s="5"/>
      <c r="H174" s="5"/>
      <c r="I174" s="11"/>
      <c r="J174" s="5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</row>
    <row r="175">
      <c r="A175" s="10"/>
      <c r="B175" s="5"/>
      <c r="C175" s="5"/>
      <c r="D175" s="5"/>
      <c r="E175" s="5"/>
      <c r="F175" s="5"/>
      <c r="G175" s="5"/>
      <c r="H175" s="5"/>
      <c r="I175" s="11"/>
      <c r="J175" s="5"/>
      <c r="K175" s="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</row>
    <row r="176">
      <c r="A176" s="10"/>
      <c r="B176" s="5"/>
      <c r="C176" s="5"/>
      <c r="D176" s="5"/>
      <c r="E176" s="5"/>
      <c r="F176" s="5"/>
      <c r="G176" s="5"/>
      <c r="H176" s="5"/>
      <c r="I176" s="11"/>
      <c r="J176" s="5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</row>
    <row r="177">
      <c r="A177" s="10"/>
      <c r="B177" s="5"/>
      <c r="C177" s="5"/>
      <c r="D177" s="5"/>
      <c r="E177" s="5"/>
      <c r="F177" s="5"/>
      <c r="G177" s="5"/>
      <c r="H177" s="5"/>
      <c r="I177" s="11"/>
      <c r="J177" s="5"/>
      <c r="K177" s="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</row>
    <row r="178">
      <c r="A178" s="10"/>
      <c r="B178" s="5"/>
      <c r="C178" s="5"/>
      <c r="D178" s="5"/>
      <c r="E178" s="5"/>
      <c r="F178" s="5"/>
      <c r="G178" s="5"/>
      <c r="H178" s="5"/>
      <c r="I178" s="11"/>
      <c r="J178" s="5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</row>
    <row r="179">
      <c r="A179" s="10"/>
      <c r="B179" s="5"/>
      <c r="C179" s="5"/>
      <c r="D179" s="5"/>
      <c r="E179" s="5"/>
      <c r="F179" s="5"/>
      <c r="G179" s="5"/>
      <c r="H179" s="5"/>
      <c r="I179" s="11"/>
      <c r="J179" s="5"/>
      <c r="K179" s="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</row>
    <row r="180">
      <c r="A180" s="10"/>
      <c r="B180" s="5"/>
      <c r="C180" s="5"/>
      <c r="D180" s="5"/>
      <c r="E180" s="5"/>
      <c r="F180" s="5"/>
      <c r="G180" s="5"/>
      <c r="H180" s="5"/>
      <c r="I180" s="11"/>
      <c r="J180" s="5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</row>
    <row r="181">
      <c r="A181" s="10"/>
      <c r="B181" s="5"/>
      <c r="C181" s="5"/>
      <c r="D181" s="5"/>
      <c r="E181" s="5"/>
      <c r="F181" s="5"/>
      <c r="G181" s="5"/>
      <c r="H181" s="5"/>
      <c r="I181" s="11"/>
      <c r="J181" s="5"/>
      <c r="K181" s="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</row>
    <row r="182">
      <c r="A182" s="10"/>
      <c r="B182" s="5"/>
      <c r="C182" s="5"/>
      <c r="D182" s="5"/>
      <c r="E182" s="5"/>
      <c r="F182" s="5"/>
      <c r="G182" s="5"/>
      <c r="H182" s="5"/>
      <c r="I182" s="11"/>
      <c r="J182" s="5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</row>
    <row r="183">
      <c r="A183" s="10"/>
      <c r="B183" s="5"/>
      <c r="C183" s="5"/>
      <c r="D183" s="5"/>
      <c r="E183" s="5"/>
      <c r="F183" s="5"/>
      <c r="G183" s="5"/>
      <c r="H183" s="5"/>
      <c r="I183" s="11"/>
      <c r="J183" s="5"/>
      <c r="K183" s="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</row>
    <row r="184">
      <c r="A184" s="10"/>
      <c r="B184" s="5"/>
      <c r="C184" s="5"/>
      <c r="D184" s="5"/>
      <c r="E184" s="5"/>
      <c r="F184" s="5"/>
      <c r="G184" s="5"/>
      <c r="H184" s="5"/>
      <c r="I184" s="11"/>
      <c r="J184" s="5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</row>
    <row r="185">
      <c r="A185" s="10"/>
      <c r="B185" s="5"/>
      <c r="C185" s="5"/>
      <c r="D185" s="5"/>
      <c r="E185" s="5"/>
      <c r="F185" s="5"/>
      <c r="G185" s="5"/>
      <c r="H185" s="5"/>
      <c r="I185" s="11"/>
      <c r="J185" s="5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</row>
    <row r="186">
      <c r="A186" s="10"/>
      <c r="B186" s="5"/>
      <c r="C186" s="5"/>
      <c r="D186" s="5"/>
      <c r="E186" s="5"/>
      <c r="F186" s="5"/>
      <c r="G186" s="5"/>
      <c r="H186" s="5"/>
      <c r="I186" s="11"/>
      <c r="J186" s="5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</row>
    <row r="187">
      <c r="A187" s="10"/>
      <c r="B187" s="5"/>
      <c r="C187" s="5"/>
      <c r="D187" s="5"/>
      <c r="E187" s="5"/>
      <c r="F187" s="5"/>
      <c r="G187" s="5"/>
      <c r="H187" s="5"/>
      <c r="I187" s="11"/>
      <c r="J187" s="5"/>
      <c r="K187" s="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</row>
    <row r="188">
      <c r="A188" s="10"/>
      <c r="B188" s="5"/>
      <c r="C188" s="5"/>
      <c r="D188" s="5"/>
      <c r="E188" s="5"/>
      <c r="F188" s="5"/>
      <c r="G188" s="5"/>
      <c r="H188" s="5"/>
      <c r="I188" s="11"/>
      <c r="J188" s="5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</row>
    <row r="189">
      <c r="A189" s="10"/>
      <c r="B189" s="5"/>
      <c r="C189" s="5"/>
      <c r="D189" s="5"/>
      <c r="E189" s="5"/>
      <c r="F189" s="5"/>
      <c r="G189" s="5"/>
      <c r="H189" s="5"/>
      <c r="I189" s="11"/>
      <c r="J189" s="5"/>
      <c r="K189" s="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</row>
    <row r="190">
      <c r="A190" s="10"/>
      <c r="B190" s="5"/>
      <c r="C190" s="5"/>
      <c r="D190" s="5"/>
      <c r="E190" s="5"/>
      <c r="F190" s="5"/>
      <c r="G190" s="5"/>
      <c r="H190" s="5"/>
      <c r="I190" s="11"/>
      <c r="J190" s="5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</row>
    <row r="191">
      <c r="A191" s="10"/>
      <c r="B191" s="5"/>
      <c r="C191" s="5"/>
      <c r="D191" s="5"/>
      <c r="E191" s="5"/>
      <c r="F191" s="5"/>
      <c r="G191" s="5"/>
      <c r="H191" s="5"/>
      <c r="I191" s="11"/>
      <c r="J191" s="5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</row>
    <row r="192">
      <c r="A192" s="10"/>
      <c r="B192" s="5"/>
      <c r="C192" s="5"/>
      <c r="D192" s="5"/>
      <c r="E192" s="5"/>
      <c r="F192" s="5"/>
      <c r="G192" s="5"/>
      <c r="H192" s="5"/>
      <c r="I192" s="11"/>
      <c r="J192" s="5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</row>
    <row r="193">
      <c r="A193" s="10"/>
      <c r="B193" s="5"/>
      <c r="C193" s="5"/>
      <c r="D193" s="5"/>
      <c r="E193" s="5"/>
      <c r="F193" s="5"/>
      <c r="G193" s="5"/>
      <c r="H193" s="5"/>
      <c r="I193" s="11"/>
      <c r="J193" s="5"/>
      <c r="K193" s="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</row>
    <row r="194">
      <c r="A194" s="10"/>
      <c r="B194" s="5"/>
      <c r="C194" s="5"/>
      <c r="D194" s="5"/>
      <c r="E194" s="5"/>
      <c r="F194" s="5"/>
      <c r="G194" s="5"/>
      <c r="H194" s="5"/>
      <c r="I194" s="11"/>
      <c r="J194" s="5"/>
      <c r="K194" s="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</row>
    <row r="195">
      <c r="A195" s="10"/>
      <c r="B195" s="5"/>
      <c r="C195" s="5"/>
      <c r="D195" s="5"/>
      <c r="E195" s="5"/>
      <c r="F195" s="5"/>
      <c r="G195" s="5"/>
      <c r="H195" s="5"/>
      <c r="I195" s="11"/>
      <c r="J195" s="5"/>
      <c r="K195" s="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</row>
    <row r="196">
      <c r="A196" s="10"/>
      <c r="B196" s="5"/>
      <c r="C196" s="5"/>
      <c r="D196" s="5"/>
      <c r="E196" s="5"/>
      <c r="F196" s="5"/>
      <c r="G196" s="5"/>
      <c r="H196" s="5"/>
      <c r="I196" s="11"/>
      <c r="J196" s="5"/>
      <c r="K196" s="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</row>
    <row r="197">
      <c r="A197" s="10"/>
      <c r="B197" s="5"/>
      <c r="C197" s="5"/>
      <c r="D197" s="5"/>
      <c r="E197" s="5"/>
      <c r="F197" s="5"/>
      <c r="G197" s="5"/>
      <c r="H197" s="5"/>
      <c r="I197" s="11"/>
      <c r="J197" s="5"/>
      <c r="K197" s="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</row>
    <row r="198">
      <c r="A198" s="10"/>
      <c r="B198" s="5"/>
      <c r="C198" s="5"/>
      <c r="D198" s="5"/>
      <c r="E198" s="5"/>
      <c r="F198" s="5"/>
      <c r="G198" s="5"/>
      <c r="H198" s="5"/>
      <c r="I198" s="11"/>
      <c r="J198" s="5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</row>
    <row r="199">
      <c r="A199" s="10"/>
      <c r="B199" s="5"/>
      <c r="C199" s="5"/>
      <c r="D199" s="5"/>
      <c r="E199" s="5"/>
      <c r="F199" s="5"/>
      <c r="G199" s="5"/>
      <c r="H199" s="5"/>
      <c r="I199" s="11"/>
      <c r="J199" s="5"/>
      <c r="K199" s="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</row>
    <row r="200">
      <c r="A200" s="10"/>
      <c r="B200" s="5"/>
      <c r="C200" s="5"/>
      <c r="D200" s="5"/>
      <c r="E200" s="5"/>
      <c r="F200" s="5"/>
      <c r="G200" s="5"/>
      <c r="H200" s="5"/>
      <c r="I200" s="11"/>
      <c r="J200" s="5"/>
      <c r="K200" s="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</row>
    <row r="201">
      <c r="A201" s="10"/>
      <c r="B201" s="5"/>
      <c r="C201" s="5"/>
      <c r="D201" s="5"/>
      <c r="E201" s="5"/>
      <c r="F201" s="5"/>
      <c r="G201" s="5"/>
      <c r="H201" s="5"/>
      <c r="I201" s="11"/>
      <c r="J201" s="5"/>
      <c r="K201" s="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</row>
    <row r="202">
      <c r="A202" s="10"/>
      <c r="B202" s="5"/>
      <c r="C202" s="5"/>
      <c r="D202" s="5"/>
      <c r="E202" s="5"/>
      <c r="F202" s="5"/>
      <c r="G202" s="5"/>
      <c r="H202" s="5"/>
      <c r="I202" s="11"/>
      <c r="J202" s="5"/>
      <c r="K202" s="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</row>
    <row r="203">
      <c r="A203" s="10"/>
      <c r="B203" s="5"/>
      <c r="C203" s="5"/>
      <c r="D203" s="5"/>
      <c r="E203" s="5"/>
      <c r="F203" s="5"/>
      <c r="G203" s="5"/>
      <c r="H203" s="5"/>
      <c r="I203" s="11"/>
      <c r="J203" s="5"/>
      <c r="K203" s="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</row>
    <row r="204">
      <c r="A204" s="10"/>
      <c r="B204" s="5"/>
      <c r="C204" s="5"/>
      <c r="D204" s="5"/>
      <c r="E204" s="5"/>
      <c r="F204" s="5"/>
      <c r="G204" s="5"/>
      <c r="H204" s="5"/>
      <c r="I204" s="11"/>
      <c r="J204" s="5"/>
      <c r="K204" s="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</row>
    <row r="205">
      <c r="A205" s="10"/>
      <c r="B205" s="5"/>
      <c r="C205" s="5"/>
      <c r="D205" s="5"/>
      <c r="E205" s="5"/>
      <c r="F205" s="5"/>
      <c r="G205" s="5"/>
      <c r="H205" s="5"/>
      <c r="I205" s="11"/>
      <c r="J205" s="5"/>
      <c r="K205" s="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</row>
    <row r="206">
      <c r="A206" s="10"/>
      <c r="B206" s="5"/>
      <c r="C206" s="5"/>
      <c r="D206" s="5"/>
      <c r="E206" s="5"/>
      <c r="F206" s="5"/>
      <c r="G206" s="5"/>
      <c r="H206" s="5"/>
      <c r="I206" s="11"/>
      <c r="J206" s="5"/>
      <c r="K206" s="5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</row>
    <row r="207">
      <c r="A207" s="10"/>
      <c r="B207" s="5"/>
      <c r="C207" s="5"/>
      <c r="D207" s="5"/>
      <c r="E207" s="5"/>
      <c r="F207" s="5"/>
      <c r="G207" s="5"/>
      <c r="H207" s="5"/>
      <c r="I207" s="11"/>
      <c r="J207" s="5"/>
      <c r="K207" s="5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</row>
    <row r="208">
      <c r="A208" s="10"/>
      <c r="B208" s="5"/>
      <c r="C208" s="5"/>
      <c r="D208" s="5"/>
      <c r="E208" s="5"/>
      <c r="F208" s="5"/>
      <c r="G208" s="5"/>
      <c r="H208" s="5"/>
      <c r="I208" s="11"/>
      <c r="J208" s="5"/>
      <c r="K208" s="5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</row>
    <row r="209">
      <c r="A209" s="10"/>
      <c r="B209" s="5"/>
      <c r="C209" s="5"/>
      <c r="D209" s="5"/>
      <c r="E209" s="5"/>
      <c r="F209" s="5"/>
      <c r="G209" s="5"/>
      <c r="H209" s="5"/>
      <c r="I209" s="11"/>
      <c r="J209" s="5"/>
      <c r="K209" s="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</row>
    <row r="210">
      <c r="A210" s="10"/>
      <c r="B210" s="5"/>
      <c r="C210" s="5"/>
      <c r="D210" s="5"/>
      <c r="E210" s="5"/>
      <c r="F210" s="5"/>
      <c r="G210" s="5"/>
      <c r="H210" s="5"/>
      <c r="I210" s="11"/>
      <c r="J210" s="5"/>
      <c r="K210" s="5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</row>
    <row r="211">
      <c r="A211" s="10"/>
      <c r="B211" s="5"/>
      <c r="C211" s="5"/>
      <c r="D211" s="5"/>
      <c r="E211" s="5"/>
      <c r="F211" s="5"/>
      <c r="G211" s="5"/>
      <c r="H211" s="5"/>
      <c r="I211" s="11"/>
      <c r="J211" s="5"/>
      <c r="K211" s="5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</row>
    <row r="212">
      <c r="A212" s="10"/>
      <c r="B212" s="5"/>
      <c r="C212" s="5"/>
      <c r="D212" s="5"/>
      <c r="E212" s="5"/>
      <c r="F212" s="5"/>
      <c r="G212" s="5"/>
      <c r="H212" s="5"/>
      <c r="I212" s="11"/>
      <c r="J212" s="5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</row>
    <row r="213">
      <c r="A213" s="10"/>
      <c r="B213" s="5"/>
      <c r="C213" s="5"/>
      <c r="D213" s="5"/>
      <c r="E213" s="5"/>
      <c r="F213" s="5"/>
      <c r="G213" s="5"/>
      <c r="H213" s="5"/>
      <c r="I213" s="11"/>
      <c r="J213" s="5"/>
      <c r="K213" s="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</row>
    <row r="214">
      <c r="A214" s="10"/>
      <c r="B214" s="5"/>
      <c r="C214" s="5"/>
      <c r="D214" s="5"/>
      <c r="E214" s="5"/>
      <c r="F214" s="5"/>
      <c r="G214" s="5"/>
      <c r="H214" s="5"/>
      <c r="I214" s="11"/>
      <c r="J214" s="5"/>
      <c r="K214" s="5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</row>
    <row r="215">
      <c r="A215" s="10"/>
      <c r="B215" s="5"/>
      <c r="C215" s="5"/>
      <c r="D215" s="5"/>
      <c r="E215" s="5"/>
      <c r="F215" s="5"/>
      <c r="G215" s="5"/>
      <c r="H215" s="5"/>
      <c r="I215" s="11"/>
      <c r="J215" s="5"/>
      <c r="K215" s="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</row>
    <row r="216">
      <c r="A216" s="10"/>
      <c r="B216" s="5"/>
      <c r="C216" s="5"/>
      <c r="D216" s="5"/>
      <c r="E216" s="5"/>
      <c r="F216" s="5"/>
      <c r="G216" s="5"/>
      <c r="H216" s="5"/>
      <c r="I216" s="11"/>
      <c r="J216" s="5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</row>
    <row r="217">
      <c r="A217" s="10"/>
      <c r="B217" s="5"/>
      <c r="C217" s="5"/>
      <c r="D217" s="5"/>
      <c r="E217" s="5"/>
      <c r="F217" s="5"/>
      <c r="G217" s="5"/>
      <c r="H217" s="5"/>
      <c r="I217" s="11"/>
      <c r="J217" s="5"/>
      <c r="K217" s="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</row>
    <row r="218">
      <c r="A218" s="10"/>
      <c r="B218" s="5"/>
      <c r="C218" s="5"/>
      <c r="D218" s="5"/>
      <c r="E218" s="5"/>
      <c r="F218" s="5"/>
      <c r="G218" s="5"/>
      <c r="H218" s="5"/>
      <c r="I218" s="11"/>
      <c r="J218" s="5"/>
      <c r="K218" s="5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</row>
    <row r="219">
      <c r="A219" s="10"/>
      <c r="B219" s="5"/>
      <c r="C219" s="5"/>
      <c r="D219" s="5"/>
      <c r="E219" s="5"/>
      <c r="F219" s="5"/>
      <c r="G219" s="5"/>
      <c r="H219" s="5"/>
      <c r="I219" s="11"/>
      <c r="J219" s="5"/>
      <c r="K219" s="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</row>
    <row r="220">
      <c r="A220" s="10"/>
      <c r="B220" s="5"/>
      <c r="C220" s="5"/>
      <c r="D220" s="5"/>
      <c r="E220" s="5"/>
      <c r="F220" s="5"/>
      <c r="G220" s="5"/>
      <c r="H220" s="5"/>
      <c r="I220" s="11"/>
      <c r="J220" s="5"/>
      <c r="K220" s="5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</row>
    <row r="221">
      <c r="A221" s="10"/>
      <c r="B221" s="5"/>
      <c r="C221" s="5"/>
      <c r="D221" s="5"/>
      <c r="E221" s="5"/>
      <c r="F221" s="5"/>
      <c r="G221" s="5"/>
      <c r="H221" s="5"/>
      <c r="I221" s="11"/>
      <c r="J221" s="5"/>
      <c r="K221" s="5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</row>
    <row r="222">
      <c r="A222" s="10"/>
      <c r="B222" s="5"/>
      <c r="C222" s="5"/>
      <c r="D222" s="5"/>
      <c r="E222" s="5"/>
      <c r="F222" s="5"/>
      <c r="G222" s="5"/>
      <c r="H222" s="5"/>
      <c r="I222" s="11"/>
      <c r="J222" s="5"/>
      <c r="K222" s="5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</row>
    <row r="223">
      <c r="A223" s="10"/>
      <c r="B223" s="5"/>
      <c r="C223" s="5"/>
      <c r="D223" s="5"/>
      <c r="E223" s="5"/>
      <c r="F223" s="5"/>
      <c r="G223" s="5"/>
      <c r="H223" s="5"/>
      <c r="I223" s="11"/>
      <c r="J223" s="5"/>
      <c r="K223" s="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</row>
    <row r="224">
      <c r="A224" s="10"/>
      <c r="B224" s="5"/>
      <c r="C224" s="5"/>
      <c r="D224" s="5"/>
      <c r="E224" s="5"/>
      <c r="F224" s="5"/>
      <c r="G224" s="5"/>
      <c r="H224" s="5"/>
      <c r="I224" s="11"/>
      <c r="J224" s="5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</row>
    <row r="225">
      <c r="A225" s="10"/>
      <c r="B225" s="5"/>
      <c r="C225" s="5"/>
      <c r="D225" s="5"/>
      <c r="E225" s="5"/>
      <c r="F225" s="5"/>
      <c r="G225" s="5"/>
      <c r="H225" s="5"/>
      <c r="I225" s="11"/>
      <c r="J225" s="5"/>
      <c r="K225" s="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</row>
    <row r="226">
      <c r="A226" s="10"/>
      <c r="B226" s="5"/>
      <c r="C226" s="5"/>
      <c r="D226" s="5"/>
      <c r="E226" s="5"/>
      <c r="F226" s="5"/>
      <c r="G226" s="5"/>
      <c r="H226" s="5"/>
      <c r="I226" s="11"/>
      <c r="J226" s="5"/>
      <c r="K226" s="5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</row>
    <row r="227">
      <c r="A227" s="10"/>
      <c r="B227" s="5"/>
      <c r="C227" s="5"/>
      <c r="D227" s="5"/>
      <c r="E227" s="5"/>
      <c r="F227" s="5"/>
      <c r="G227" s="5"/>
      <c r="H227" s="5"/>
      <c r="I227" s="11"/>
      <c r="J227" s="5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</row>
    <row r="228">
      <c r="A228" s="10"/>
      <c r="B228" s="5"/>
      <c r="C228" s="5"/>
      <c r="D228" s="5"/>
      <c r="E228" s="5"/>
      <c r="F228" s="5"/>
      <c r="G228" s="5"/>
      <c r="H228" s="5"/>
      <c r="I228" s="11"/>
      <c r="J228" s="5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</row>
    <row r="229">
      <c r="A229" s="10"/>
      <c r="B229" s="5"/>
      <c r="C229" s="5"/>
      <c r="D229" s="5"/>
      <c r="E229" s="5"/>
      <c r="F229" s="5"/>
      <c r="G229" s="5"/>
      <c r="H229" s="5"/>
      <c r="I229" s="11"/>
      <c r="J229" s="5"/>
      <c r="K229" s="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</row>
    <row r="230">
      <c r="A230" s="10"/>
      <c r="B230" s="5"/>
      <c r="C230" s="5"/>
      <c r="D230" s="5"/>
      <c r="E230" s="5"/>
      <c r="F230" s="5"/>
      <c r="G230" s="5"/>
      <c r="H230" s="5"/>
      <c r="I230" s="11"/>
      <c r="J230" s="5"/>
      <c r="K230" s="5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</row>
    <row r="231">
      <c r="A231" s="10"/>
      <c r="B231" s="5"/>
      <c r="C231" s="5"/>
      <c r="D231" s="5"/>
      <c r="E231" s="5"/>
      <c r="F231" s="5"/>
      <c r="G231" s="5"/>
      <c r="H231" s="5"/>
      <c r="I231" s="11"/>
      <c r="J231" s="5"/>
      <c r="K231" s="5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</row>
    <row r="232">
      <c r="A232" s="10"/>
      <c r="B232" s="5"/>
      <c r="C232" s="5"/>
      <c r="D232" s="5"/>
      <c r="E232" s="5"/>
      <c r="F232" s="5"/>
      <c r="G232" s="5"/>
      <c r="H232" s="5"/>
      <c r="I232" s="11"/>
      <c r="J232" s="5"/>
      <c r="K232" s="5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</row>
    <row r="233">
      <c r="A233" s="10"/>
      <c r="B233" s="5"/>
      <c r="C233" s="5"/>
      <c r="D233" s="5"/>
      <c r="E233" s="5"/>
      <c r="F233" s="5"/>
      <c r="G233" s="5"/>
      <c r="H233" s="5"/>
      <c r="I233" s="11"/>
      <c r="J233" s="5"/>
      <c r="K233" s="5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</row>
    <row r="234">
      <c r="A234" s="10"/>
      <c r="B234" s="5"/>
      <c r="C234" s="5"/>
      <c r="D234" s="5"/>
      <c r="E234" s="5"/>
      <c r="F234" s="5"/>
      <c r="G234" s="5"/>
      <c r="H234" s="5"/>
      <c r="I234" s="11"/>
      <c r="J234" s="5"/>
      <c r="K234" s="5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</row>
    <row r="235">
      <c r="A235" s="10"/>
      <c r="B235" s="5"/>
      <c r="C235" s="5"/>
      <c r="D235" s="5"/>
      <c r="E235" s="5"/>
      <c r="F235" s="5"/>
      <c r="G235" s="5"/>
      <c r="H235" s="5"/>
      <c r="I235" s="11"/>
      <c r="J235" s="5"/>
      <c r="K235" s="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</row>
    <row r="236">
      <c r="A236" s="10"/>
      <c r="B236" s="5"/>
      <c r="C236" s="5"/>
      <c r="D236" s="5"/>
      <c r="E236" s="5"/>
      <c r="F236" s="5"/>
      <c r="G236" s="5"/>
      <c r="H236" s="5"/>
      <c r="I236" s="11"/>
      <c r="J236" s="5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</row>
    <row r="237">
      <c r="A237" s="10"/>
      <c r="B237" s="5"/>
      <c r="C237" s="5"/>
      <c r="D237" s="5"/>
      <c r="E237" s="5"/>
      <c r="F237" s="5"/>
      <c r="G237" s="5"/>
      <c r="H237" s="5"/>
      <c r="I237" s="11"/>
      <c r="J237" s="5"/>
      <c r="K237" s="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</row>
    <row r="238">
      <c r="A238" s="10"/>
      <c r="B238" s="5"/>
      <c r="C238" s="5"/>
      <c r="D238" s="5"/>
      <c r="E238" s="5"/>
      <c r="F238" s="5"/>
      <c r="G238" s="5"/>
      <c r="H238" s="5"/>
      <c r="I238" s="11"/>
      <c r="J238" s="5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</row>
    <row r="239">
      <c r="A239" s="10"/>
      <c r="B239" s="5"/>
      <c r="C239" s="5"/>
      <c r="D239" s="5"/>
      <c r="E239" s="5"/>
      <c r="F239" s="5"/>
      <c r="G239" s="5"/>
      <c r="H239" s="5"/>
      <c r="I239" s="11"/>
      <c r="J239" s="5"/>
      <c r="K239" s="5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</row>
    <row r="240">
      <c r="A240" s="10"/>
      <c r="B240" s="5"/>
      <c r="C240" s="5"/>
      <c r="D240" s="5"/>
      <c r="E240" s="5"/>
      <c r="F240" s="5"/>
      <c r="G240" s="5"/>
      <c r="H240" s="5"/>
      <c r="I240" s="11"/>
      <c r="J240" s="5"/>
      <c r="K240" s="5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</row>
    <row r="241">
      <c r="A241" s="10"/>
      <c r="B241" s="5"/>
      <c r="C241" s="5"/>
      <c r="D241" s="5"/>
      <c r="E241" s="5"/>
      <c r="F241" s="5"/>
      <c r="G241" s="5"/>
      <c r="H241" s="5"/>
      <c r="I241" s="11"/>
      <c r="J241" s="5"/>
      <c r="K241" s="5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</row>
    <row r="242">
      <c r="A242" s="10"/>
      <c r="B242" s="5"/>
      <c r="C242" s="5"/>
      <c r="D242" s="5"/>
      <c r="E242" s="5"/>
      <c r="F242" s="5"/>
      <c r="G242" s="5"/>
      <c r="H242" s="5"/>
      <c r="I242" s="11"/>
      <c r="J242" s="5"/>
      <c r="K242" s="5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</row>
    <row r="243">
      <c r="A243" s="10"/>
      <c r="B243" s="5"/>
      <c r="C243" s="5"/>
      <c r="D243" s="5"/>
      <c r="E243" s="5"/>
      <c r="F243" s="5"/>
      <c r="G243" s="5"/>
      <c r="H243" s="5"/>
      <c r="I243" s="11"/>
      <c r="J243" s="5"/>
      <c r="K243" s="5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</row>
    <row r="244">
      <c r="A244" s="10"/>
      <c r="B244" s="5"/>
      <c r="C244" s="5"/>
      <c r="D244" s="5"/>
      <c r="E244" s="5"/>
      <c r="F244" s="5"/>
      <c r="G244" s="5"/>
      <c r="H244" s="5"/>
      <c r="I244" s="11"/>
      <c r="J244" s="5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</row>
    <row r="245">
      <c r="A245" s="10"/>
      <c r="B245" s="5"/>
      <c r="C245" s="5"/>
      <c r="D245" s="5"/>
      <c r="E245" s="5"/>
      <c r="F245" s="5"/>
      <c r="G245" s="5"/>
      <c r="H245" s="5"/>
      <c r="I245" s="11"/>
      <c r="J245" s="5"/>
      <c r="K245" s="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</row>
    <row r="246">
      <c r="A246" s="10"/>
      <c r="B246" s="5"/>
      <c r="C246" s="5"/>
      <c r="D246" s="5"/>
      <c r="E246" s="5"/>
      <c r="F246" s="5"/>
      <c r="G246" s="5"/>
      <c r="H246" s="5"/>
      <c r="I246" s="11"/>
      <c r="J246" s="5"/>
      <c r="K246" s="5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</row>
    <row r="247">
      <c r="A247" s="10"/>
      <c r="B247" s="5"/>
      <c r="C247" s="5"/>
      <c r="D247" s="5"/>
      <c r="E247" s="5"/>
      <c r="F247" s="5"/>
      <c r="G247" s="5"/>
      <c r="H247" s="5"/>
      <c r="I247" s="11"/>
      <c r="J247" s="5"/>
      <c r="K247" s="5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</row>
    <row r="248">
      <c r="A248" s="10"/>
      <c r="B248" s="5"/>
      <c r="C248" s="5"/>
      <c r="D248" s="5"/>
      <c r="E248" s="5"/>
      <c r="F248" s="5"/>
      <c r="G248" s="5"/>
      <c r="H248" s="5"/>
      <c r="I248" s="11"/>
      <c r="J248" s="5"/>
      <c r="K248" s="5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</row>
    <row r="249">
      <c r="A249" s="10"/>
      <c r="B249" s="5"/>
      <c r="C249" s="5"/>
      <c r="D249" s="5"/>
      <c r="E249" s="5"/>
      <c r="F249" s="5"/>
      <c r="G249" s="5"/>
      <c r="H249" s="5"/>
      <c r="I249" s="11"/>
      <c r="J249" s="5"/>
      <c r="K249" s="5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</row>
    <row r="250">
      <c r="A250" s="10"/>
      <c r="B250" s="5"/>
      <c r="C250" s="5"/>
      <c r="D250" s="5"/>
      <c r="E250" s="5"/>
      <c r="F250" s="5"/>
      <c r="G250" s="5"/>
      <c r="H250" s="5"/>
      <c r="I250" s="11"/>
      <c r="J250" s="5"/>
      <c r="K250" s="5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</row>
    <row r="251">
      <c r="A251" s="10"/>
      <c r="B251" s="5"/>
      <c r="C251" s="5"/>
      <c r="D251" s="5"/>
      <c r="E251" s="5"/>
      <c r="F251" s="5"/>
      <c r="G251" s="5"/>
      <c r="H251" s="5"/>
      <c r="I251" s="11"/>
      <c r="J251" s="5"/>
      <c r="K251" s="5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</row>
    <row r="252">
      <c r="A252" s="10"/>
      <c r="B252" s="5"/>
      <c r="C252" s="5"/>
      <c r="D252" s="5"/>
      <c r="E252" s="5"/>
      <c r="F252" s="5"/>
      <c r="G252" s="5"/>
      <c r="H252" s="5"/>
      <c r="I252" s="11"/>
      <c r="J252" s="5"/>
      <c r="K252" s="5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</row>
    <row r="253">
      <c r="A253" s="10"/>
      <c r="B253" s="5"/>
      <c r="C253" s="5"/>
      <c r="D253" s="5"/>
      <c r="E253" s="5"/>
      <c r="F253" s="5"/>
      <c r="G253" s="5"/>
      <c r="H253" s="5"/>
      <c r="I253" s="11"/>
      <c r="J253" s="5"/>
      <c r="K253" s="5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</row>
    <row r="254">
      <c r="A254" s="10"/>
      <c r="B254" s="5"/>
      <c r="C254" s="5"/>
      <c r="D254" s="5"/>
      <c r="E254" s="5"/>
      <c r="F254" s="5"/>
      <c r="G254" s="5"/>
      <c r="H254" s="5"/>
      <c r="I254" s="11"/>
      <c r="J254" s="5"/>
      <c r="K254" s="5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</row>
    <row r="255">
      <c r="A255" s="10"/>
      <c r="B255" s="5"/>
      <c r="C255" s="5"/>
      <c r="D255" s="5"/>
      <c r="E255" s="5"/>
      <c r="F255" s="5"/>
      <c r="G255" s="5"/>
      <c r="H255" s="5"/>
      <c r="I255" s="11"/>
      <c r="J255" s="5"/>
      <c r="K255" s="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</row>
    <row r="256">
      <c r="A256" s="10"/>
      <c r="B256" s="5"/>
      <c r="C256" s="5"/>
      <c r="D256" s="5"/>
      <c r="E256" s="5"/>
      <c r="F256" s="5"/>
      <c r="G256" s="5"/>
      <c r="H256" s="5"/>
      <c r="I256" s="11"/>
      <c r="J256" s="5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</row>
    <row r="257">
      <c r="A257" s="10"/>
      <c r="B257" s="5"/>
      <c r="C257" s="5"/>
      <c r="D257" s="5"/>
      <c r="E257" s="5"/>
      <c r="F257" s="5"/>
      <c r="G257" s="5"/>
      <c r="H257" s="5"/>
      <c r="I257" s="11"/>
      <c r="J257" s="5"/>
      <c r="K257" s="5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</row>
    <row r="258">
      <c r="A258" s="10"/>
      <c r="B258" s="5"/>
      <c r="C258" s="5"/>
      <c r="D258" s="5"/>
      <c r="E258" s="5"/>
      <c r="F258" s="5"/>
      <c r="G258" s="5"/>
      <c r="H258" s="5"/>
      <c r="I258" s="11"/>
      <c r="J258" s="5"/>
      <c r="K258" s="5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</row>
    <row r="259">
      <c r="A259" s="10"/>
      <c r="B259" s="5"/>
      <c r="C259" s="5"/>
      <c r="D259" s="5"/>
      <c r="E259" s="5"/>
      <c r="F259" s="5"/>
      <c r="G259" s="5"/>
      <c r="H259" s="5"/>
      <c r="I259" s="11"/>
      <c r="J259" s="5"/>
      <c r="K259" s="5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</row>
    <row r="260">
      <c r="A260" s="10"/>
      <c r="B260" s="5"/>
      <c r="C260" s="5"/>
      <c r="D260" s="5"/>
      <c r="E260" s="5"/>
      <c r="F260" s="5"/>
      <c r="G260" s="5"/>
      <c r="H260" s="5"/>
      <c r="I260" s="11"/>
      <c r="J260" s="5"/>
      <c r="K260" s="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</row>
    <row r="261">
      <c r="A261" s="10"/>
      <c r="B261" s="5"/>
      <c r="C261" s="5"/>
      <c r="D261" s="5"/>
      <c r="E261" s="5"/>
      <c r="F261" s="5"/>
      <c r="G261" s="5"/>
      <c r="H261" s="5"/>
      <c r="I261" s="11"/>
      <c r="J261" s="5"/>
      <c r="K261" s="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</row>
    <row r="262">
      <c r="A262" s="10"/>
      <c r="B262" s="5"/>
      <c r="C262" s="5"/>
      <c r="D262" s="5"/>
      <c r="E262" s="5"/>
      <c r="F262" s="5"/>
      <c r="G262" s="5"/>
      <c r="H262" s="5"/>
      <c r="I262" s="11"/>
      <c r="J262" s="5"/>
      <c r="K262" s="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</row>
    <row r="263">
      <c r="A263" s="10"/>
      <c r="B263" s="5"/>
      <c r="C263" s="5"/>
      <c r="D263" s="5"/>
      <c r="E263" s="5"/>
      <c r="F263" s="5"/>
      <c r="G263" s="5"/>
      <c r="H263" s="5"/>
      <c r="I263" s="11"/>
      <c r="J263" s="5"/>
      <c r="K263" s="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</row>
    <row r="264">
      <c r="A264" s="10"/>
      <c r="B264" s="5"/>
      <c r="C264" s="5"/>
      <c r="D264" s="5"/>
      <c r="E264" s="5"/>
      <c r="F264" s="5"/>
      <c r="G264" s="5"/>
      <c r="H264" s="5"/>
      <c r="I264" s="11"/>
      <c r="J264" s="5"/>
      <c r="K264" s="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</row>
    <row r="265">
      <c r="A265" s="10"/>
      <c r="B265" s="5"/>
      <c r="C265" s="5"/>
      <c r="D265" s="5"/>
      <c r="E265" s="5"/>
      <c r="F265" s="5"/>
      <c r="G265" s="5"/>
      <c r="H265" s="5"/>
      <c r="I265" s="11"/>
      <c r="J265" s="5"/>
      <c r="K265" s="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</row>
    <row r="266">
      <c r="A266" s="10"/>
      <c r="B266" s="5"/>
      <c r="C266" s="5"/>
      <c r="D266" s="5"/>
      <c r="E266" s="5"/>
      <c r="F266" s="5"/>
      <c r="G266" s="5"/>
      <c r="H266" s="5"/>
      <c r="I266" s="11"/>
      <c r="J266" s="5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</row>
    <row r="267">
      <c r="A267" s="10"/>
      <c r="B267" s="5"/>
      <c r="C267" s="5"/>
      <c r="D267" s="5"/>
      <c r="E267" s="5"/>
      <c r="F267" s="5"/>
      <c r="G267" s="5"/>
      <c r="H267" s="5"/>
      <c r="I267" s="11"/>
      <c r="J267" s="5"/>
      <c r="K267" s="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</row>
    <row r="268">
      <c r="A268" s="10"/>
      <c r="B268" s="5"/>
      <c r="C268" s="5"/>
      <c r="D268" s="5"/>
      <c r="E268" s="5"/>
      <c r="F268" s="5"/>
      <c r="G268" s="5"/>
      <c r="H268" s="5"/>
      <c r="I268" s="11"/>
      <c r="J268" s="5"/>
      <c r="K268" s="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</row>
    <row r="269">
      <c r="A269" s="10"/>
      <c r="B269" s="5"/>
      <c r="C269" s="5"/>
      <c r="D269" s="5"/>
      <c r="E269" s="5"/>
      <c r="F269" s="5"/>
      <c r="G269" s="5"/>
      <c r="H269" s="5"/>
      <c r="I269" s="11"/>
      <c r="J269" s="5"/>
      <c r="K269" s="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</row>
    <row r="270">
      <c r="A270" s="10"/>
      <c r="B270" s="5"/>
      <c r="C270" s="5"/>
      <c r="D270" s="5"/>
      <c r="E270" s="5"/>
      <c r="F270" s="5"/>
      <c r="G270" s="5"/>
      <c r="H270" s="5"/>
      <c r="I270" s="11"/>
      <c r="J270" s="5"/>
      <c r="K270" s="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</row>
    <row r="271">
      <c r="A271" s="10"/>
      <c r="B271" s="5"/>
      <c r="C271" s="5"/>
      <c r="D271" s="5"/>
      <c r="E271" s="5"/>
      <c r="F271" s="5"/>
      <c r="G271" s="5"/>
      <c r="H271" s="5"/>
      <c r="I271" s="11"/>
      <c r="J271" s="5"/>
      <c r="K271" s="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</row>
    <row r="272">
      <c r="A272" s="10"/>
      <c r="B272" s="5"/>
      <c r="C272" s="5"/>
      <c r="D272" s="5"/>
      <c r="E272" s="5"/>
      <c r="F272" s="5"/>
      <c r="G272" s="5"/>
      <c r="H272" s="5"/>
      <c r="I272" s="11"/>
      <c r="J272" s="5"/>
      <c r="K272" s="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</row>
    <row r="273">
      <c r="A273" s="10"/>
      <c r="B273" s="5"/>
      <c r="C273" s="5"/>
      <c r="D273" s="5"/>
      <c r="E273" s="5"/>
      <c r="F273" s="5"/>
      <c r="G273" s="5"/>
      <c r="H273" s="5"/>
      <c r="I273" s="11"/>
      <c r="J273" s="5"/>
      <c r="K273" s="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</row>
    <row r="274">
      <c r="A274" s="10"/>
      <c r="B274" s="5"/>
      <c r="C274" s="5"/>
      <c r="D274" s="5"/>
      <c r="E274" s="5"/>
      <c r="F274" s="5"/>
      <c r="G274" s="5"/>
      <c r="H274" s="5"/>
      <c r="I274" s="11"/>
      <c r="J274" s="5"/>
      <c r="K274" s="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</row>
    <row r="275">
      <c r="A275" s="10"/>
      <c r="B275" s="5"/>
      <c r="C275" s="5"/>
      <c r="D275" s="5"/>
      <c r="E275" s="5"/>
      <c r="F275" s="5"/>
      <c r="G275" s="5"/>
      <c r="H275" s="5"/>
      <c r="I275" s="11"/>
      <c r="J275" s="5"/>
      <c r="K275" s="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</row>
    <row r="276">
      <c r="A276" s="10"/>
      <c r="B276" s="5"/>
      <c r="C276" s="5"/>
      <c r="D276" s="5"/>
      <c r="E276" s="5"/>
      <c r="F276" s="5"/>
      <c r="G276" s="5"/>
      <c r="H276" s="5"/>
      <c r="I276" s="11"/>
      <c r="J276" s="5"/>
      <c r="K276" s="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</row>
    <row r="277">
      <c r="A277" s="10"/>
      <c r="B277" s="5"/>
      <c r="C277" s="5"/>
      <c r="D277" s="5"/>
      <c r="E277" s="5"/>
      <c r="F277" s="5"/>
      <c r="G277" s="5"/>
      <c r="H277" s="5"/>
      <c r="I277" s="11"/>
      <c r="J277" s="5"/>
      <c r="K277" s="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</row>
    <row r="278">
      <c r="A278" s="10"/>
      <c r="B278" s="5"/>
      <c r="C278" s="5"/>
      <c r="D278" s="5"/>
      <c r="E278" s="5"/>
      <c r="F278" s="5"/>
      <c r="G278" s="5"/>
      <c r="H278" s="5"/>
      <c r="I278" s="11"/>
      <c r="J278" s="5"/>
      <c r="K278" s="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</row>
    <row r="279">
      <c r="A279" s="10"/>
      <c r="B279" s="5"/>
      <c r="C279" s="5"/>
      <c r="D279" s="5"/>
      <c r="E279" s="5"/>
      <c r="F279" s="5"/>
      <c r="G279" s="5"/>
      <c r="H279" s="5"/>
      <c r="I279" s="11"/>
      <c r="J279" s="5"/>
      <c r="K279" s="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</row>
    <row r="280">
      <c r="A280" s="10"/>
      <c r="B280" s="5"/>
      <c r="C280" s="5"/>
      <c r="D280" s="5"/>
      <c r="E280" s="5"/>
      <c r="F280" s="5"/>
      <c r="G280" s="5"/>
      <c r="H280" s="5"/>
      <c r="I280" s="11"/>
      <c r="J280" s="5"/>
      <c r="K280" s="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</row>
    <row r="281">
      <c r="A281" s="10"/>
      <c r="B281" s="5"/>
      <c r="C281" s="5"/>
      <c r="D281" s="5"/>
      <c r="E281" s="5"/>
      <c r="F281" s="5"/>
      <c r="G281" s="5"/>
      <c r="H281" s="5"/>
      <c r="I281" s="11"/>
      <c r="J281" s="5"/>
      <c r="K281" s="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</row>
    <row r="282">
      <c r="A282" s="10"/>
      <c r="B282" s="5"/>
      <c r="C282" s="5"/>
      <c r="D282" s="5"/>
      <c r="E282" s="5"/>
      <c r="F282" s="5"/>
      <c r="G282" s="5"/>
      <c r="H282" s="5"/>
      <c r="I282" s="11"/>
      <c r="J282" s="5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</row>
    <row r="283">
      <c r="A283" s="10"/>
      <c r="B283" s="5"/>
      <c r="C283" s="5"/>
      <c r="D283" s="5"/>
      <c r="E283" s="5"/>
      <c r="F283" s="5"/>
      <c r="G283" s="5"/>
      <c r="H283" s="5"/>
      <c r="I283" s="11"/>
      <c r="J283" s="5"/>
      <c r="K283" s="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</row>
    <row r="284">
      <c r="A284" s="10"/>
      <c r="B284" s="5"/>
      <c r="C284" s="5"/>
      <c r="D284" s="5"/>
      <c r="E284" s="5"/>
      <c r="F284" s="5"/>
      <c r="G284" s="5"/>
      <c r="H284" s="5"/>
      <c r="I284" s="11"/>
      <c r="J284" s="5"/>
      <c r="K284" s="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</row>
    <row r="285">
      <c r="A285" s="10"/>
      <c r="B285" s="5"/>
      <c r="C285" s="5"/>
      <c r="D285" s="5"/>
      <c r="E285" s="5"/>
      <c r="F285" s="5"/>
      <c r="G285" s="5"/>
      <c r="H285" s="5"/>
      <c r="I285" s="11"/>
      <c r="J285" s="5"/>
      <c r="K285" s="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</row>
    <row r="286">
      <c r="A286" s="10"/>
      <c r="B286" s="5"/>
      <c r="C286" s="5"/>
      <c r="D286" s="5"/>
      <c r="E286" s="5"/>
      <c r="F286" s="5"/>
      <c r="G286" s="5"/>
      <c r="H286" s="5"/>
      <c r="I286" s="11"/>
      <c r="J286" s="5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</row>
    <row r="287">
      <c r="A287" s="10"/>
      <c r="B287" s="5"/>
      <c r="C287" s="5"/>
      <c r="D287" s="5"/>
      <c r="E287" s="5"/>
      <c r="F287" s="5"/>
      <c r="G287" s="5"/>
      <c r="H287" s="5"/>
      <c r="I287" s="11"/>
      <c r="J287" s="5"/>
      <c r="K287" s="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</row>
    <row r="288">
      <c r="A288" s="10"/>
      <c r="B288" s="5"/>
      <c r="C288" s="5"/>
      <c r="D288" s="5"/>
      <c r="E288" s="5"/>
      <c r="F288" s="5"/>
      <c r="G288" s="5"/>
      <c r="H288" s="5"/>
      <c r="I288" s="11"/>
      <c r="J288" s="5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</row>
    <row r="289">
      <c r="A289" s="10"/>
      <c r="B289" s="5"/>
      <c r="C289" s="5"/>
      <c r="D289" s="5"/>
      <c r="E289" s="5"/>
      <c r="F289" s="5"/>
      <c r="G289" s="5"/>
      <c r="H289" s="5"/>
      <c r="I289" s="11"/>
      <c r="J289" s="5"/>
      <c r="K289" s="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</row>
    <row r="290">
      <c r="A290" s="10"/>
      <c r="B290" s="5"/>
      <c r="C290" s="5"/>
      <c r="D290" s="5"/>
      <c r="E290" s="5"/>
      <c r="F290" s="5"/>
      <c r="G290" s="5"/>
      <c r="H290" s="5"/>
      <c r="I290" s="11"/>
      <c r="J290" s="5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</row>
    <row r="291">
      <c r="A291" s="10"/>
      <c r="B291" s="5"/>
      <c r="C291" s="5"/>
      <c r="D291" s="5"/>
      <c r="E291" s="5"/>
      <c r="F291" s="5"/>
      <c r="G291" s="5"/>
      <c r="H291" s="5"/>
      <c r="I291" s="11"/>
      <c r="J291" s="5"/>
      <c r="K291" s="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</row>
    <row r="292">
      <c r="A292" s="10"/>
      <c r="B292" s="5"/>
      <c r="C292" s="5"/>
      <c r="D292" s="5"/>
      <c r="E292" s="5"/>
      <c r="F292" s="5"/>
      <c r="G292" s="5"/>
      <c r="H292" s="5"/>
      <c r="I292" s="11"/>
      <c r="J292" s="5"/>
      <c r="K292" s="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</row>
    <row r="293">
      <c r="A293" s="10"/>
      <c r="B293" s="5"/>
      <c r="C293" s="5"/>
      <c r="D293" s="5"/>
      <c r="E293" s="5"/>
      <c r="F293" s="5"/>
      <c r="G293" s="5"/>
      <c r="H293" s="5"/>
      <c r="I293" s="11"/>
      <c r="J293" s="5"/>
      <c r="K293" s="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</row>
    <row r="294">
      <c r="A294" s="10"/>
      <c r="B294" s="5"/>
      <c r="C294" s="5"/>
      <c r="D294" s="5"/>
      <c r="E294" s="5"/>
      <c r="F294" s="5"/>
      <c r="G294" s="5"/>
      <c r="H294" s="5"/>
      <c r="I294" s="11"/>
      <c r="J294" s="5"/>
      <c r="K294" s="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</row>
    <row r="295">
      <c r="A295" s="10"/>
      <c r="B295" s="5"/>
      <c r="C295" s="5"/>
      <c r="D295" s="5"/>
      <c r="E295" s="5"/>
      <c r="F295" s="5"/>
      <c r="G295" s="5"/>
      <c r="H295" s="5"/>
      <c r="I295" s="11"/>
      <c r="J295" s="5"/>
      <c r="K295" s="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</row>
    <row r="296">
      <c r="A296" s="10"/>
      <c r="B296" s="5"/>
      <c r="C296" s="5"/>
      <c r="D296" s="5"/>
      <c r="E296" s="5"/>
      <c r="F296" s="5"/>
      <c r="G296" s="5"/>
      <c r="H296" s="5"/>
      <c r="I296" s="11"/>
      <c r="J296" s="5"/>
      <c r="K296" s="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</row>
    <row r="297">
      <c r="A297" s="10"/>
      <c r="B297" s="5"/>
      <c r="C297" s="5"/>
      <c r="D297" s="5"/>
      <c r="E297" s="5"/>
      <c r="F297" s="5"/>
      <c r="G297" s="5"/>
      <c r="H297" s="5"/>
      <c r="I297" s="11"/>
      <c r="J297" s="5"/>
      <c r="K297" s="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</row>
    <row r="298">
      <c r="A298" s="10"/>
      <c r="B298" s="5"/>
      <c r="C298" s="5"/>
      <c r="D298" s="5"/>
      <c r="E298" s="5"/>
      <c r="F298" s="5"/>
      <c r="G298" s="5"/>
      <c r="H298" s="5"/>
      <c r="I298" s="11"/>
      <c r="J298" s="5"/>
      <c r="K298" s="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</row>
    <row r="299">
      <c r="A299" s="10"/>
      <c r="B299" s="5"/>
      <c r="C299" s="5"/>
      <c r="D299" s="5"/>
      <c r="E299" s="5"/>
      <c r="F299" s="5"/>
      <c r="G299" s="5"/>
      <c r="H299" s="5"/>
      <c r="I299" s="11"/>
      <c r="J299" s="5"/>
      <c r="K299" s="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</row>
    <row r="300">
      <c r="A300" s="10"/>
      <c r="B300" s="5"/>
      <c r="C300" s="5"/>
      <c r="D300" s="5"/>
      <c r="E300" s="5"/>
      <c r="F300" s="5"/>
      <c r="G300" s="5"/>
      <c r="H300" s="5"/>
      <c r="I300" s="11"/>
      <c r="J300" s="5"/>
      <c r="K300" s="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</row>
    <row r="301">
      <c r="A301" s="10"/>
      <c r="B301" s="5"/>
      <c r="C301" s="5"/>
      <c r="D301" s="5"/>
      <c r="E301" s="5"/>
      <c r="F301" s="5"/>
      <c r="G301" s="5"/>
      <c r="H301" s="5"/>
      <c r="I301" s="11"/>
      <c r="J301" s="5"/>
      <c r="K301" s="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</row>
    <row r="302">
      <c r="A302" s="10"/>
      <c r="B302" s="5"/>
      <c r="C302" s="5"/>
      <c r="D302" s="5"/>
      <c r="E302" s="5"/>
      <c r="F302" s="5"/>
      <c r="G302" s="5"/>
      <c r="H302" s="5"/>
      <c r="I302" s="11"/>
      <c r="J302" s="5"/>
      <c r="K302" s="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</row>
    <row r="303">
      <c r="A303" s="10"/>
      <c r="B303" s="5"/>
      <c r="C303" s="5"/>
      <c r="D303" s="5"/>
      <c r="E303" s="5"/>
      <c r="F303" s="5"/>
      <c r="G303" s="5"/>
      <c r="H303" s="5"/>
      <c r="I303" s="11"/>
      <c r="J303" s="5"/>
      <c r="K303" s="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</row>
    <row r="304">
      <c r="A304" s="10"/>
      <c r="B304" s="5"/>
      <c r="C304" s="5"/>
      <c r="D304" s="5"/>
      <c r="E304" s="5"/>
      <c r="F304" s="5"/>
      <c r="G304" s="5"/>
      <c r="H304" s="5"/>
      <c r="I304" s="11"/>
      <c r="J304" s="5"/>
      <c r="K304" s="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</row>
    <row r="305">
      <c r="A305" s="10"/>
      <c r="B305" s="5"/>
      <c r="C305" s="5"/>
      <c r="D305" s="5"/>
      <c r="E305" s="5"/>
      <c r="F305" s="5"/>
      <c r="G305" s="5"/>
      <c r="H305" s="5"/>
      <c r="I305" s="11"/>
      <c r="J305" s="5"/>
      <c r="K305" s="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</row>
    <row r="306">
      <c r="A306" s="10"/>
      <c r="B306" s="5"/>
      <c r="C306" s="5"/>
      <c r="D306" s="5"/>
      <c r="E306" s="5"/>
      <c r="F306" s="5"/>
      <c r="G306" s="5"/>
      <c r="H306" s="5"/>
      <c r="I306" s="11"/>
      <c r="J306" s="5"/>
      <c r="K306" s="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</row>
    <row r="307">
      <c r="A307" s="10"/>
      <c r="B307" s="5"/>
      <c r="C307" s="5"/>
      <c r="D307" s="5"/>
      <c r="E307" s="5"/>
      <c r="F307" s="5"/>
      <c r="G307" s="5"/>
      <c r="H307" s="5"/>
      <c r="I307" s="11"/>
      <c r="J307" s="5"/>
      <c r="K307" s="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</row>
    <row r="308">
      <c r="A308" s="10"/>
      <c r="B308" s="5"/>
      <c r="C308" s="5"/>
      <c r="D308" s="5"/>
      <c r="E308" s="5"/>
      <c r="F308" s="5"/>
      <c r="G308" s="5"/>
      <c r="H308" s="5"/>
      <c r="I308" s="11"/>
      <c r="J308" s="5"/>
      <c r="K308" s="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</row>
    <row r="309">
      <c r="A309" s="10"/>
      <c r="B309" s="5"/>
      <c r="C309" s="5"/>
      <c r="D309" s="5"/>
      <c r="E309" s="5"/>
      <c r="F309" s="5"/>
      <c r="G309" s="5"/>
      <c r="H309" s="5"/>
      <c r="I309" s="11"/>
      <c r="J309" s="5"/>
      <c r="K309" s="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</row>
    <row r="310">
      <c r="A310" s="10"/>
      <c r="B310" s="5"/>
      <c r="C310" s="5"/>
      <c r="D310" s="5"/>
      <c r="E310" s="5"/>
      <c r="F310" s="5"/>
      <c r="G310" s="5"/>
      <c r="H310" s="5"/>
      <c r="I310" s="11"/>
      <c r="J310" s="5"/>
      <c r="K310" s="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</row>
    <row r="311">
      <c r="A311" s="10"/>
      <c r="B311" s="5"/>
      <c r="C311" s="5"/>
      <c r="D311" s="5"/>
      <c r="E311" s="5"/>
      <c r="F311" s="5"/>
      <c r="G311" s="5"/>
      <c r="H311" s="5"/>
      <c r="I311" s="11"/>
      <c r="J311" s="5"/>
      <c r="K311" s="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</row>
    <row r="312">
      <c r="A312" s="10"/>
      <c r="B312" s="5"/>
      <c r="C312" s="5"/>
      <c r="D312" s="5"/>
      <c r="E312" s="5"/>
      <c r="F312" s="5"/>
      <c r="G312" s="5"/>
      <c r="H312" s="5"/>
      <c r="I312" s="11"/>
      <c r="J312" s="5"/>
      <c r="K312" s="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</row>
    <row r="313">
      <c r="A313" s="10"/>
      <c r="B313" s="5"/>
      <c r="C313" s="5"/>
      <c r="D313" s="5"/>
      <c r="E313" s="5"/>
      <c r="F313" s="5"/>
      <c r="G313" s="5"/>
      <c r="H313" s="5"/>
      <c r="I313" s="11"/>
      <c r="J313" s="5"/>
      <c r="K313" s="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</row>
    <row r="314">
      <c r="A314" s="10"/>
      <c r="B314" s="5"/>
      <c r="C314" s="5"/>
      <c r="D314" s="5"/>
      <c r="E314" s="5"/>
      <c r="F314" s="5"/>
      <c r="G314" s="5"/>
      <c r="H314" s="5"/>
      <c r="I314" s="11"/>
      <c r="J314" s="5"/>
      <c r="K314" s="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</row>
    <row r="315">
      <c r="A315" s="10"/>
      <c r="B315" s="5"/>
      <c r="C315" s="5"/>
      <c r="D315" s="5"/>
      <c r="E315" s="5"/>
      <c r="F315" s="5"/>
      <c r="G315" s="5"/>
      <c r="H315" s="5"/>
      <c r="I315" s="11"/>
      <c r="J315" s="5"/>
      <c r="K315" s="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</row>
    <row r="316">
      <c r="A316" s="10"/>
      <c r="B316" s="5"/>
      <c r="C316" s="5"/>
      <c r="D316" s="5"/>
      <c r="E316" s="5"/>
      <c r="F316" s="5"/>
      <c r="G316" s="5"/>
      <c r="H316" s="5"/>
      <c r="I316" s="11"/>
      <c r="J316" s="5"/>
      <c r="K316" s="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</row>
    <row r="317">
      <c r="A317" s="10"/>
      <c r="B317" s="5"/>
      <c r="C317" s="5"/>
      <c r="D317" s="5"/>
      <c r="E317" s="5"/>
      <c r="F317" s="5"/>
      <c r="G317" s="5"/>
      <c r="H317" s="5"/>
      <c r="I317" s="11"/>
      <c r="J317" s="5"/>
      <c r="K317" s="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</row>
    <row r="318">
      <c r="A318" s="10"/>
      <c r="B318" s="5"/>
      <c r="C318" s="5"/>
      <c r="D318" s="5"/>
      <c r="E318" s="5"/>
      <c r="F318" s="5"/>
      <c r="G318" s="5"/>
      <c r="H318" s="5"/>
      <c r="I318" s="11"/>
      <c r="J318" s="5"/>
      <c r="K318" s="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</row>
    <row r="319">
      <c r="A319" s="10"/>
      <c r="B319" s="5"/>
      <c r="C319" s="5"/>
      <c r="D319" s="5"/>
      <c r="E319" s="5"/>
      <c r="F319" s="5"/>
      <c r="G319" s="5"/>
      <c r="H319" s="5"/>
      <c r="I319" s="11"/>
      <c r="J319" s="5"/>
      <c r="K319" s="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</row>
    <row r="320">
      <c r="A320" s="10"/>
      <c r="B320" s="5"/>
      <c r="C320" s="5"/>
      <c r="D320" s="5"/>
      <c r="E320" s="5"/>
      <c r="F320" s="5"/>
      <c r="G320" s="5"/>
      <c r="H320" s="5"/>
      <c r="I320" s="11"/>
      <c r="J320" s="5"/>
      <c r="K320" s="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</row>
    <row r="321">
      <c r="A321" s="10"/>
      <c r="B321" s="5"/>
      <c r="C321" s="5"/>
      <c r="D321" s="5"/>
      <c r="E321" s="5"/>
      <c r="F321" s="5"/>
      <c r="G321" s="5"/>
      <c r="H321" s="5"/>
      <c r="I321" s="11"/>
      <c r="J321" s="5"/>
      <c r="K321" s="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</row>
    <row r="322">
      <c r="A322" s="10"/>
      <c r="B322" s="5"/>
      <c r="C322" s="5"/>
      <c r="D322" s="5"/>
      <c r="E322" s="5"/>
      <c r="F322" s="5"/>
      <c r="G322" s="5"/>
      <c r="H322" s="5"/>
      <c r="I322" s="11"/>
      <c r="J322" s="5"/>
      <c r="K322" s="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</row>
    <row r="323">
      <c r="A323" s="10"/>
      <c r="B323" s="5"/>
      <c r="C323" s="5"/>
      <c r="D323" s="5"/>
      <c r="E323" s="5"/>
      <c r="F323" s="5"/>
      <c r="G323" s="5"/>
      <c r="H323" s="5"/>
      <c r="I323" s="11"/>
      <c r="J323" s="5"/>
      <c r="K323" s="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</row>
    <row r="324">
      <c r="A324" s="10"/>
      <c r="B324" s="5"/>
      <c r="C324" s="5"/>
      <c r="D324" s="5"/>
      <c r="E324" s="5"/>
      <c r="F324" s="5"/>
      <c r="G324" s="5"/>
      <c r="H324" s="5"/>
      <c r="I324" s="11"/>
      <c r="J324" s="5"/>
      <c r="K324" s="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</row>
    <row r="325">
      <c r="A325" s="10"/>
      <c r="B325" s="5"/>
      <c r="C325" s="5"/>
      <c r="D325" s="5"/>
      <c r="E325" s="5"/>
      <c r="F325" s="5"/>
      <c r="G325" s="5"/>
      <c r="H325" s="5"/>
      <c r="I325" s="11"/>
      <c r="J325" s="5"/>
      <c r="K325" s="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</row>
    <row r="326">
      <c r="A326" s="10"/>
      <c r="B326" s="5"/>
      <c r="C326" s="5"/>
      <c r="D326" s="5"/>
      <c r="E326" s="5"/>
      <c r="F326" s="5"/>
      <c r="G326" s="5"/>
      <c r="H326" s="5"/>
      <c r="I326" s="11"/>
      <c r="J326" s="5"/>
      <c r="K326" s="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</row>
    <row r="327">
      <c r="A327" s="10"/>
      <c r="B327" s="5"/>
      <c r="C327" s="5"/>
      <c r="D327" s="5"/>
      <c r="E327" s="5"/>
      <c r="F327" s="5"/>
      <c r="G327" s="5"/>
      <c r="H327" s="5"/>
      <c r="I327" s="11"/>
      <c r="J327" s="5"/>
      <c r="K327" s="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</row>
    <row r="328">
      <c r="A328" s="10"/>
      <c r="B328" s="5"/>
      <c r="C328" s="5"/>
      <c r="D328" s="5"/>
      <c r="E328" s="5"/>
      <c r="F328" s="5"/>
      <c r="G328" s="5"/>
      <c r="H328" s="5"/>
      <c r="I328" s="11"/>
      <c r="J328" s="5"/>
      <c r="K328" s="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</row>
    <row r="329">
      <c r="A329" s="10"/>
      <c r="B329" s="5"/>
      <c r="C329" s="5"/>
      <c r="D329" s="5"/>
      <c r="E329" s="5"/>
      <c r="F329" s="5"/>
      <c r="G329" s="5"/>
      <c r="H329" s="5"/>
      <c r="I329" s="11"/>
      <c r="J329" s="5"/>
      <c r="K329" s="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</row>
    <row r="330">
      <c r="A330" s="10"/>
      <c r="B330" s="5"/>
      <c r="C330" s="5"/>
      <c r="D330" s="5"/>
      <c r="E330" s="5"/>
      <c r="F330" s="5"/>
      <c r="G330" s="5"/>
      <c r="H330" s="5"/>
      <c r="I330" s="11"/>
      <c r="J330" s="5"/>
      <c r="K330" s="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</row>
    <row r="331">
      <c r="A331" s="10"/>
      <c r="B331" s="5"/>
      <c r="C331" s="5"/>
      <c r="D331" s="5"/>
      <c r="E331" s="5"/>
      <c r="F331" s="5"/>
      <c r="G331" s="5"/>
      <c r="H331" s="5"/>
      <c r="I331" s="11"/>
      <c r="J331" s="5"/>
      <c r="K331" s="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</row>
    <row r="332">
      <c r="A332" s="10"/>
      <c r="B332" s="5"/>
      <c r="C332" s="5"/>
      <c r="D332" s="5"/>
      <c r="E332" s="5"/>
      <c r="F332" s="5"/>
      <c r="G332" s="5"/>
      <c r="H332" s="5"/>
      <c r="I332" s="11"/>
      <c r="J332" s="5"/>
      <c r="K332" s="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</row>
    <row r="333">
      <c r="A333" s="10"/>
      <c r="B333" s="5"/>
      <c r="C333" s="5"/>
      <c r="D333" s="5"/>
      <c r="E333" s="5"/>
      <c r="F333" s="5"/>
      <c r="G333" s="5"/>
      <c r="H333" s="5"/>
      <c r="I333" s="11"/>
      <c r="J333" s="5"/>
      <c r="K333" s="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</row>
    <row r="334">
      <c r="A334" s="10"/>
      <c r="B334" s="5"/>
      <c r="C334" s="5"/>
      <c r="D334" s="5"/>
      <c r="E334" s="5"/>
      <c r="F334" s="5"/>
      <c r="G334" s="5"/>
      <c r="H334" s="5"/>
      <c r="I334" s="11"/>
      <c r="J334" s="5"/>
      <c r="K334" s="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</row>
    <row r="335">
      <c r="A335" s="10"/>
      <c r="B335" s="5"/>
      <c r="C335" s="5"/>
      <c r="D335" s="5"/>
      <c r="E335" s="5"/>
      <c r="F335" s="5"/>
      <c r="G335" s="5"/>
      <c r="H335" s="5"/>
      <c r="I335" s="11"/>
      <c r="J335" s="5"/>
      <c r="K335" s="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</row>
    <row r="336">
      <c r="A336" s="10"/>
      <c r="B336" s="5"/>
      <c r="C336" s="5"/>
      <c r="D336" s="5"/>
      <c r="E336" s="5"/>
      <c r="F336" s="5"/>
      <c r="G336" s="5"/>
      <c r="H336" s="5"/>
      <c r="I336" s="11"/>
      <c r="J336" s="5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</row>
    <row r="337">
      <c r="A337" s="10"/>
      <c r="B337" s="5"/>
      <c r="C337" s="5"/>
      <c r="D337" s="5"/>
      <c r="E337" s="5"/>
      <c r="F337" s="5"/>
      <c r="G337" s="5"/>
      <c r="H337" s="5"/>
      <c r="I337" s="11"/>
      <c r="J337" s="5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</row>
    <row r="338">
      <c r="A338" s="10"/>
      <c r="B338" s="5"/>
      <c r="C338" s="5"/>
      <c r="D338" s="5"/>
      <c r="E338" s="5"/>
      <c r="F338" s="5"/>
      <c r="G338" s="5"/>
      <c r="H338" s="5"/>
      <c r="I338" s="11"/>
      <c r="J338" s="5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</row>
    <row r="339">
      <c r="A339" s="10"/>
      <c r="B339" s="5"/>
      <c r="C339" s="5"/>
      <c r="D339" s="5"/>
      <c r="E339" s="5"/>
      <c r="F339" s="5"/>
      <c r="G339" s="5"/>
      <c r="H339" s="5"/>
      <c r="I339" s="11"/>
      <c r="J339" s="5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</row>
    <row r="340">
      <c r="A340" s="10"/>
      <c r="B340" s="5"/>
      <c r="C340" s="5"/>
      <c r="D340" s="5"/>
      <c r="E340" s="5"/>
      <c r="F340" s="5"/>
      <c r="G340" s="5"/>
      <c r="H340" s="5"/>
      <c r="I340" s="11"/>
      <c r="J340" s="5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</row>
    <row r="341">
      <c r="A341" s="10"/>
      <c r="B341" s="5"/>
      <c r="C341" s="5"/>
      <c r="D341" s="5"/>
      <c r="E341" s="5"/>
      <c r="F341" s="5"/>
      <c r="G341" s="5"/>
      <c r="H341" s="5"/>
      <c r="I341" s="11"/>
      <c r="J341" s="5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</row>
    <row r="342">
      <c r="A342" s="10"/>
      <c r="B342" s="5"/>
      <c r="C342" s="5"/>
      <c r="D342" s="5"/>
      <c r="E342" s="5"/>
      <c r="F342" s="5"/>
      <c r="G342" s="5"/>
      <c r="H342" s="5"/>
      <c r="I342" s="11"/>
      <c r="J342" s="5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</row>
    <row r="343">
      <c r="A343" s="10"/>
      <c r="B343" s="5"/>
      <c r="C343" s="5"/>
      <c r="D343" s="5"/>
      <c r="E343" s="5"/>
      <c r="F343" s="5"/>
      <c r="G343" s="5"/>
      <c r="H343" s="5"/>
      <c r="I343" s="11"/>
      <c r="J343" s="5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</row>
    <row r="344">
      <c r="A344" s="10"/>
      <c r="B344" s="5"/>
      <c r="C344" s="5"/>
      <c r="D344" s="5"/>
      <c r="E344" s="5"/>
      <c r="F344" s="5"/>
      <c r="G344" s="5"/>
      <c r="H344" s="5"/>
      <c r="I344" s="11"/>
      <c r="J344" s="5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</row>
    <row r="345">
      <c r="A345" s="10"/>
      <c r="B345" s="5"/>
      <c r="C345" s="5"/>
      <c r="D345" s="5"/>
      <c r="E345" s="5"/>
      <c r="F345" s="5"/>
      <c r="G345" s="5"/>
      <c r="H345" s="5"/>
      <c r="I345" s="11"/>
      <c r="J345" s="5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</row>
    <row r="346">
      <c r="A346" s="10"/>
      <c r="B346" s="5"/>
      <c r="C346" s="5"/>
      <c r="D346" s="5"/>
      <c r="E346" s="5"/>
      <c r="F346" s="5"/>
      <c r="G346" s="5"/>
      <c r="H346" s="5"/>
      <c r="I346" s="11"/>
      <c r="J346" s="5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</row>
    <row r="347">
      <c r="A347" s="10"/>
      <c r="B347" s="5"/>
      <c r="C347" s="5"/>
      <c r="D347" s="5"/>
      <c r="E347" s="5"/>
      <c r="F347" s="5"/>
      <c r="G347" s="5"/>
      <c r="H347" s="5"/>
      <c r="I347" s="11"/>
      <c r="J347" s="5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</row>
    <row r="348">
      <c r="A348" s="10"/>
      <c r="B348" s="5"/>
      <c r="C348" s="5"/>
      <c r="D348" s="5"/>
      <c r="E348" s="5"/>
      <c r="F348" s="5"/>
      <c r="G348" s="5"/>
      <c r="H348" s="5"/>
      <c r="I348" s="11"/>
      <c r="J348" s="5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</row>
    <row r="349">
      <c r="A349" s="10"/>
      <c r="B349" s="5"/>
      <c r="C349" s="5"/>
      <c r="D349" s="5"/>
      <c r="E349" s="5"/>
      <c r="F349" s="5"/>
      <c r="G349" s="5"/>
      <c r="H349" s="5"/>
      <c r="I349" s="11"/>
      <c r="J349" s="5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</row>
    <row r="350">
      <c r="A350" s="10"/>
      <c r="B350" s="5"/>
      <c r="C350" s="5"/>
      <c r="D350" s="5"/>
      <c r="E350" s="5"/>
      <c r="F350" s="5"/>
      <c r="G350" s="5"/>
      <c r="H350" s="5"/>
      <c r="I350" s="11"/>
      <c r="J350" s="5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</row>
    <row r="351">
      <c r="A351" s="10"/>
      <c r="B351" s="5"/>
      <c r="C351" s="5"/>
      <c r="D351" s="5"/>
      <c r="E351" s="5"/>
      <c r="F351" s="5"/>
      <c r="G351" s="5"/>
      <c r="H351" s="5"/>
      <c r="I351" s="11"/>
      <c r="J351" s="5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</row>
    <row r="352">
      <c r="A352" s="10"/>
      <c r="B352" s="5"/>
      <c r="C352" s="5"/>
      <c r="D352" s="5"/>
      <c r="E352" s="5"/>
      <c r="F352" s="5"/>
      <c r="G352" s="5"/>
      <c r="H352" s="5"/>
      <c r="I352" s="11"/>
      <c r="J352" s="5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</row>
    <row r="353">
      <c r="A353" s="10"/>
      <c r="B353" s="5"/>
      <c r="C353" s="5"/>
      <c r="D353" s="5"/>
      <c r="E353" s="5"/>
      <c r="F353" s="5"/>
      <c r="G353" s="5"/>
      <c r="H353" s="5"/>
      <c r="I353" s="11"/>
      <c r="J353" s="5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</row>
    <row r="354">
      <c r="A354" s="10"/>
      <c r="B354" s="5"/>
      <c r="C354" s="5"/>
      <c r="D354" s="5"/>
      <c r="E354" s="5"/>
      <c r="F354" s="5"/>
      <c r="G354" s="5"/>
      <c r="H354" s="5"/>
      <c r="I354" s="11"/>
      <c r="J354" s="5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</row>
    <row r="355">
      <c r="A355" s="10"/>
      <c r="B355" s="5"/>
      <c r="C355" s="5"/>
      <c r="D355" s="5"/>
      <c r="E355" s="5"/>
      <c r="F355" s="5"/>
      <c r="G355" s="5"/>
      <c r="H355" s="5"/>
      <c r="I355" s="11"/>
      <c r="J355" s="5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</row>
    <row r="356">
      <c r="A356" s="10"/>
      <c r="B356" s="5"/>
      <c r="C356" s="5"/>
      <c r="D356" s="5"/>
      <c r="E356" s="5"/>
      <c r="F356" s="5"/>
      <c r="G356" s="5"/>
      <c r="H356" s="5"/>
      <c r="I356" s="11"/>
      <c r="J356" s="5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</row>
    <row r="357">
      <c r="A357" s="10"/>
      <c r="B357" s="5"/>
      <c r="C357" s="5"/>
      <c r="D357" s="5"/>
      <c r="E357" s="5"/>
      <c r="F357" s="5"/>
      <c r="G357" s="5"/>
      <c r="H357" s="5"/>
      <c r="I357" s="11"/>
      <c r="J357" s="5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</row>
    <row r="358">
      <c r="A358" s="10"/>
      <c r="B358" s="5"/>
      <c r="C358" s="5"/>
      <c r="D358" s="5"/>
      <c r="E358" s="5"/>
      <c r="F358" s="5"/>
      <c r="G358" s="5"/>
      <c r="H358" s="5"/>
      <c r="I358" s="11"/>
      <c r="J358" s="5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</row>
    <row r="359">
      <c r="A359" s="10"/>
      <c r="B359" s="5"/>
      <c r="C359" s="5"/>
      <c r="D359" s="5"/>
      <c r="E359" s="5"/>
      <c r="F359" s="5"/>
      <c r="G359" s="5"/>
      <c r="H359" s="5"/>
      <c r="I359" s="11"/>
      <c r="J359" s="5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</row>
    <row r="360">
      <c r="A360" s="10"/>
      <c r="B360" s="5"/>
      <c r="C360" s="5"/>
      <c r="D360" s="5"/>
      <c r="E360" s="5"/>
      <c r="F360" s="5"/>
      <c r="G360" s="5"/>
      <c r="H360" s="5"/>
      <c r="I360" s="11"/>
      <c r="J360" s="5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</row>
    <row r="361">
      <c r="A361" s="10"/>
      <c r="B361" s="5"/>
      <c r="C361" s="5"/>
      <c r="D361" s="5"/>
      <c r="E361" s="5"/>
      <c r="F361" s="5"/>
      <c r="G361" s="5"/>
      <c r="H361" s="5"/>
      <c r="I361" s="11"/>
      <c r="J361" s="5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</row>
    <row r="362">
      <c r="A362" s="10"/>
      <c r="B362" s="5"/>
      <c r="C362" s="5"/>
      <c r="D362" s="5"/>
      <c r="E362" s="5"/>
      <c r="F362" s="5"/>
      <c r="G362" s="5"/>
      <c r="H362" s="5"/>
      <c r="I362" s="11"/>
      <c r="J362" s="5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</row>
    <row r="363">
      <c r="A363" s="10"/>
      <c r="B363" s="5"/>
      <c r="C363" s="5"/>
      <c r="D363" s="5"/>
      <c r="E363" s="5"/>
      <c r="F363" s="5"/>
      <c r="G363" s="5"/>
      <c r="H363" s="5"/>
      <c r="I363" s="11"/>
      <c r="J363" s="5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</row>
    <row r="364">
      <c r="A364" s="10"/>
      <c r="B364" s="5"/>
      <c r="C364" s="5"/>
      <c r="D364" s="5"/>
      <c r="E364" s="5"/>
      <c r="F364" s="5"/>
      <c r="G364" s="5"/>
      <c r="H364" s="5"/>
      <c r="I364" s="11"/>
      <c r="J364" s="5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</row>
    <row r="365">
      <c r="A365" s="10"/>
      <c r="B365" s="5"/>
      <c r="C365" s="5"/>
      <c r="D365" s="5"/>
      <c r="E365" s="5"/>
      <c r="F365" s="5"/>
      <c r="G365" s="5"/>
      <c r="H365" s="5"/>
      <c r="I365" s="11"/>
      <c r="J365" s="5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</row>
    <row r="366">
      <c r="A366" s="10"/>
      <c r="B366" s="5"/>
      <c r="C366" s="5"/>
      <c r="D366" s="5"/>
      <c r="E366" s="5"/>
      <c r="F366" s="5"/>
      <c r="G366" s="5"/>
      <c r="H366" s="5"/>
      <c r="I366" s="11"/>
      <c r="J366" s="5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</row>
    <row r="367">
      <c r="A367" s="10"/>
      <c r="B367" s="5"/>
      <c r="C367" s="5"/>
      <c r="D367" s="5"/>
      <c r="E367" s="5"/>
      <c r="F367" s="5"/>
      <c r="G367" s="5"/>
      <c r="H367" s="5"/>
      <c r="I367" s="11"/>
      <c r="J367" s="5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</row>
    <row r="368">
      <c r="A368" s="10"/>
      <c r="B368" s="5"/>
      <c r="C368" s="5"/>
      <c r="D368" s="5"/>
      <c r="E368" s="5"/>
      <c r="F368" s="5"/>
      <c r="G368" s="5"/>
      <c r="H368" s="5"/>
      <c r="I368" s="11"/>
      <c r="J368" s="5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</row>
    <row r="369">
      <c r="A369" s="10"/>
      <c r="B369" s="5"/>
      <c r="C369" s="5"/>
      <c r="D369" s="5"/>
      <c r="E369" s="5"/>
      <c r="F369" s="5"/>
      <c r="G369" s="5"/>
      <c r="H369" s="5"/>
      <c r="I369" s="11"/>
      <c r="J369" s="5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</row>
    <row r="370">
      <c r="A370" s="10"/>
      <c r="B370" s="5"/>
      <c r="C370" s="5"/>
      <c r="D370" s="5"/>
      <c r="E370" s="5"/>
      <c r="F370" s="5"/>
      <c r="G370" s="5"/>
      <c r="H370" s="5"/>
      <c r="I370" s="11"/>
      <c r="J370" s="5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</row>
    <row r="371">
      <c r="A371" s="10"/>
      <c r="B371" s="5"/>
      <c r="C371" s="5"/>
      <c r="D371" s="5"/>
      <c r="E371" s="5"/>
      <c r="F371" s="5"/>
      <c r="G371" s="5"/>
      <c r="H371" s="5"/>
      <c r="I371" s="11"/>
      <c r="J371" s="5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</row>
    <row r="372">
      <c r="A372" s="10"/>
      <c r="B372" s="5"/>
      <c r="C372" s="5"/>
      <c r="D372" s="5"/>
      <c r="E372" s="5"/>
      <c r="F372" s="5"/>
      <c r="G372" s="5"/>
      <c r="H372" s="5"/>
      <c r="I372" s="11"/>
      <c r="J372" s="5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</row>
    <row r="373">
      <c r="A373" s="10"/>
      <c r="B373" s="5"/>
      <c r="C373" s="5"/>
      <c r="D373" s="5"/>
      <c r="E373" s="5"/>
      <c r="F373" s="5"/>
      <c r="G373" s="5"/>
      <c r="H373" s="5"/>
      <c r="I373" s="11"/>
      <c r="J373" s="5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</row>
    <row r="374">
      <c r="A374" s="10"/>
      <c r="B374" s="5"/>
      <c r="C374" s="5"/>
      <c r="D374" s="5"/>
      <c r="E374" s="5"/>
      <c r="F374" s="5"/>
      <c r="G374" s="5"/>
      <c r="H374" s="5"/>
      <c r="I374" s="11"/>
      <c r="J374" s="5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</row>
    <row r="375">
      <c r="A375" s="10"/>
      <c r="B375" s="5"/>
      <c r="C375" s="5"/>
      <c r="D375" s="5"/>
      <c r="E375" s="5"/>
      <c r="F375" s="5"/>
      <c r="G375" s="5"/>
      <c r="H375" s="5"/>
      <c r="I375" s="11"/>
      <c r="J375" s="5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</row>
    <row r="376">
      <c r="A376" s="10"/>
      <c r="B376" s="5"/>
      <c r="C376" s="5"/>
      <c r="D376" s="5"/>
      <c r="E376" s="5"/>
      <c r="F376" s="5"/>
      <c r="G376" s="5"/>
      <c r="H376" s="5"/>
      <c r="I376" s="11"/>
      <c r="J376" s="5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</row>
    <row r="377">
      <c r="A377" s="10"/>
      <c r="B377" s="5"/>
      <c r="C377" s="5"/>
      <c r="D377" s="5"/>
      <c r="E377" s="5"/>
      <c r="F377" s="5"/>
      <c r="G377" s="5"/>
      <c r="H377" s="5"/>
      <c r="I377" s="11"/>
      <c r="J377" s="5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</row>
    <row r="378">
      <c r="A378" s="10"/>
      <c r="B378" s="5"/>
      <c r="C378" s="5"/>
      <c r="D378" s="5"/>
      <c r="E378" s="5"/>
      <c r="F378" s="5"/>
      <c r="G378" s="5"/>
      <c r="H378" s="5"/>
      <c r="I378" s="11"/>
      <c r="J378" s="5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</row>
    <row r="379">
      <c r="A379" s="10"/>
      <c r="B379" s="5"/>
      <c r="C379" s="5"/>
      <c r="D379" s="5"/>
      <c r="E379" s="5"/>
      <c r="F379" s="5"/>
      <c r="G379" s="5"/>
      <c r="H379" s="5"/>
      <c r="I379" s="11"/>
      <c r="J379" s="5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</row>
    <row r="380">
      <c r="A380" s="10"/>
      <c r="B380" s="5"/>
      <c r="C380" s="5"/>
      <c r="D380" s="5"/>
      <c r="E380" s="5"/>
      <c r="F380" s="5"/>
      <c r="G380" s="5"/>
      <c r="H380" s="5"/>
      <c r="I380" s="11"/>
      <c r="J380" s="5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</row>
    <row r="381">
      <c r="A381" s="10"/>
      <c r="B381" s="5"/>
      <c r="C381" s="5"/>
      <c r="D381" s="5"/>
      <c r="E381" s="5"/>
      <c r="F381" s="5"/>
      <c r="G381" s="5"/>
      <c r="H381" s="5"/>
      <c r="I381" s="11"/>
      <c r="J381" s="5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</row>
    <row r="382">
      <c r="A382" s="10"/>
      <c r="B382" s="5"/>
      <c r="C382" s="5"/>
      <c r="D382" s="5"/>
      <c r="E382" s="5"/>
      <c r="F382" s="5"/>
      <c r="G382" s="5"/>
      <c r="H382" s="5"/>
      <c r="I382" s="11"/>
      <c r="J382" s="5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</row>
    <row r="383">
      <c r="A383" s="10"/>
      <c r="B383" s="5"/>
      <c r="C383" s="5"/>
      <c r="D383" s="5"/>
      <c r="E383" s="5"/>
      <c r="F383" s="5"/>
      <c r="G383" s="5"/>
      <c r="H383" s="5"/>
      <c r="I383" s="11"/>
      <c r="J383" s="5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</row>
    <row r="384">
      <c r="A384" s="10"/>
      <c r="B384" s="5"/>
      <c r="C384" s="5"/>
      <c r="D384" s="5"/>
      <c r="E384" s="5"/>
      <c r="F384" s="5"/>
      <c r="G384" s="5"/>
      <c r="H384" s="5"/>
      <c r="I384" s="11"/>
      <c r="J384" s="5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</row>
    <row r="385">
      <c r="A385" s="10"/>
      <c r="B385" s="5"/>
      <c r="C385" s="5"/>
      <c r="D385" s="5"/>
      <c r="E385" s="5"/>
      <c r="F385" s="5"/>
      <c r="G385" s="5"/>
      <c r="H385" s="5"/>
      <c r="I385" s="11"/>
      <c r="J385" s="5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  <c r="KO385" s="4"/>
      <c r="KP385" s="4"/>
      <c r="KQ385" s="4"/>
    </row>
    <row r="386">
      <c r="A386" s="10"/>
      <c r="B386" s="5"/>
      <c r="C386" s="5"/>
      <c r="D386" s="5"/>
      <c r="E386" s="5"/>
      <c r="F386" s="5"/>
      <c r="G386" s="5"/>
      <c r="H386" s="5"/>
      <c r="I386" s="11"/>
      <c r="J386" s="5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</row>
    <row r="387">
      <c r="A387" s="10"/>
      <c r="B387" s="5"/>
      <c r="C387" s="5"/>
      <c r="D387" s="5"/>
      <c r="E387" s="5"/>
      <c r="F387" s="5"/>
      <c r="G387" s="5"/>
      <c r="H387" s="5"/>
      <c r="I387" s="11"/>
      <c r="J387" s="5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  <c r="KO387" s="4"/>
      <c r="KP387" s="4"/>
      <c r="KQ387" s="4"/>
    </row>
    <row r="388">
      <c r="A388" s="10"/>
      <c r="B388" s="5"/>
      <c r="C388" s="5"/>
      <c r="D388" s="5"/>
      <c r="E388" s="5"/>
      <c r="F388" s="5"/>
      <c r="G388" s="5"/>
      <c r="H388" s="5"/>
      <c r="I388" s="11"/>
      <c r="J388" s="5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</row>
    <row r="389">
      <c r="A389" s="10"/>
      <c r="B389" s="5"/>
      <c r="C389" s="5"/>
      <c r="D389" s="5"/>
      <c r="E389" s="5"/>
      <c r="F389" s="5"/>
      <c r="G389" s="5"/>
      <c r="H389" s="5"/>
      <c r="I389" s="11"/>
      <c r="J389" s="5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</row>
    <row r="390">
      <c r="A390" s="10"/>
      <c r="B390" s="5"/>
      <c r="C390" s="5"/>
      <c r="D390" s="5"/>
      <c r="E390" s="5"/>
      <c r="F390" s="5"/>
      <c r="G390" s="5"/>
      <c r="H390" s="5"/>
      <c r="I390" s="11"/>
      <c r="J390" s="5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</row>
    <row r="391">
      <c r="A391" s="10"/>
      <c r="B391" s="5"/>
      <c r="C391" s="5"/>
      <c r="D391" s="5"/>
      <c r="E391" s="5"/>
      <c r="F391" s="5"/>
      <c r="G391" s="5"/>
      <c r="H391" s="5"/>
      <c r="I391" s="11"/>
      <c r="J391" s="5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</row>
    <row r="392">
      <c r="A392" s="10"/>
      <c r="B392" s="5"/>
      <c r="C392" s="5"/>
      <c r="D392" s="5"/>
      <c r="E392" s="5"/>
      <c r="F392" s="5"/>
      <c r="G392" s="5"/>
      <c r="H392" s="5"/>
      <c r="I392" s="11"/>
      <c r="J392" s="5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</row>
    <row r="393">
      <c r="A393" s="10"/>
      <c r="B393" s="5"/>
      <c r="C393" s="5"/>
      <c r="D393" s="5"/>
      <c r="E393" s="5"/>
      <c r="F393" s="5"/>
      <c r="G393" s="5"/>
      <c r="H393" s="5"/>
      <c r="I393" s="11"/>
      <c r="J393" s="5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4"/>
      <c r="KQ393" s="4"/>
    </row>
    <row r="394">
      <c r="A394" s="10"/>
      <c r="B394" s="5"/>
      <c r="C394" s="5"/>
      <c r="D394" s="5"/>
      <c r="E394" s="5"/>
      <c r="F394" s="5"/>
      <c r="G394" s="5"/>
      <c r="H394" s="5"/>
      <c r="I394" s="11"/>
      <c r="J394" s="5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</row>
    <row r="395">
      <c r="A395" s="10"/>
      <c r="B395" s="5"/>
      <c r="C395" s="5"/>
      <c r="D395" s="5"/>
      <c r="E395" s="5"/>
      <c r="F395" s="5"/>
      <c r="G395" s="5"/>
      <c r="H395" s="5"/>
      <c r="I395" s="11"/>
      <c r="J395" s="5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</row>
    <row r="396">
      <c r="A396" s="10"/>
      <c r="B396" s="5"/>
      <c r="C396" s="5"/>
      <c r="D396" s="5"/>
      <c r="E396" s="5"/>
      <c r="F396" s="5"/>
      <c r="G396" s="5"/>
      <c r="H396" s="5"/>
      <c r="I396" s="11"/>
      <c r="J396" s="5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</row>
    <row r="397">
      <c r="A397" s="10"/>
      <c r="B397" s="5"/>
      <c r="C397" s="5"/>
      <c r="D397" s="5"/>
      <c r="E397" s="5"/>
      <c r="F397" s="5"/>
      <c r="G397" s="5"/>
      <c r="H397" s="5"/>
      <c r="I397" s="11"/>
      <c r="J397" s="5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</row>
    <row r="398">
      <c r="A398" s="10"/>
      <c r="B398" s="5"/>
      <c r="C398" s="5"/>
      <c r="D398" s="5"/>
      <c r="E398" s="5"/>
      <c r="F398" s="5"/>
      <c r="G398" s="5"/>
      <c r="H398" s="5"/>
      <c r="I398" s="11"/>
      <c r="J398" s="5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</row>
    <row r="399">
      <c r="A399" s="10"/>
      <c r="B399" s="5"/>
      <c r="C399" s="5"/>
      <c r="D399" s="5"/>
      <c r="E399" s="5"/>
      <c r="F399" s="5"/>
      <c r="G399" s="5"/>
      <c r="H399" s="5"/>
      <c r="I399" s="11"/>
      <c r="J399" s="5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  <c r="KO399" s="4"/>
      <c r="KP399" s="4"/>
      <c r="KQ399" s="4"/>
    </row>
    <row r="400">
      <c r="A400" s="10"/>
      <c r="B400" s="5"/>
      <c r="C400" s="5"/>
      <c r="D400" s="5"/>
      <c r="E400" s="5"/>
      <c r="F400" s="5"/>
      <c r="G400" s="5"/>
      <c r="H400" s="5"/>
      <c r="I400" s="11"/>
      <c r="J400" s="5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</row>
    <row r="401">
      <c r="A401" s="10"/>
      <c r="B401" s="5"/>
      <c r="C401" s="5"/>
      <c r="D401" s="5"/>
      <c r="E401" s="5"/>
      <c r="F401" s="5"/>
      <c r="G401" s="5"/>
      <c r="H401" s="5"/>
      <c r="I401" s="11"/>
      <c r="J401" s="5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</row>
    <row r="402">
      <c r="A402" s="10"/>
      <c r="B402" s="5"/>
      <c r="C402" s="5"/>
      <c r="D402" s="5"/>
      <c r="E402" s="5"/>
      <c r="F402" s="5"/>
      <c r="G402" s="5"/>
      <c r="H402" s="5"/>
      <c r="I402" s="11"/>
      <c r="J402" s="5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</row>
    <row r="403">
      <c r="A403" s="10"/>
      <c r="B403" s="5"/>
      <c r="C403" s="5"/>
      <c r="D403" s="5"/>
      <c r="E403" s="5"/>
      <c r="F403" s="5"/>
      <c r="G403" s="5"/>
      <c r="H403" s="5"/>
      <c r="I403" s="11"/>
      <c r="J403" s="5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</row>
    <row r="404">
      <c r="A404" s="10"/>
      <c r="B404" s="5"/>
      <c r="C404" s="5"/>
      <c r="D404" s="5"/>
      <c r="E404" s="5"/>
      <c r="F404" s="5"/>
      <c r="G404" s="5"/>
      <c r="H404" s="5"/>
      <c r="I404" s="11"/>
      <c r="J404" s="5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</row>
    <row r="405">
      <c r="A405" s="10"/>
      <c r="B405" s="5"/>
      <c r="C405" s="5"/>
      <c r="D405" s="5"/>
      <c r="E405" s="5"/>
      <c r="F405" s="5"/>
      <c r="G405" s="5"/>
      <c r="H405" s="5"/>
      <c r="I405" s="11"/>
      <c r="J405" s="5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</row>
    <row r="406">
      <c r="A406" s="10"/>
      <c r="B406" s="5"/>
      <c r="C406" s="5"/>
      <c r="D406" s="5"/>
      <c r="E406" s="5"/>
      <c r="F406" s="5"/>
      <c r="G406" s="5"/>
      <c r="H406" s="5"/>
      <c r="I406" s="11"/>
      <c r="J406" s="5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</row>
    <row r="407">
      <c r="A407" s="10"/>
      <c r="B407" s="5"/>
      <c r="C407" s="5"/>
      <c r="D407" s="5"/>
      <c r="E407" s="5"/>
      <c r="F407" s="5"/>
      <c r="G407" s="5"/>
      <c r="H407" s="5"/>
      <c r="I407" s="11"/>
      <c r="J407" s="5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</row>
    <row r="408">
      <c r="A408" s="10"/>
      <c r="B408" s="5"/>
      <c r="C408" s="5"/>
      <c r="D408" s="5"/>
      <c r="E408" s="5"/>
      <c r="F408" s="5"/>
      <c r="G408" s="5"/>
      <c r="H408" s="5"/>
      <c r="I408" s="11"/>
      <c r="J408" s="5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</row>
    <row r="409">
      <c r="A409" s="10"/>
      <c r="B409" s="5"/>
      <c r="C409" s="5"/>
      <c r="D409" s="5"/>
      <c r="E409" s="5"/>
      <c r="F409" s="5"/>
      <c r="G409" s="5"/>
      <c r="H409" s="5"/>
      <c r="I409" s="11"/>
      <c r="J409" s="5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</row>
    <row r="410">
      <c r="A410" s="10"/>
      <c r="B410" s="5"/>
      <c r="C410" s="5"/>
      <c r="D410" s="5"/>
      <c r="E410" s="5"/>
      <c r="F410" s="5"/>
      <c r="G410" s="5"/>
      <c r="H410" s="5"/>
      <c r="I410" s="11"/>
      <c r="J410" s="5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</row>
    <row r="411">
      <c r="A411" s="10"/>
      <c r="B411" s="5"/>
      <c r="C411" s="5"/>
      <c r="D411" s="5"/>
      <c r="E411" s="5"/>
      <c r="F411" s="5"/>
      <c r="G411" s="5"/>
      <c r="H411" s="5"/>
      <c r="I411" s="11"/>
      <c r="J411" s="5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</row>
    <row r="412">
      <c r="A412" s="10"/>
      <c r="B412" s="5"/>
      <c r="C412" s="5"/>
      <c r="D412" s="5"/>
      <c r="E412" s="5"/>
      <c r="F412" s="5"/>
      <c r="G412" s="5"/>
      <c r="H412" s="5"/>
      <c r="I412" s="11"/>
      <c r="J412" s="5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</row>
    <row r="413">
      <c r="A413" s="10"/>
      <c r="B413" s="5"/>
      <c r="C413" s="5"/>
      <c r="D413" s="5"/>
      <c r="E413" s="5"/>
      <c r="F413" s="5"/>
      <c r="G413" s="5"/>
      <c r="H413" s="5"/>
      <c r="I413" s="11"/>
      <c r="J413" s="5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</row>
    <row r="414">
      <c r="A414" s="10"/>
      <c r="B414" s="5"/>
      <c r="C414" s="5"/>
      <c r="D414" s="5"/>
      <c r="E414" s="5"/>
      <c r="F414" s="5"/>
      <c r="G414" s="5"/>
      <c r="H414" s="5"/>
      <c r="I414" s="11"/>
      <c r="J414" s="5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</row>
    <row r="415">
      <c r="A415" s="10"/>
      <c r="B415" s="5"/>
      <c r="C415" s="5"/>
      <c r="D415" s="5"/>
      <c r="E415" s="5"/>
      <c r="F415" s="5"/>
      <c r="G415" s="5"/>
      <c r="H415" s="5"/>
      <c r="I415" s="11"/>
      <c r="J415" s="5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4"/>
      <c r="KQ415" s="4"/>
    </row>
    <row r="416">
      <c r="A416" s="10"/>
      <c r="B416" s="5"/>
      <c r="C416" s="5"/>
      <c r="D416" s="5"/>
      <c r="E416" s="5"/>
      <c r="F416" s="5"/>
      <c r="G416" s="5"/>
      <c r="H416" s="5"/>
      <c r="I416" s="11"/>
      <c r="J416" s="5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</row>
    <row r="417">
      <c r="A417" s="10"/>
      <c r="B417" s="5"/>
      <c r="C417" s="5"/>
      <c r="D417" s="5"/>
      <c r="E417" s="5"/>
      <c r="F417" s="5"/>
      <c r="G417" s="5"/>
      <c r="H417" s="5"/>
      <c r="I417" s="11"/>
      <c r="J417" s="5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4"/>
      <c r="KQ417" s="4"/>
    </row>
    <row r="418">
      <c r="A418" s="10"/>
      <c r="B418" s="5"/>
      <c r="C418" s="5"/>
      <c r="D418" s="5"/>
      <c r="E418" s="5"/>
      <c r="F418" s="5"/>
      <c r="G418" s="5"/>
      <c r="H418" s="5"/>
      <c r="I418" s="11"/>
      <c r="J418" s="5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</row>
    <row r="419">
      <c r="A419" s="10"/>
      <c r="B419" s="5"/>
      <c r="C419" s="5"/>
      <c r="D419" s="5"/>
      <c r="E419" s="5"/>
      <c r="F419" s="5"/>
      <c r="G419" s="5"/>
      <c r="H419" s="5"/>
      <c r="I419" s="11"/>
      <c r="J419" s="5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</row>
    <row r="420">
      <c r="A420" s="10"/>
      <c r="B420" s="5"/>
      <c r="C420" s="5"/>
      <c r="D420" s="5"/>
      <c r="E420" s="5"/>
      <c r="F420" s="5"/>
      <c r="G420" s="5"/>
      <c r="H420" s="5"/>
      <c r="I420" s="11"/>
      <c r="J420" s="5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</row>
    <row r="421">
      <c r="A421" s="10"/>
      <c r="B421" s="5"/>
      <c r="C421" s="5"/>
      <c r="D421" s="5"/>
      <c r="E421" s="5"/>
      <c r="F421" s="5"/>
      <c r="G421" s="5"/>
      <c r="H421" s="5"/>
      <c r="I421" s="11"/>
      <c r="J421" s="5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4"/>
      <c r="KQ421" s="4"/>
    </row>
    <row r="422">
      <c r="A422" s="10"/>
      <c r="B422" s="5"/>
      <c r="C422" s="5"/>
      <c r="D422" s="5"/>
      <c r="E422" s="5"/>
      <c r="F422" s="5"/>
      <c r="G422" s="5"/>
      <c r="H422" s="5"/>
      <c r="I422" s="11"/>
      <c r="J422" s="5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</row>
    <row r="423">
      <c r="A423" s="10"/>
      <c r="B423" s="5"/>
      <c r="C423" s="5"/>
      <c r="D423" s="5"/>
      <c r="E423" s="5"/>
      <c r="F423" s="5"/>
      <c r="G423" s="5"/>
      <c r="H423" s="5"/>
      <c r="I423" s="11"/>
      <c r="J423" s="5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  <c r="KO423" s="4"/>
      <c r="KP423" s="4"/>
      <c r="KQ423" s="4"/>
    </row>
    <row r="424">
      <c r="A424" s="10"/>
      <c r="B424" s="5"/>
      <c r="C424" s="5"/>
      <c r="D424" s="5"/>
      <c r="E424" s="5"/>
      <c r="F424" s="5"/>
      <c r="G424" s="5"/>
      <c r="H424" s="5"/>
      <c r="I424" s="11"/>
      <c r="J424" s="5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</row>
    <row r="425">
      <c r="A425" s="10"/>
      <c r="B425" s="5"/>
      <c r="C425" s="5"/>
      <c r="D425" s="5"/>
      <c r="E425" s="5"/>
      <c r="F425" s="5"/>
      <c r="G425" s="5"/>
      <c r="H425" s="5"/>
      <c r="I425" s="11"/>
      <c r="J425" s="5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</row>
    <row r="426">
      <c r="A426" s="10"/>
      <c r="B426" s="5"/>
      <c r="C426" s="5"/>
      <c r="D426" s="5"/>
      <c r="E426" s="5"/>
      <c r="F426" s="5"/>
      <c r="G426" s="5"/>
      <c r="H426" s="5"/>
      <c r="I426" s="11"/>
      <c r="J426" s="5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</row>
    <row r="427">
      <c r="A427" s="10"/>
      <c r="B427" s="5"/>
      <c r="C427" s="5"/>
      <c r="D427" s="5"/>
      <c r="E427" s="5"/>
      <c r="F427" s="5"/>
      <c r="G427" s="5"/>
      <c r="H427" s="5"/>
      <c r="I427" s="11"/>
      <c r="J427" s="5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  <c r="KO427" s="4"/>
      <c r="KP427" s="4"/>
      <c r="KQ427" s="4"/>
    </row>
    <row r="428">
      <c r="A428" s="10"/>
      <c r="B428" s="5"/>
      <c r="C428" s="5"/>
      <c r="D428" s="5"/>
      <c r="E428" s="5"/>
      <c r="F428" s="5"/>
      <c r="G428" s="5"/>
      <c r="H428" s="5"/>
      <c r="I428" s="11"/>
      <c r="J428" s="5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</row>
    <row r="429">
      <c r="A429" s="10"/>
      <c r="B429" s="5"/>
      <c r="C429" s="5"/>
      <c r="D429" s="5"/>
      <c r="E429" s="5"/>
      <c r="F429" s="5"/>
      <c r="G429" s="5"/>
      <c r="H429" s="5"/>
      <c r="I429" s="11"/>
      <c r="J429" s="5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  <c r="KO429" s="4"/>
      <c r="KP429" s="4"/>
      <c r="KQ429" s="4"/>
    </row>
    <row r="430">
      <c r="A430" s="10"/>
      <c r="B430" s="5"/>
      <c r="C430" s="5"/>
      <c r="D430" s="5"/>
      <c r="E430" s="5"/>
      <c r="F430" s="5"/>
      <c r="G430" s="5"/>
      <c r="H430" s="5"/>
      <c r="I430" s="11"/>
      <c r="J430" s="5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</row>
    <row r="431">
      <c r="A431" s="10"/>
      <c r="B431" s="5"/>
      <c r="C431" s="5"/>
      <c r="D431" s="5"/>
      <c r="E431" s="5"/>
      <c r="F431" s="5"/>
      <c r="G431" s="5"/>
      <c r="H431" s="5"/>
      <c r="I431" s="11"/>
      <c r="J431" s="5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</row>
    <row r="432">
      <c r="A432" s="10"/>
      <c r="B432" s="5"/>
      <c r="C432" s="5"/>
      <c r="D432" s="5"/>
      <c r="E432" s="5"/>
      <c r="F432" s="5"/>
      <c r="G432" s="5"/>
      <c r="H432" s="5"/>
      <c r="I432" s="11"/>
      <c r="J432" s="5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</row>
    <row r="433">
      <c r="A433" s="10"/>
      <c r="B433" s="5"/>
      <c r="C433" s="5"/>
      <c r="D433" s="5"/>
      <c r="E433" s="5"/>
      <c r="F433" s="5"/>
      <c r="G433" s="5"/>
      <c r="H433" s="5"/>
      <c r="I433" s="11"/>
      <c r="J433" s="5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  <c r="KO433" s="4"/>
      <c r="KP433" s="4"/>
      <c r="KQ433" s="4"/>
    </row>
    <row r="434">
      <c r="A434" s="10"/>
      <c r="B434" s="5"/>
      <c r="C434" s="5"/>
      <c r="D434" s="5"/>
      <c r="E434" s="5"/>
      <c r="F434" s="5"/>
      <c r="G434" s="5"/>
      <c r="H434" s="5"/>
      <c r="I434" s="11"/>
      <c r="J434" s="5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</row>
    <row r="435">
      <c r="A435" s="10"/>
      <c r="B435" s="5"/>
      <c r="C435" s="5"/>
      <c r="D435" s="5"/>
      <c r="E435" s="5"/>
      <c r="F435" s="5"/>
      <c r="G435" s="5"/>
      <c r="H435" s="5"/>
      <c r="I435" s="11"/>
      <c r="J435" s="5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  <c r="KO435" s="4"/>
      <c r="KP435" s="4"/>
      <c r="KQ435" s="4"/>
    </row>
    <row r="436">
      <c r="A436" s="10"/>
      <c r="B436" s="5"/>
      <c r="C436" s="5"/>
      <c r="D436" s="5"/>
      <c r="E436" s="5"/>
      <c r="F436" s="5"/>
      <c r="G436" s="5"/>
      <c r="H436" s="5"/>
      <c r="I436" s="11"/>
      <c r="J436" s="5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4"/>
    </row>
    <row r="437">
      <c r="A437" s="10"/>
      <c r="B437" s="5"/>
      <c r="C437" s="5"/>
      <c r="D437" s="5"/>
      <c r="E437" s="5"/>
      <c r="F437" s="5"/>
      <c r="G437" s="5"/>
      <c r="H437" s="5"/>
      <c r="I437" s="11"/>
      <c r="J437" s="5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4"/>
      <c r="KQ437" s="4"/>
    </row>
    <row r="438">
      <c r="A438" s="10"/>
      <c r="B438" s="5"/>
      <c r="C438" s="5"/>
      <c r="D438" s="5"/>
      <c r="E438" s="5"/>
      <c r="F438" s="5"/>
      <c r="G438" s="5"/>
      <c r="H438" s="5"/>
      <c r="I438" s="11"/>
      <c r="J438" s="5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4"/>
    </row>
    <row r="439">
      <c r="A439" s="10"/>
      <c r="B439" s="5"/>
      <c r="C439" s="5"/>
      <c r="D439" s="5"/>
      <c r="E439" s="5"/>
      <c r="F439" s="5"/>
      <c r="G439" s="5"/>
      <c r="H439" s="5"/>
      <c r="I439" s="11"/>
      <c r="J439" s="5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  <c r="KO439" s="4"/>
      <c r="KP439" s="4"/>
      <c r="KQ439" s="4"/>
    </row>
    <row r="440">
      <c r="A440" s="10"/>
      <c r="B440" s="5"/>
      <c r="C440" s="5"/>
      <c r="D440" s="5"/>
      <c r="E440" s="5"/>
      <c r="F440" s="5"/>
      <c r="G440" s="5"/>
      <c r="H440" s="5"/>
      <c r="I440" s="11"/>
      <c r="J440" s="5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</row>
    <row r="441">
      <c r="A441" s="10"/>
      <c r="B441" s="5"/>
      <c r="C441" s="5"/>
      <c r="D441" s="5"/>
      <c r="E441" s="5"/>
      <c r="F441" s="5"/>
      <c r="G441" s="5"/>
      <c r="H441" s="5"/>
      <c r="I441" s="11"/>
      <c r="J441" s="5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  <c r="KO441" s="4"/>
      <c r="KP441" s="4"/>
      <c r="KQ441" s="4"/>
    </row>
    <row r="442">
      <c r="A442" s="10"/>
      <c r="B442" s="5"/>
      <c r="C442" s="5"/>
      <c r="D442" s="5"/>
      <c r="E442" s="5"/>
      <c r="F442" s="5"/>
      <c r="G442" s="5"/>
      <c r="H442" s="5"/>
      <c r="I442" s="11"/>
      <c r="J442" s="5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4"/>
    </row>
    <row r="443">
      <c r="A443" s="10"/>
      <c r="B443" s="5"/>
      <c r="C443" s="5"/>
      <c r="D443" s="5"/>
      <c r="E443" s="5"/>
      <c r="F443" s="5"/>
      <c r="G443" s="5"/>
      <c r="H443" s="5"/>
      <c r="I443" s="11"/>
      <c r="J443" s="5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4"/>
      <c r="KQ443" s="4"/>
    </row>
    <row r="444">
      <c r="A444" s="10"/>
      <c r="B444" s="5"/>
      <c r="C444" s="5"/>
      <c r="D444" s="5"/>
      <c r="E444" s="5"/>
      <c r="F444" s="5"/>
      <c r="G444" s="5"/>
      <c r="H444" s="5"/>
      <c r="I444" s="11"/>
      <c r="J444" s="5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4"/>
    </row>
    <row r="445">
      <c r="A445" s="10"/>
      <c r="B445" s="5"/>
      <c r="C445" s="5"/>
      <c r="D445" s="5"/>
      <c r="E445" s="5"/>
      <c r="F445" s="5"/>
      <c r="G445" s="5"/>
      <c r="H445" s="5"/>
      <c r="I445" s="11"/>
      <c r="J445" s="5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</row>
    <row r="446">
      <c r="A446" s="10"/>
      <c r="B446" s="5"/>
      <c r="C446" s="5"/>
      <c r="D446" s="5"/>
      <c r="E446" s="5"/>
      <c r="F446" s="5"/>
      <c r="G446" s="5"/>
      <c r="H446" s="5"/>
      <c r="I446" s="11"/>
      <c r="J446" s="5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</row>
    <row r="447">
      <c r="A447" s="10"/>
      <c r="B447" s="5"/>
      <c r="C447" s="5"/>
      <c r="D447" s="5"/>
      <c r="E447" s="5"/>
      <c r="F447" s="5"/>
      <c r="G447" s="5"/>
      <c r="H447" s="5"/>
      <c r="I447" s="11"/>
      <c r="J447" s="5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  <c r="KO447" s="4"/>
      <c r="KP447" s="4"/>
      <c r="KQ447" s="4"/>
    </row>
    <row r="448">
      <c r="A448" s="10"/>
      <c r="B448" s="5"/>
      <c r="C448" s="5"/>
      <c r="D448" s="5"/>
      <c r="E448" s="5"/>
      <c r="F448" s="5"/>
      <c r="G448" s="5"/>
      <c r="H448" s="5"/>
      <c r="I448" s="11"/>
      <c r="J448" s="5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4"/>
    </row>
    <row r="449">
      <c r="A449" s="10"/>
      <c r="B449" s="5"/>
      <c r="C449" s="5"/>
      <c r="D449" s="5"/>
      <c r="E449" s="5"/>
      <c r="F449" s="5"/>
      <c r="G449" s="5"/>
      <c r="H449" s="5"/>
      <c r="I449" s="11"/>
      <c r="J449" s="5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  <c r="KO449" s="4"/>
      <c r="KP449" s="4"/>
      <c r="KQ449" s="4"/>
    </row>
    <row r="450">
      <c r="A450" s="10"/>
      <c r="B450" s="5"/>
      <c r="C450" s="5"/>
      <c r="D450" s="5"/>
      <c r="E450" s="5"/>
      <c r="F450" s="5"/>
      <c r="G450" s="5"/>
      <c r="H450" s="5"/>
      <c r="I450" s="11"/>
      <c r="J450" s="5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4"/>
    </row>
    <row r="451">
      <c r="A451" s="10"/>
      <c r="B451" s="5"/>
      <c r="C451" s="5"/>
      <c r="D451" s="5"/>
      <c r="E451" s="5"/>
      <c r="F451" s="5"/>
      <c r="G451" s="5"/>
      <c r="H451" s="5"/>
      <c r="I451" s="11"/>
      <c r="J451" s="5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  <c r="KO451" s="4"/>
      <c r="KP451" s="4"/>
      <c r="KQ451" s="4"/>
    </row>
    <row r="452">
      <c r="A452" s="10"/>
      <c r="B452" s="5"/>
      <c r="C452" s="5"/>
      <c r="D452" s="5"/>
      <c r="E452" s="5"/>
      <c r="F452" s="5"/>
      <c r="G452" s="5"/>
      <c r="H452" s="5"/>
      <c r="I452" s="11"/>
      <c r="J452" s="5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</row>
    <row r="453">
      <c r="A453" s="10"/>
      <c r="B453" s="5"/>
      <c r="C453" s="5"/>
      <c r="D453" s="5"/>
      <c r="E453" s="5"/>
      <c r="F453" s="5"/>
      <c r="G453" s="5"/>
      <c r="H453" s="5"/>
      <c r="I453" s="11"/>
      <c r="J453" s="5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  <c r="KO453" s="4"/>
      <c r="KP453" s="4"/>
      <c r="KQ453" s="4"/>
    </row>
    <row r="454">
      <c r="A454" s="10"/>
      <c r="B454" s="5"/>
      <c r="C454" s="5"/>
      <c r="D454" s="5"/>
      <c r="E454" s="5"/>
      <c r="F454" s="5"/>
      <c r="G454" s="5"/>
      <c r="H454" s="5"/>
      <c r="I454" s="11"/>
      <c r="J454" s="5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4"/>
    </row>
    <row r="455">
      <c r="A455" s="10"/>
      <c r="B455" s="5"/>
      <c r="C455" s="5"/>
      <c r="D455" s="5"/>
      <c r="E455" s="5"/>
      <c r="F455" s="5"/>
      <c r="G455" s="5"/>
      <c r="H455" s="5"/>
      <c r="I455" s="11"/>
      <c r="J455" s="5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4"/>
      <c r="KQ455" s="4"/>
    </row>
    <row r="456">
      <c r="A456" s="10"/>
      <c r="B456" s="5"/>
      <c r="C456" s="5"/>
      <c r="D456" s="5"/>
      <c r="E456" s="5"/>
      <c r="F456" s="5"/>
      <c r="G456" s="5"/>
      <c r="H456" s="5"/>
      <c r="I456" s="11"/>
      <c r="J456" s="5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4"/>
    </row>
    <row r="457">
      <c r="A457" s="10"/>
      <c r="B457" s="5"/>
      <c r="C457" s="5"/>
      <c r="D457" s="5"/>
      <c r="E457" s="5"/>
      <c r="F457" s="5"/>
      <c r="G457" s="5"/>
      <c r="H457" s="5"/>
      <c r="I457" s="11"/>
      <c r="J457" s="5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4"/>
      <c r="KQ457" s="4"/>
    </row>
    <row r="458">
      <c r="A458" s="10"/>
      <c r="B458" s="5"/>
      <c r="C458" s="5"/>
      <c r="D458" s="5"/>
      <c r="E458" s="5"/>
      <c r="F458" s="5"/>
      <c r="G458" s="5"/>
      <c r="H458" s="5"/>
      <c r="I458" s="11"/>
      <c r="J458" s="5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</row>
    <row r="459">
      <c r="A459" s="10"/>
      <c r="B459" s="5"/>
      <c r="C459" s="5"/>
      <c r="D459" s="5"/>
      <c r="E459" s="5"/>
      <c r="F459" s="5"/>
      <c r="G459" s="5"/>
      <c r="H459" s="5"/>
      <c r="I459" s="11"/>
      <c r="J459" s="5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  <c r="KO459" s="4"/>
      <c r="KP459" s="4"/>
      <c r="KQ459" s="4"/>
    </row>
    <row r="460">
      <c r="A460" s="10"/>
      <c r="B460" s="5"/>
      <c r="C460" s="5"/>
      <c r="D460" s="5"/>
      <c r="E460" s="5"/>
      <c r="F460" s="5"/>
      <c r="G460" s="5"/>
      <c r="H460" s="5"/>
      <c r="I460" s="11"/>
      <c r="J460" s="5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4"/>
    </row>
    <row r="461">
      <c r="A461" s="10"/>
      <c r="B461" s="5"/>
      <c r="C461" s="5"/>
      <c r="D461" s="5"/>
      <c r="E461" s="5"/>
      <c r="F461" s="5"/>
      <c r="G461" s="5"/>
      <c r="H461" s="5"/>
      <c r="I461" s="11"/>
      <c r="J461" s="5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  <c r="KO461" s="4"/>
      <c r="KP461" s="4"/>
      <c r="KQ461" s="4"/>
    </row>
    <row r="462">
      <c r="A462" s="10"/>
      <c r="B462" s="5"/>
      <c r="C462" s="5"/>
      <c r="D462" s="5"/>
      <c r="E462" s="5"/>
      <c r="F462" s="5"/>
      <c r="G462" s="5"/>
      <c r="H462" s="5"/>
      <c r="I462" s="11"/>
      <c r="J462" s="5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</row>
    <row r="463">
      <c r="A463" s="10"/>
      <c r="B463" s="5"/>
      <c r="C463" s="5"/>
      <c r="D463" s="5"/>
      <c r="E463" s="5"/>
      <c r="F463" s="5"/>
      <c r="G463" s="5"/>
      <c r="H463" s="5"/>
      <c r="I463" s="11"/>
      <c r="J463" s="5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  <c r="KO463" s="4"/>
      <c r="KP463" s="4"/>
      <c r="KQ463" s="4"/>
    </row>
    <row r="464">
      <c r="A464" s="10"/>
      <c r="B464" s="5"/>
      <c r="C464" s="5"/>
      <c r="D464" s="5"/>
      <c r="E464" s="5"/>
      <c r="F464" s="5"/>
      <c r="G464" s="5"/>
      <c r="H464" s="5"/>
      <c r="I464" s="11"/>
      <c r="J464" s="5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</row>
    <row r="465">
      <c r="A465" s="10"/>
      <c r="B465" s="5"/>
      <c r="C465" s="5"/>
      <c r="D465" s="5"/>
      <c r="E465" s="5"/>
      <c r="F465" s="5"/>
      <c r="G465" s="5"/>
      <c r="H465" s="5"/>
      <c r="I465" s="11"/>
      <c r="J465" s="5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  <c r="KO465" s="4"/>
      <c r="KP465" s="4"/>
      <c r="KQ465" s="4"/>
    </row>
    <row r="466">
      <c r="A466" s="10"/>
      <c r="B466" s="5"/>
      <c r="C466" s="5"/>
      <c r="D466" s="5"/>
      <c r="E466" s="5"/>
      <c r="F466" s="5"/>
      <c r="G466" s="5"/>
      <c r="H466" s="5"/>
      <c r="I466" s="11"/>
      <c r="J466" s="5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4"/>
    </row>
    <row r="467">
      <c r="A467" s="10"/>
      <c r="B467" s="5"/>
      <c r="C467" s="5"/>
      <c r="D467" s="5"/>
      <c r="E467" s="5"/>
      <c r="F467" s="5"/>
      <c r="G467" s="5"/>
      <c r="H467" s="5"/>
      <c r="I467" s="11"/>
      <c r="J467" s="5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  <c r="KO467" s="4"/>
      <c r="KP467" s="4"/>
      <c r="KQ467" s="4"/>
    </row>
    <row r="468">
      <c r="A468" s="10"/>
      <c r="B468" s="5"/>
      <c r="C468" s="5"/>
      <c r="D468" s="5"/>
      <c r="E468" s="5"/>
      <c r="F468" s="5"/>
      <c r="G468" s="5"/>
      <c r="H468" s="5"/>
      <c r="I468" s="11"/>
      <c r="J468" s="5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4"/>
    </row>
    <row r="469">
      <c r="A469" s="10"/>
      <c r="B469" s="5"/>
      <c r="C469" s="5"/>
      <c r="D469" s="5"/>
      <c r="E469" s="5"/>
      <c r="F469" s="5"/>
      <c r="G469" s="5"/>
      <c r="H469" s="5"/>
      <c r="I469" s="11"/>
      <c r="J469" s="5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  <c r="KO469" s="4"/>
      <c r="KP469" s="4"/>
      <c r="KQ469" s="4"/>
    </row>
    <row r="470">
      <c r="A470" s="10"/>
      <c r="B470" s="5"/>
      <c r="C470" s="5"/>
      <c r="D470" s="5"/>
      <c r="E470" s="5"/>
      <c r="F470" s="5"/>
      <c r="G470" s="5"/>
      <c r="H470" s="5"/>
      <c r="I470" s="11"/>
      <c r="J470" s="5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</row>
    <row r="471">
      <c r="A471" s="10"/>
      <c r="B471" s="5"/>
      <c r="C471" s="5"/>
      <c r="D471" s="5"/>
      <c r="E471" s="5"/>
      <c r="F471" s="5"/>
      <c r="G471" s="5"/>
      <c r="H471" s="5"/>
      <c r="I471" s="11"/>
      <c r="J471" s="5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  <c r="KO471" s="4"/>
      <c r="KP471" s="4"/>
      <c r="KQ471" s="4"/>
    </row>
    <row r="472">
      <c r="A472" s="10"/>
      <c r="B472" s="5"/>
      <c r="C472" s="5"/>
      <c r="D472" s="5"/>
      <c r="E472" s="5"/>
      <c r="F472" s="5"/>
      <c r="G472" s="5"/>
      <c r="H472" s="5"/>
      <c r="I472" s="11"/>
      <c r="J472" s="5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4"/>
    </row>
    <row r="473">
      <c r="A473" s="10"/>
      <c r="B473" s="5"/>
      <c r="C473" s="5"/>
      <c r="D473" s="5"/>
      <c r="E473" s="5"/>
      <c r="F473" s="5"/>
      <c r="G473" s="5"/>
      <c r="H473" s="5"/>
      <c r="I473" s="11"/>
      <c r="J473" s="5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4"/>
      <c r="KQ473" s="4"/>
    </row>
    <row r="474">
      <c r="A474" s="10"/>
      <c r="B474" s="5"/>
      <c r="C474" s="5"/>
      <c r="D474" s="5"/>
      <c r="E474" s="5"/>
      <c r="F474" s="5"/>
      <c r="G474" s="5"/>
      <c r="H474" s="5"/>
      <c r="I474" s="11"/>
      <c r="J474" s="5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4"/>
    </row>
    <row r="475">
      <c r="A475" s="10"/>
      <c r="B475" s="5"/>
      <c r="C475" s="5"/>
      <c r="D475" s="5"/>
      <c r="E475" s="5"/>
      <c r="F475" s="5"/>
      <c r="G475" s="5"/>
      <c r="H475" s="5"/>
      <c r="I475" s="11"/>
      <c r="J475" s="5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  <c r="KO475" s="4"/>
      <c r="KP475" s="4"/>
      <c r="KQ475" s="4"/>
    </row>
    <row r="476">
      <c r="A476" s="10"/>
      <c r="B476" s="5"/>
      <c r="C476" s="5"/>
      <c r="D476" s="5"/>
      <c r="E476" s="5"/>
      <c r="F476" s="5"/>
      <c r="G476" s="5"/>
      <c r="H476" s="5"/>
      <c r="I476" s="11"/>
      <c r="J476" s="5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</row>
    <row r="477">
      <c r="A477" s="10"/>
      <c r="B477" s="5"/>
      <c r="C477" s="5"/>
      <c r="D477" s="5"/>
      <c r="E477" s="5"/>
      <c r="F477" s="5"/>
      <c r="G477" s="5"/>
      <c r="H477" s="5"/>
      <c r="I477" s="11"/>
      <c r="J477" s="5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  <c r="KO477" s="4"/>
      <c r="KP477" s="4"/>
      <c r="KQ477" s="4"/>
    </row>
    <row r="478">
      <c r="A478" s="10"/>
      <c r="B478" s="5"/>
      <c r="C478" s="5"/>
      <c r="D478" s="5"/>
      <c r="E478" s="5"/>
      <c r="F478" s="5"/>
      <c r="G478" s="5"/>
      <c r="H478" s="5"/>
      <c r="I478" s="11"/>
      <c r="J478" s="5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4"/>
    </row>
    <row r="479">
      <c r="A479" s="10"/>
      <c r="B479" s="5"/>
      <c r="C479" s="5"/>
      <c r="D479" s="5"/>
      <c r="E479" s="5"/>
      <c r="F479" s="5"/>
      <c r="G479" s="5"/>
      <c r="H479" s="5"/>
      <c r="I479" s="11"/>
      <c r="J479" s="5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</row>
    <row r="480">
      <c r="A480" s="10"/>
      <c r="B480" s="5"/>
      <c r="C480" s="5"/>
      <c r="D480" s="5"/>
      <c r="E480" s="5"/>
      <c r="F480" s="5"/>
      <c r="G480" s="5"/>
      <c r="H480" s="5"/>
      <c r="I480" s="11"/>
      <c r="J480" s="5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4"/>
    </row>
    <row r="481">
      <c r="A481" s="10"/>
      <c r="B481" s="5"/>
      <c r="C481" s="5"/>
      <c r="D481" s="5"/>
      <c r="E481" s="5"/>
      <c r="F481" s="5"/>
      <c r="G481" s="5"/>
      <c r="H481" s="5"/>
      <c r="I481" s="11"/>
      <c r="J481" s="5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  <c r="KO481" s="4"/>
      <c r="KP481" s="4"/>
      <c r="KQ481" s="4"/>
    </row>
    <row r="482">
      <c r="A482" s="10"/>
      <c r="B482" s="5"/>
      <c r="C482" s="5"/>
      <c r="D482" s="5"/>
      <c r="E482" s="5"/>
      <c r="F482" s="5"/>
      <c r="G482" s="5"/>
      <c r="H482" s="5"/>
      <c r="I482" s="11"/>
      <c r="J482" s="5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</row>
    <row r="483">
      <c r="A483" s="10"/>
      <c r="B483" s="5"/>
      <c r="C483" s="5"/>
      <c r="D483" s="5"/>
      <c r="E483" s="5"/>
      <c r="F483" s="5"/>
      <c r="G483" s="5"/>
      <c r="H483" s="5"/>
      <c r="I483" s="11"/>
      <c r="J483" s="5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  <c r="KO483" s="4"/>
      <c r="KP483" s="4"/>
      <c r="KQ483" s="4"/>
    </row>
    <row r="484">
      <c r="A484" s="10"/>
      <c r="B484" s="5"/>
      <c r="C484" s="5"/>
      <c r="D484" s="5"/>
      <c r="E484" s="5"/>
      <c r="F484" s="5"/>
      <c r="G484" s="5"/>
      <c r="H484" s="5"/>
      <c r="I484" s="11"/>
      <c r="J484" s="5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4"/>
    </row>
    <row r="485">
      <c r="A485" s="10"/>
      <c r="B485" s="5"/>
      <c r="C485" s="5"/>
      <c r="D485" s="5"/>
      <c r="E485" s="5"/>
      <c r="F485" s="5"/>
      <c r="G485" s="5"/>
      <c r="H485" s="5"/>
      <c r="I485" s="11"/>
      <c r="J485" s="5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  <c r="KO485" s="4"/>
      <c r="KP485" s="4"/>
      <c r="KQ485" s="4"/>
    </row>
    <row r="486">
      <c r="A486" s="10"/>
      <c r="B486" s="5"/>
      <c r="C486" s="5"/>
      <c r="D486" s="5"/>
      <c r="E486" s="5"/>
      <c r="F486" s="5"/>
      <c r="G486" s="5"/>
      <c r="H486" s="5"/>
      <c r="I486" s="11"/>
      <c r="J486" s="5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4"/>
    </row>
    <row r="487">
      <c r="A487" s="10"/>
      <c r="B487" s="5"/>
      <c r="C487" s="5"/>
      <c r="D487" s="5"/>
      <c r="E487" s="5"/>
      <c r="F487" s="5"/>
      <c r="G487" s="5"/>
      <c r="H487" s="5"/>
      <c r="I487" s="11"/>
      <c r="J487" s="5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</row>
    <row r="488">
      <c r="A488" s="10"/>
      <c r="B488" s="5"/>
      <c r="C488" s="5"/>
      <c r="D488" s="5"/>
      <c r="E488" s="5"/>
      <c r="F488" s="5"/>
      <c r="G488" s="5"/>
      <c r="H488" s="5"/>
      <c r="I488" s="11"/>
      <c r="J488" s="5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</row>
    <row r="489">
      <c r="A489" s="10"/>
      <c r="B489" s="5"/>
      <c r="C489" s="5"/>
      <c r="D489" s="5"/>
      <c r="E489" s="5"/>
      <c r="F489" s="5"/>
      <c r="G489" s="5"/>
      <c r="H489" s="5"/>
      <c r="I489" s="11"/>
      <c r="J489" s="5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  <c r="KO489" s="4"/>
      <c r="KP489" s="4"/>
      <c r="KQ489" s="4"/>
    </row>
    <row r="490">
      <c r="A490" s="10"/>
      <c r="B490" s="5"/>
      <c r="C490" s="5"/>
      <c r="D490" s="5"/>
      <c r="E490" s="5"/>
      <c r="F490" s="5"/>
      <c r="G490" s="5"/>
      <c r="H490" s="5"/>
      <c r="I490" s="11"/>
      <c r="J490" s="5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4"/>
    </row>
    <row r="491">
      <c r="A491" s="10"/>
      <c r="B491" s="5"/>
      <c r="C491" s="5"/>
      <c r="D491" s="5"/>
      <c r="E491" s="5"/>
      <c r="F491" s="5"/>
      <c r="G491" s="5"/>
      <c r="H491" s="5"/>
      <c r="I491" s="11"/>
      <c r="J491" s="5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  <c r="KO491" s="4"/>
      <c r="KP491" s="4"/>
      <c r="KQ491" s="4"/>
    </row>
    <row r="492">
      <c r="A492" s="10"/>
      <c r="B492" s="5"/>
      <c r="C492" s="5"/>
      <c r="D492" s="5"/>
      <c r="E492" s="5"/>
      <c r="F492" s="5"/>
      <c r="G492" s="5"/>
      <c r="H492" s="5"/>
      <c r="I492" s="11"/>
      <c r="J492" s="5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4"/>
    </row>
    <row r="493">
      <c r="A493" s="10"/>
      <c r="B493" s="5"/>
      <c r="C493" s="5"/>
      <c r="D493" s="5"/>
      <c r="E493" s="5"/>
      <c r="F493" s="5"/>
      <c r="G493" s="5"/>
      <c r="H493" s="5"/>
      <c r="I493" s="11"/>
      <c r="J493" s="5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  <c r="KO493" s="4"/>
      <c r="KP493" s="4"/>
      <c r="KQ493" s="4"/>
    </row>
    <row r="494">
      <c r="A494" s="10"/>
      <c r="B494" s="5"/>
      <c r="C494" s="5"/>
      <c r="D494" s="5"/>
      <c r="E494" s="5"/>
      <c r="F494" s="5"/>
      <c r="G494" s="5"/>
      <c r="H494" s="5"/>
      <c r="I494" s="11"/>
      <c r="J494" s="5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</row>
    <row r="495">
      <c r="A495" s="10"/>
      <c r="B495" s="5"/>
      <c r="C495" s="5"/>
      <c r="D495" s="5"/>
      <c r="E495" s="5"/>
      <c r="F495" s="5"/>
      <c r="G495" s="5"/>
      <c r="H495" s="5"/>
      <c r="I495" s="11"/>
      <c r="J495" s="5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4"/>
      <c r="KQ495" s="4"/>
    </row>
    <row r="496">
      <c r="A496" s="10"/>
      <c r="B496" s="5"/>
      <c r="C496" s="5"/>
      <c r="D496" s="5"/>
      <c r="E496" s="5"/>
      <c r="F496" s="5"/>
      <c r="G496" s="5"/>
      <c r="H496" s="5"/>
      <c r="I496" s="11"/>
      <c r="J496" s="5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</row>
    <row r="497">
      <c r="A497" s="10"/>
      <c r="B497" s="5"/>
      <c r="C497" s="5"/>
      <c r="D497" s="5"/>
      <c r="E497" s="5"/>
      <c r="F497" s="5"/>
      <c r="G497" s="5"/>
      <c r="H497" s="5"/>
      <c r="I497" s="11"/>
      <c r="J497" s="5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4"/>
      <c r="KQ497" s="4"/>
    </row>
    <row r="498">
      <c r="A498" s="10"/>
      <c r="B498" s="5"/>
      <c r="C498" s="5"/>
      <c r="D498" s="5"/>
      <c r="E498" s="5"/>
      <c r="F498" s="5"/>
      <c r="G498" s="5"/>
      <c r="H498" s="5"/>
      <c r="I498" s="11"/>
      <c r="J498" s="5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4"/>
    </row>
    <row r="499">
      <c r="A499" s="10"/>
      <c r="B499" s="5"/>
      <c r="C499" s="5"/>
      <c r="D499" s="5"/>
      <c r="E499" s="5"/>
      <c r="F499" s="5"/>
      <c r="G499" s="5"/>
      <c r="H499" s="5"/>
      <c r="I499" s="11"/>
      <c r="J499" s="5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  <c r="KO499" s="4"/>
      <c r="KP499" s="4"/>
      <c r="KQ499" s="4"/>
    </row>
    <row r="500">
      <c r="A500" s="10"/>
      <c r="B500" s="5"/>
      <c r="C500" s="5"/>
      <c r="D500" s="5"/>
      <c r="E500" s="5"/>
      <c r="F500" s="5"/>
      <c r="G500" s="5"/>
      <c r="H500" s="5"/>
      <c r="I500" s="11"/>
      <c r="J500" s="5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</row>
    <row r="501">
      <c r="A501" s="10"/>
      <c r="B501" s="5"/>
      <c r="C501" s="5"/>
      <c r="D501" s="5"/>
      <c r="E501" s="5"/>
      <c r="F501" s="5"/>
      <c r="G501" s="5"/>
      <c r="H501" s="5"/>
      <c r="I501" s="11"/>
      <c r="J501" s="5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  <c r="KO501" s="4"/>
      <c r="KP501" s="4"/>
      <c r="KQ501" s="4"/>
    </row>
    <row r="502">
      <c r="A502" s="10"/>
      <c r="B502" s="5"/>
      <c r="C502" s="5"/>
      <c r="D502" s="5"/>
      <c r="E502" s="5"/>
      <c r="F502" s="5"/>
      <c r="G502" s="5"/>
      <c r="H502" s="5"/>
      <c r="I502" s="11"/>
      <c r="J502" s="5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  <c r="KO502" s="4"/>
      <c r="KP502" s="4"/>
      <c r="KQ502" s="4"/>
    </row>
    <row r="503">
      <c r="A503" s="10"/>
      <c r="B503" s="5"/>
      <c r="C503" s="5"/>
      <c r="D503" s="5"/>
      <c r="E503" s="5"/>
      <c r="F503" s="5"/>
      <c r="G503" s="5"/>
      <c r="H503" s="5"/>
      <c r="I503" s="11"/>
      <c r="J503" s="5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  <c r="KO503" s="4"/>
      <c r="KP503" s="4"/>
      <c r="KQ503" s="4"/>
    </row>
    <row r="504">
      <c r="A504" s="10"/>
      <c r="B504" s="5"/>
      <c r="C504" s="5"/>
      <c r="D504" s="5"/>
      <c r="E504" s="5"/>
      <c r="F504" s="5"/>
      <c r="G504" s="5"/>
      <c r="H504" s="5"/>
      <c r="I504" s="11"/>
      <c r="J504" s="5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  <c r="KO504" s="4"/>
      <c r="KP504" s="4"/>
      <c r="KQ504" s="4"/>
    </row>
    <row r="505">
      <c r="A505" s="10"/>
      <c r="B505" s="5"/>
      <c r="C505" s="5"/>
      <c r="D505" s="5"/>
      <c r="E505" s="5"/>
      <c r="F505" s="5"/>
      <c r="G505" s="5"/>
      <c r="H505" s="5"/>
      <c r="I505" s="11"/>
      <c r="J505" s="5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  <c r="KO505" s="4"/>
      <c r="KP505" s="4"/>
      <c r="KQ505" s="4"/>
    </row>
    <row r="506">
      <c r="A506" s="10"/>
      <c r="B506" s="5"/>
      <c r="C506" s="5"/>
      <c r="D506" s="5"/>
      <c r="E506" s="5"/>
      <c r="F506" s="5"/>
      <c r="G506" s="5"/>
      <c r="H506" s="5"/>
      <c r="I506" s="11"/>
      <c r="J506" s="5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4"/>
    </row>
    <row r="507">
      <c r="A507" s="10"/>
      <c r="B507" s="5"/>
      <c r="C507" s="5"/>
      <c r="D507" s="5"/>
      <c r="E507" s="5"/>
      <c r="F507" s="5"/>
      <c r="G507" s="5"/>
      <c r="H507" s="5"/>
      <c r="I507" s="11"/>
      <c r="J507" s="5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  <c r="KO507" s="4"/>
      <c r="KP507" s="4"/>
      <c r="KQ507" s="4"/>
    </row>
    <row r="508">
      <c r="A508" s="10"/>
      <c r="B508" s="5"/>
      <c r="C508" s="5"/>
      <c r="D508" s="5"/>
      <c r="E508" s="5"/>
      <c r="F508" s="5"/>
      <c r="G508" s="5"/>
      <c r="H508" s="5"/>
      <c r="I508" s="11"/>
      <c r="J508" s="5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  <c r="KO508" s="4"/>
      <c r="KP508" s="4"/>
      <c r="KQ508" s="4"/>
    </row>
    <row r="509">
      <c r="A509" s="10"/>
      <c r="B509" s="5"/>
      <c r="C509" s="5"/>
      <c r="D509" s="5"/>
      <c r="E509" s="5"/>
      <c r="F509" s="5"/>
      <c r="G509" s="5"/>
      <c r="H509" s="5"/>
      <c r="I509" s="11"/>
      <c r="J509" s="5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  <c r="KO509" s="4"/>
      <c r="KP509" s="4"/>
      <c r="KQ509" s="4"/>
    </row>
    <row r="510">
      <c r="A510" s="10"/>
      <c r="B510" s="5"/>
      <c r="C510" s="5"/>
      <c r="D510" s="5"/>
      <c r="E510" s="5"/>
      <c r="F510" s="5"/>
      <c r="G510" s="5"/>
      <c r="H510" s="5"/>
      <c r="I510" s="11"/>
      <c r="J510" s="5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  <c r="KO510" s="4"/>
      <c r="KP510" s="4"/>
      <c r="KQ510" s="4"/>
    </row>
    <row r="511">
      <c r="A511" s="10"/>
      <c r="B511" s="5"/>
      <c r="C511" s="5"/>
      <c r="D511" s="5"/>
      <c r="E511" s="5"/>
      <c r="F511" s="5"/>
      <c r="G511" s="5"/>
      <c r="H511" s="5"/>
      <c r="I511" s="11"/>
      <c r="J511" s="5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  <c r="KO511" s="4"/>
      <c r="KP511" s="4"/>
      <c r="KQ511" s="4"/>
    </row>
    <row r="512">
      <c r="A512" s="10"/>
      <c r="B512" s="5"/>
      <c r="C512" s="5"/>
      <c r="D512" s="5"/>
      <c r="E512" s="5"/>
      <c r="F512" s="5"/>
      <c r="G512" s="5"/>
      <c r="H512" s="5"/>
      <c r="I512" s="11"/>
      <c r="J512" s="5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4"/>
    </row>
    <row r="513">
      <c r="A513" s="10"/>
      <c r="B513" s="5"/>
      <c r="C513" s="5"/>
      <c r="D513" s="5"/>
      <c r="E513" s="5"/>
      <c r="F513" s="5"/>
      <c r="G513" s="5"/>
      <c r="H513" s="5"/>
      <c r="I513" s="11"/>
      <c r="J513" s="5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</row>
    <row r="514">
      <c r="A514" s="10"/>
      <c r="B514" s="5"/>
      <c r="C514" s="5"/>
      <c r="D514" s="5"/>
      <c r="E514" s="5"/>
      <c r="F514" s="5"/>
      <c r="G514" s="5"/>
      <c r="H514" s="5"/>
      <c r="I514" s="11"/>
      <c r="J514" s="5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4"/>
    </row>
    <row r="515">
      <c r="A515" s="10"/>
      <c r="B515" s="5"/>
      <c r="C515" s="5"/>
      <c r="D515" s="5"/>
      <c r="E515" s="5"/>
      <c r="F515" s="5"/>
      <c r="G515" s="5"/>
      <c r="H515" s="5"/>
      <c r="I515" s="11"/>
      <c r="J515" s="5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</row>
    <row r="516">
      <c r="A516" s="10"/>
      <c r="B516" s="5"/>
      <c r="C516" s="5"/>
      <c r="D516" s="5"/>
      <c r="E516" s="5"/>
      <c r="F516" s="5"/>
      <c r="G516" s="5"/>
      <c r="H516" s="5"/>
      <c r="I516" s="11"/>
      <c r="J516" s="5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4"/>
    </row>
    <row r="517">
      <c r="A517" s="10"/>
      <c r="B517" s="5"/>
      <c r="C517" s="5"/>
      <c r="D517" s="5"/>
      <c r="E517" s="5"/>
      <c r="F517" s="5"/>
      <c r="G517" s="5"/>
      <c r="H517" s="5"/>
      <c r="I517" s="11"/>
      <c r="J517" s="5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  <c r="KO517" s="4"/>
      <c r="KP517" s="4"/>
      <c r="KQ517" s="4"/>
    </row>
    <row r="518">
      <c r="A518" s="10"/>
      <c r="B518" s="5"/>
      <c r="C518" s="5"/>
      <c r="D518" s="5"/>
      <c r="E518" s="5"/>
      <c r="F518" s="5"/>
      <c r="G518" s="5"/>
      <c r="H518" s="5"/>
      <c r="I518" s="11"/>
      <c r="J518" s="5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</row>
    <row r="519">
      <c r="A519" s="10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  <c r="KO519" s="4"/>
      <c r="KP519" s="4"/>
      <c r="KQ519" s="4"/>
    </row>
    <row r="520">
      <c r="A520" s="10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4"/>
    </row>
    <row r="521">
      <c r="A521" s="1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</row>
    <row r="522">
      <c r="A522" s="10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4"/>
    </row>
    <row r="523">
      <c r="A523" s="10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  <c r="KO523" s="4"/>
      <c r="KP523" s="4"/>
      <c r="KQ523" s="4"/>
    </row>
    <row r="524">
      <c r="A524" s="10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4"/>
    </row>
    <row r="525">
      <c r="A525" s="10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  <c r="KO525" s="4"/>
      <c r="KP525" s="4"/>
      <c r="KQ525" s="4"/>
    </row>
    <row r="526">
      <c r="A526" s="10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4"/>
    </row>
    <row r="527">
      <c r="A527" s="10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  <c r="KO527" s="4"/>
      <c r="KP527" s="4"/>
      <c r="KQ527" s="4"/>
    </row>
    <row r="528">
      <c r="A528" s="10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4"/>
    </row>
    <row r="529">
      <c r="A529" s="1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  <c r="KO529" s="4"/>
      <c r="KP529" s="4"/>
      <c r="KQ529" s="4"/>
    </row>
    <row r="530">
      <c r="A530" s="10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</row>
    <row r="531">
      <c r="A531" s="10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  <c r="KO531" s="4"/>
      <c r="KP531" s="4"/>
      <c r="KQ531" s="4"/>
    </row>
    <row r="532">
      <c r="A532" s="10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4"/>
    </row>
    <row r="533">
      <c r="A533" s="10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</row>
    <row r="534">
      <c r="A534" s="10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</row>
    <row r="535">
      <c r="A535" s="10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  <c r="KO535" s="4"/>
      <c r="KP535" s="4"/>
      <c r="KQ535" s="4"/>
    </row>
    <row r="536">
      <c r="A536" s="10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4"/>
    </row>
    <row r="537">
      <c r="A537" s="10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  <c r="KO537" s="4"/>
      <c r="KP537" s="4"/>
      <c r="KQ537" s="4"/>
    </row>
    <row r="538">
      <c r="A538" s="10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4"/>
    </row>
    <row r="539">
      <c r="A539" s="10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  <c r="KO539" s="4"/>
      <c r="KP539" s="4"/>
      <c r="KQ539" s="4"/>
    </row>
    <row r="540">
      <c r="A540" s="10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4"/>
    </row>
    <row r="541">
      <c r="A541" s="10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  <c r="KO541" s="4"/>
      <c r="KP541" s="4"/>
      <c r="KQ541" s="4"/>
    </row>
    <row r="542">
      <c r="A542" s="1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4"/>
    </row>
    <row r="543">
      <c r="A543" s="10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  <c r="KO543" s="4"/>
      <c r="KP543" s="4"/>
      <c r="KQ543" s="4"/>
    </row>
    <row r="544">
      <c r="A544" s="10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  <c r="KO544" s="4"/>
      <c r="KP544" s="4"/>
      <c r="KQ544" s="4"/>
    </row>
    <row r="545">
      <c r="A545" s="10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  <c r="KO545" s="4"/>
      <c r="KP545" s="4"/>
      <c r="KQ545" s="4"/>
    </row>
    <row r="546">
      <c r="A546" s="10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4"/>
    </row>
    <row r="547">
      <c r="A547" s="10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</row>
    <row r="548">
      <c r="A548" s="10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</row>
    <row r="549">
      <c r="A549" s="10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  <c r="KO549" s="4"/>
      <c r="KP549" s="4"/>
      <c r="KQ549" s="4"/>
    </row>
    <row r="550">
      <c r="A550" s="10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4"/>
    </row>
    <row r="551">
      <c r="A551" s="10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  <c r="KO551" s="4"/>
      <c r="KP551" s="4"/>
      <c r="KQ551" s="4"/>
    </row>
    <row r="552">
      <c r="A552" s="10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  <c r="KO552" s="4"/>
      <c r="KP552" s="4"/>
      <c r="KQ552" s="4"/>
    </row>
    <row r="553">
      <c r="A553" s="10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  <c r="KO553" s="4"/>
      <c r="KP553" s="4"/>
      <c r="KQ553" s="4"/>
    </row>
    <row r="554">
      <c r="A554" s="10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4"/>
    </row>
    <row r="555">
      <c r="A555" s="10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  <c r="KO555" s="4"/>
      <c r="KP555" s="4"/>
      <c r="KQ555" s="4"/>
    </row>
    <row r="556">
      <c r="A556" s="10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4"/>
    </row>
    <row r="557">
      <c r="A557" s="10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  <c r="KO557" s="4"/>
      <c r="KP557" s="4"/>
      <c r="KQ557" s="4"/>
    </row>
    <row r="558">
      <c r="A558" s="1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4"/>
    </row>
    <row r="559">
      <c r="A559" s="10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  <c r="KO559" s="4"/>
      <c r="KP559" s="4"/>
      <c r="KQ559" s="4"/>
    </row>
    <row r="560">
      <c r="A560" s="10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4"/>
    </row>
    <row r="561">
      <c r="A561" s="10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  <c r="KO561" s="4"/>
      <c r="KP561" s="4"/>
      <c r="KQ561" s="4"/>
    </row>
    <row r="562">
      <c r="A562" s="10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4"/>
    </row>
    <row r="563">
      <c r="A563" s="10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  <c r="KO563" s="4"/>
      <c r="KP563" s="4"/>
      <c r="KQ563" s="4"/>
    </row>
    <row r="564">
      <c r="A564" s="10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</row>
    <row r="565">
      <c r="A565" s="10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  <c r="KO565" s="4"/>
      <c r="KP565" s="4"/>
      <c r="KQ565" s="4"/>
    </row>
    <row r="566">
      <c r="A566" s="10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</row>
    <row r="567">
      <c r="A567" s="10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  <c r="KO567" s="4"/>
      <c r="KP567" s="4"/>
      <c r="KQ567" s="4"/>
    </row>
    <row r="568">
      <c r="A568" s="10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4"/>
    </row>
    <row r="569">
      <c r="A569" s="1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  <c r="KO569" s="4"/>
      <c r="KP569" s="4"/>
      <c r="KQ569" s="4"/>
    </row>
    <row r="570">
      <c r="A570" s="10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4"/>
    </row>
    <row r="571">
      <c r="A571" s="10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  <c r="KO571" s="4"/>
      <c r="KP571" s="4"/>
      <c r="KQ571" s="4"/>
    </row>
    <row r="572">
      <c r="A572" s="10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4"/>
    </row>
    <row r="573">
      <c r="A573" s="10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  <c r="KO573" s="4"/>
      <c r="KP573" s="4"/>
      <c r="KQ573" s="4"/>
    </row>
    <row r="574">
      <c r="A574" s="10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  <c r="KO574" s="4"/>
      <c r="KP574" s="4"/>
      <c r="KQ574" s="4"/>
    </row>
    <row r="575">
      <c r="A575" s="10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  <c r="KO575" s="4"/>
      <c r="KP575" s="4"/>
      <c r="KQ575" s="4"/>
    </row>
    <row r="576">
      <c r="A576" s="10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  <c r="KO576" s="4"/>
      <c r="KP576" s="4"/>
      <c r="KQ576" s="4"/>
    </row>
    <row r="577">
      <c r="A577" s="10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  <c r="KO577" s="4"/>
      <c r="KP577" s="4"/>
      <c r="KQ577" s="4"/>
    </row>
    <row r="578">
      <c r="A578" s="10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4"/>
    </row>
    <row r="579">
      <c r="A579" s="10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  <c r="KO579" s="4"/>
      <c r="KP579" s="4"/>
      <c r="KQ579" s="4"/>
    </row>
    <row r="580">
      <c r="A580" s="1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4"/>
    </row>
    <row r="581">
      <c r="A581" s="10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</row>
    <row r="582">
      <c r="A582" s="10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4"/>
    </row>
    <row r="583">
      <c r="A583" s="10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  <c r="KO583" s="4"/>
      <c r="KP583" s="4"/>
      <c r="KQ583" s="4"/>
    </row>
    <row r="584">
      <c r="A584" s="10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4"/>
    </row>
    <row r="585">
      <c r="A585" s="10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  <c r="KO585" s="4"/>
      <c r="KP585" s="4"/>
      <c r="KQ585" s="4"/>
    </row>
    <row r="586">
      <c r="A586" s="10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4"/>
    </row>
    <row r="587">
      <c r="A587" s="10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  <c r="KO587" s="4"/>
      <c r="KP587" s="4"/>
      <c r="KQ587" s="4"/>
    </row>
    <row r="588">
      <c r="A588" s="1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  <c r="KO588" s="4"/>
      <c r="KP588" s="4"/>
      <c r="KQ588" s="4"/>
    </row>
    <row r="589">
      <c r="A589" s="10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  <c r="KO589" s="4"/>
      <c r="KP589" s="4"/>
      <c r="KQ589" s="4"/>
    </row>
    <row r="590">
      <c r="A590" s="10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4"/>
    </row>
    <row r="591">
      <c r="A591" s="10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  <c r="KO591" s="4"/>
      <c r="KP591" s="4"/>
      <c r="KQ591" s="4"/>
    </row>
    <row r="592">
      <c r="A592" s="10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  <c r="KO592" s="4"/>
      <c r="KP592" s="4"/>
      <c r="KQ592" s="4"/>
    </row>
    <row r="593">
      <c r="A593" s="10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  <c r="KO593" s="4"/>
      <c r="KP593" s="4"/>
      <c r="KQ593" s="4"/>
    </row>
    <row r="594">
      <c r="A594" s="10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  <c r="KO594" s="4"/>
      <c r="KP594" s="4"/>
      <c r="KQ594" s="4"/>
    </row>
    <row r="595">
      <c r="A595" s="10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  <c r="KO595" s="4"/>
      <c r="KP595" s="4"/>
      <c r="KQ595" s="4"/>
    </row>
    <row r="596">
      <c r="A596" s="1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4"/>
    </row>
    <row r="597">
      <c r="A597" s="10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  <c r="KO597" s="4"/>
      <c r="KP597" s="4"/>
      <c r="KQ597" s="4"/>
    </row>
    <row r="598">
      <c r="A598" s="10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  <c r="KO598" s="4"/>
      <c r="KP598" s="4"/>
      <c r="KQ598" s="4"/>
    </row>
    <row r="599">
      <c r="A599" s="10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  <c r="KO599" s="4"/>
      <c r="KP599" s="4"/>
      <c r="KQ599" s="4"/>
    </row>
    <row r="600">
      <c r="A600" s="10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  <c r="KO600" s="4"/>
      <c r="KP600" s="4"/>
      <c r="KQ600" s="4"/>
    </row>
    <row r="601">
      <c r="A601" s="1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  <c r="KO601" s="4"/>
      <c r="KP601" s="4"/>
      <c r="KQ601" s="4"/>
    </row>
    <row r="602">
      <c r="A602" s="10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  <c r="KO602" s="4"/>
      <c r="KP602" s="4"/>
      <c r="KQ602" s="4"/>
    </row>
    <row r="603">
      <c r="A603" s="10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  <c r="KO603" s="4"/>
      <c r="KP603" s="4"/>
      <c r="KQ603" s="4"/>
    </row>
    <row r="604">
      <c r="A604" s="10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  <c r="KO604" s="4"/>
      <c r="KP604" s="4"/>
      <c r="KQ604" s="4"/>
    </row>
    <row r="605">
      <c r="A605" s="10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  <c r="KO605" s="4"/>
      <c r="KP605" s="4"/>
      <c r="KQ605" s="4"/>
    </row>
    <row r="606">
      <c r="A606" s="10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  <c r="KO606" s="4"/>
      <c r="KP606" s="4"/>
      <c r="KQ606" s="4"/>
    </row>
    <row r="607">
      <c r="A607" s="10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  <c r="KO607" s="4"/>
      <c r="KP607" s="4"/>
      <c r="KQ607" s="4"/>
    </row>
    <row r="608">
      <c r="A608" s="10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4"/>
    </row>
    <row r="609">
      <c r="A609" s="10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  <c r="KO609" s="4"/>
      <c r="KP609" s="4"/>
      <c r="KQ609" s="4"/>
    </row>
    <row r="610">
      <c r="A610" s="10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  <c r="KO610" s="4"/>
      <c r="KP610" s="4"/>
      <c r="KQ610" s="4"/>
    </row>
    <row r="611">
      <c r="A611" s="10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  <c r="KO611" s="4"/>
      <c r="KP611" s="4"/>
      <c r="KQ611" s="4"/>
    </row>
    <row r="612">
      <c r="A612" s="10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  <c r="KO612" s="4"/>
      <c r="KP612" s="4"/>
      <c r="KQ612" s="4"/>
    </row>
    <row r="613">
      <c r="A613" s="10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  <c r="KO613" s="4"/>
      <c r="KP613" s="4"/>
      <c r="KQ613" s="4"/>
    </row>
    <row r="614">
      <c r="A614" s="10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  <c r="KO614" s="4"/>
      <c r="KP614" s="4"/>
      <c r="KQ614" s="4"/>
    </row>
    <row r="615">
      <c r="A615" s="1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  <c r="KO615" s="4"/>
      <c r="KP615" s="4"/>
      <c r="KQ615" s="4"/>
    </row>
    <row r="616">
      <c r="A616" s="10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  <c r="KO616" s="4"/>
      <c r="KP616" s="4"/>
      <c r="KQ616" s="4"/>
    </row>
    <row r="617">
      <c r="A617" s="10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  <c r="KO617" s="4"/>
      <c r="KP617" s="4"/>
      <c r="KQ617" s="4"/>
    </row>
    <row r="618">
      <c r="A618" s="10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  <c r="KO618" s="4"/>
      <c r="KP618" s="4"/>
      <c r="KQ618" s="4"/>
    </row>
    <row r="619">
      <c r="A619" s="10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  <c r="KO619" s="4"/>
      <c r="KP619" s="4"/>
      <c r="KQ619" s="4"/>
    </row>
    <row r="620">
      <c r="A620" s="10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  <c r="KO620" s="4"/>
      <c r="KP620" s="4"/>
      <c r="KQ620" s="4"/>
    </row>
    <row r="621">
      <c r="A621" s="10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  <c r="KO621" s="4"/>
      <c r="KP621" s="4"/>
      <c r="KQ621" s="4"/>
    </row>
    <row r="622">
      <c r="A622" s="10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  <c r="KO622" s="4"/>
      <c r="KP622" s="4"/>
      <c r="KQ622" s="4"/>
    </row>
    <row r="623">
      <c r="A623" s="10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  <c r="KO623" s="4"/>
      <c r="KP623" s="4"/>
      <c r="KQ623" s="4"/>
    </row>
    <row r="624">
      <c r="A624" s="10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  <c r="KO624" s="4"/>
      <c r="KP624" s="4"/>
      <c r="KQ624" s="4"/>
    </row>
    <row r="625">
      <c r="A625" s="1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  <c r="KO625" s="4"/>
      <c r="KP625" s="4"/>
      <c r="KQ625" s="4"/>
    </row>
    <row r="626">
      <c r="A626" s="10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  <c r="KO626" s="4"/>
      <c r="KP626" s="4"/>
      <c r="KQ626" s="4"/>
    </row>
    <row r="627">
      <c r="A627" s="10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  <c r="KO627" s="4"/>
      <c r="KP627" s="4"/>
      <c r="KQ627" s="4"/>
    </row>
    <row r="628">
      <c r="A628" s="10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  <c r="KO628" s="4"/>
      <c r="KP628" s="4"/>
      <c r="KQ628" s="4"/>
    </row>
    <row r="629">
      <c r="A629" s="10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  <c r="KO629" s="4"/>
      <c r="KP629" s="4"/>
      <c r="KQ629" s="4"/>
    </row>
    <row r="630">
      <c r="A630" s="10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  <c r="KO630" s="4"/>
      <c r="KP630" s="4"/>
      <c r="KQ630" s="4"/>
    </row>
    <row r="631">
      <c r="A631" s="10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  <c r="KO631" s="4"/>
      <c r="KP631" s="4"/>
      <c r="KQ631" s="4"/>
    </row>
    <row r="632">
      <c r="A632" s="10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4"/>
    </row>
    <row r="633">
      <c r="A633" s="10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  <c r="KO633" s="4"/>
      <c r="KP633" s="4"/>
      <c r="KQ633" s="4"/>
    </row>
    <row r="634">
      <c r="A634" s="10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  <c r="KO634" s="4"/>
      <c r="KP634" s="4"/>
      <c r="KQ634" s="4"/>
    </row>
    <row r="635">
      <c r="A635" s="1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  <c r="KO635" s="4"/>
      <c r="KP635" s="4"/>
      <c r="KQ635" s="4"/>
    </row>
    <row r="636">
      <c r="A636" s="10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  <c r="KO636" s="4"/>
      <c r="KP636" s="4"/>
      <c r="KQ636" s="4"/>
    </row>
    <row r="637">
      <c r="A637" s="10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  <c r="KO637" s="4"/>
      <c r="KP637" s="4"/>
      <c r="KQ637" s="4"/>
    </row>
    <row r="638">
      <c r="A638" s="10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4"/>
    </row>
    <row r="639">
      <c r="A639" s="10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  <c r="KO639" s="4"/>
      <c r="KP639" s="4"/>
      <c r="KQ639" s="4"/>
    </row>
    <row r="640">
      <c r="A640" s="10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  <c r="KO640" s="4"/>
      <c r="KP640" s="4"/>
      <c r="KQ640" s="4"/>
    </row>
    <row r="641">
      <c r="A641" s="10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  <c r="KO641" s="4"/>
      <c r="KP641" s="4"/>
      <c r="KQ641" s="4"/>
    </row>
    <row r="642">
      <c r="A642" s="10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  <c r="KO642" s="4"/>
      <c r="KP642" s="4"/>
      <c r="KQ642" s="4"/>
    </row>
    <row r="643">
      <c r="A643" s="10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  <c r="KO643" s="4"/>
      <c r="KP643" s="4"/>
      <c r="KQ643" s="4"/>
    </row>
    <row r="644">
      <c r="A644" s="1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  <c r="KO644" s="4"/>
      <c r="KP644" s="4"/>
      <c r="KQ644" s="4"/>
    </row>
    <row r="645">
      <c r="A645" s="10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  <c r="KO645" s="4"/>
      <c r="KP645" s="4"/>
      <c r="KQ645" s="4"/>
    </row>
    <row r="646">
      <c r="A646" s="10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  <c r="KO646" s="4"/>
      <c r="KP646" s="4"/>
      <c r="KQ646" s="4"/>
    </row>
    <row r="647">
      <c r="A647" s="10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  <c r="KO647" s="4"/>
      <c r="KP647" s="4"/>
      <c r="KQ647" s="4"/>
    </row>
    <row r="648">
      <c r="A648" s="10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4"/>
    </row>
    <row r="649">
      <c r="A649" s="10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  <c r="KO649" s="4"/>
      <c r="KP649" s="4"/>
      <c r="KQ649" s="4"/>
    </row>
    <row r="650">
      <c r="A650" s="10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4"/>
    </row>
    <row r="651">
      <c r="A651" s="10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  <c r="KO651" s="4"/>
      <c r="KP651" s="4"/>
      <c r="KQ651" s="4"/>
    </row>
    <row r="652">
      <c r="A652" s="10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4"/>
    </row>
    <row r="653">
      <c r="A653" s="10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  <c r="KO653" s="4"/>
      <c r="KP653" s="4"/>
      <c r="KQ653" s="4"/>
    </row>
    <row r="654">
      <c r="A654" s="10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  <c r="KO654" s="4"/>
      <c r="KP654" s="4"/>
      <c r="KQ654" s="4"/>
    </row>
    <row r="655">
      <c r="A655" s="10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  <c r="KO655" s="4"/>
      <c r="KP655" s="4"/>
      <c r="KQ655" s="4"/>
    </row>
    <row r="656">
      <c r="A656" s="10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  <c r="KO656" s="4"/>
      <c r="KP656" s="4"/>
      <c r="KQ656" s="4"/>
    </row>
    <row r="657">
      <c r="A657" s="10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  <c r="KO657" s="4"/>
      <c r="KP657" s="4"/>
      <c r="KQ657" s="4"/>
    </row>
    <row r="658">
      <c r="A658" s="10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  <c r="KO658" s="4"/>
      <c r="KP658" s="4"/>
      <c r="KQ658" s="4"/>
    </row>
    <row r="659">
      <c r="A659" s="1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  <c r="KO659" s="4"/>
      <c r="KP659" s="4"/>
      <c r="KQ659" s="4"/>
    </row>
    <row r="660">
      <c r="A660" s="10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  <c r="KO660" s="4"/>
      <c r="KP660" s="4"/>
      <c r="KQ660" s="4"/>
    </row>
    <row r="661">
      <c r="A661" s="10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  <c r="KO661" s="4"/>
      <c r="KP661" s="4"/>
      <c r="KQ661" s="4"/>
    </row>
    <row r="662">
      <c r="A662" s="10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4"/>
    </row>
    <row r="663">
      <c r="A663" s="10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  <c r="KO663" s="4"/>
      <c r="KP663" s="4"/>
      <c r="KQ663" s="4"/>
    </row>
    <row r="664">
      <c r="A664" s="10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  <c r="KO664" s="4"/>
      <c r="KP664" s="4"/>
      <c r="KQ664" s="4"/>
    </row>
    <row r="665">
      <c r="A665" s="10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  <c r="KO665" s="4"/>
      <c r="KP665" s="4"/>
      <c r="KQ665" s="4"/>
    </row>
    <row r="666">
      <c r="A666" s="10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  <c r="KO666" s="4"/>
      <c r="KP666" s="4"/>
      <c r="KQ666" s="4"/>
    </row>
    <row r="667">
      <c r="A667" s="10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  <c r="KO667" s="4"/>
      <c r="KP667" s="4"/>
      <c r="KQ667" s="4"/>
    </row>
    <row r="668">
      <c r="A668" s="10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  <c r="KO668" s="4"/>
      <c r="KP668" s="4"/>
      <c r="KQ668" s="4"/>
    </row>
    <row r="669">
      <c r="A669" s="10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  <c r="KO669" s="4"/>
      <c r="KP669" s="4"/>
      <c r="KQ669" s="4"/>
    </row>
    <row r="670">
      <c r="A670" s="10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  <c r="KO670" s="4"/>
      <c r="KP670" s="4"/>
      <c r="KQ670" s="4"/>
    </row>
    <row r="671">
      <c r="A671" s="10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  <c r="KO671" s="4"/>
      <c r="KP671" s="4"/>
      <c r="KQ671" s="4"/>
    </row>
    <row r="672">
      <c r="A672" s="10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  <c r="KO672" s="4"/>
      <c r="KP672" s="4"/>
      <c r="KQ672" s="4"/>
    </row>
    <row r="673">
      <c r="A673" s="10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  <c r="KO673" s="4"/>
      <c r="KP673" s="4"/>
      <c r="KQ673" s="4"/>
    </row>
    <row r="674">
      <c r="A674" s="10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  <c r="KO674" s="4"/>
      <c r="KP674" s="4"/>
      <c r="KQ674" s="4"/>
    </row>
    <row r="675">
      <c r="A675" s="10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  <c r="KO675" s="4"/>
      <c r="KP675" s="4"/>
      <c r="KQ675" s="4"/>
    </row>
    <row r="676">
      <c r="A676" s="10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  <c r="KO676" s="4"/>
      <c r="KP676" s="4"/>
      <c r="KQ676" s="4"/>
    </row>
    <row r="677">
      <c r="A677" s="10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  <c r="KO677" s="4"/>
      <c r="KP677" s="4"/>
      <c r="KQ677" s="4"/>
    </row>
    <row r="678">
      <c r="A678" s="10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  <c r="KO678" s="4"/>
      <c r="KP678" s="4"/>
      <c r="KQ678" s="4"/>
    </row>
    <row r="679">
      <c r="A679" s="10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  <c r="KO679" s="4"/>
      <c r="KP679" s="4"/>
      <c r="KQ679" s="4"/>
    </row>
    <row r="680">
      <c r="A680" s="10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  <c r="KO680" s="4"/>
      <c r="KP680" s="4"/>
      <c r="KQ680" s="4"/>
    </row>
    <row r="681">
      <c r="A681" s="10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  <c r="KO681" s="4"/>
      <c r="KP681" s="4"/>
      <c r="KQ681" s="4"/>
    </row>
    <row r="682">
      <c r="A682" s="10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  <c r="KO682" s="4"/>
      <c r="KP682" s="4"/>
      <c r="KQ682" s="4"/>
    </row>
    <row r="683">
      <c r="A683" s="10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  <c r="KO683" s="4"/>
      <c r="KP683" s="4"/>
      <c r="KQ683" s="4"/>
    </row>
    <row r="684">
      <c r="A684" s="10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  <c r="KO684" s="4"/>
      <c r="KP684" s="4"/>
      <c r="KQ684" s="4"/>
    </row>
    <row r="685">
      <c r="A685" s="10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  <c r="KO685" s="4"/>
      <c r="KP685" s="4"/>
      <c r="KQ685" s="4"/>
    </row>
    <row r="686">
      <c r="A686" s="10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  <c r="KO686" s="4"/>
      <c r="KP686" s="4"/>
      <c r="KQ686" s="4"/>
    </row>
    <row r="687">
      <c r="A687" s="10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  <c r="KO687" s="4"/>
      <c r="KP687" s="4"/>
      <c r="KQ687" s="4"/>
    </row>
    <row r="688">
      <c r="A688" s="10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  <c r="KO688" s="4"/>
      <c r="KP688" s="4"/>
      <c r="KQ688" s="4"/>
    </row>
    <row r="689">
      <c r="A689" s="10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  <c r="KO689" s="4"/>
      <c r="KP689" s="4"/>
      <c r="KQ689" s="4"/>
    </row>
    <row r="690">
      <c r="A690" s="10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  <c r="KO690" s="4"/>
      <c r="KP690" s="4"/>
      <c r="KQ690" s="4"/>
    </row>
    <row r="691">
      <c r="A691" s="10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  <c r="KO691" s="4"/>
      <c r="KP691" s="4"/>
      <c r="KQ691" s="4"/>
    </row>
    <row r="692">
      <c r="A692" s="10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  <c r="KO692" s="4"/>
      <c r="KP692" s="4"/>
      <c r="KQ692" s="4"/>
    </row>
    <row r="693">
      <c r="A693" s="10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  <c r="KO693" s="4"/>
      <c r="KP693" s="4"/>
      <c r="KQ693" s="4"/>
    </row>
    <row r="694">
      <c r="A694" s="10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  <c r="KO694" s="4"/>
      <c r="KP694" s="4"/>
      <c r="KQ694" s="4"/>
    </row>
    <row r="695">
      <c r="A695" s="10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  <c r="KO695" s="4"/>
      <c r="KP695" s="4"/>
      <c r="KQ695" s="4"/>
    </row>
    <row r="696">
      <c r="A696" s="10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  <c r="KO696" s="4"/>
      <c r="KP696" s="4"/>
      <c r="KQ696" s="4"/>
    </row>
    <row r="697">
      <c r="A697" s="10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  <c r="KO697" s="4"/>
      <c r="KP697" s="4"/>
      <c r="KQ697" s="4"/>
    </row>
    <row r="698">
      <c r="A698" s="10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  <c r="KO698" s="4"/>
      <c r="KP698" s="4"/>
      <c r="KQ698" s="4"/>
    </row>
    <row r="699">
      <c r="A699" s="10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  <c r="KO699" s="4"/>
      <c r="KP699" s="4"/>
      <c r="KQ699" s="4"/>
    </row>
    <row r="700">
      <c r="A700" s="10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  <c r="KO700" s="4"/>
      <c r="KP700" s="4"/>
      <c r="KQ700" s="4"/>
    </row>
    <row r="701">
      <c r="A701" s="10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  <c r="KO701" s="4"/>
      <c r="KP701" s="4"/>
      <c r="KQ701" s="4"/>
    </row>
    <row r="702">
      <c r="A702" s="10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  <c r="KO702" s="4"/>
      <c r="KP702" s="4"/>
      <c r="KQ702" s="4"/>
    </row>
    <row r="703">
      <c r="A703" s="10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  <c r="KO703" s="4"/>
      <c r="KP703" s="4"/>
      <c r="KQ703" s="4"/>
    </row>
    <row r="704">
      <c r="A704" s="10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  <c r="KO704" s="4"/>
      <c r="KP704" s="4"/>
      <c r="KQ704" s="4"/>
    </row>
    <row r="705">
      <c r="A705" s="10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  <c r="KO705" s="4"/>
      <c r="KP705" s="4"/>
      <c r="KQ705" s="4"/>
    </row>
    <row r="706">
      <c r="A706" s="10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  <c r="KO706" s="4"/>
      <c r="KP706" s="4"/>
      <c r="KQ706" s="4"/>
    </row>
    <row r="707">
      <c r="A707" s="10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  <c r="KO707" s="4"/>
      <c r="KP707" s="4"/>
      <c r="KQ707" s="4"/>
    </row>
    <row r="708">
      <c r="A708" s="10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  <c r="KO708" s="4"/>
      <c r="KP708" s="4"/>
      <c r="KQ708" s="4"/>
    </row>
    <row r="709">
      <c r="A709" s="10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  <c r="KO709" s="4"/>
      <c r="KP709" s="4"/>
      <c r="KQ709" s="4"/>
    </row>
    <row r="710">
      <c r="A710" s="10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  <c r="KO710" s="4"/>
      <c r="KP710" s="4"/>
      <c r="KQ710" s="4"/>
    </row>
    <row r="711">
      <c r="A711" s="10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  <c r="KO711" s="4"/>
      <c r="KP711" s="4"/>
      <c r="KQ711" s="4"/>
    </row>
    <row r="712">
      <c r="A712" s="10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  <c r="KO712" s="4"/>
      <c r="KP712" s="4"/>
      <c r="KQ712" s="4"/>
    </row>
    <row r="713">
      <c r="A713" s="10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  <c r="KO713" s="4"/>
      <c r="KP713" s="4"/>
      <c r="KQ713" s="4"/>
    </row>
    <row r="714">
      <c r="A714" s="10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  <c r="KO714" s="4"/>
      <c r="KP714" s="4"/>
      <c r="KQ714" s="4"/>
    </row>
    <row r="715">
      <c r="A715" s="10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  <c r="KO715" s="4"/>
      <c r="KP715" s="4"/>
      <c r="KQ715" s="4"/>
    </row>
    <row r="716">
      <c r="A716" s="10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  <c r="KO716" s="4"/>
      <c r="KP716" s="4"/>
      <c r="KQ716" s="4"/>
    </row>
    <row r="717">
      <c r="A717" s="10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  <c r="KO717" s="4"/>
      <c r="KP717" s="4"/>
      <c r="KQ717" s="4"/>
    </row>
    <row r="718">
      <c r="A718" s="10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  <c r="KO718" s="4"/>
      <c r="KP718" s="4"/>
      <c r="KQ718" s="4"/>
    </row>
    <row r="719">
      <c r="A719" s="10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  <c r="KO719" s="4"/>
      <c r="KP719" s="4"/>
      <c r="KQ719" s="4"/>
    </row>
    <row r="720">
      <c r="A720" s="10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  <c r="KO720" s="4"/>
      <c r="KP720" s="4"/>
      <c r="KQ720" s="4"/>
    </row>
    <row r="721">
      <c r="A721" s="10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  <c r="KO721" s="4"/>
      <c r="KP721" s="4"/>
      <c r="KQ721" s="4"/>
    </row>
    <row r="722">
      <c r="A722" s="10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  <c r="KO722" s="4"/>
      <c r="KP722" s="4"/>
      <c r="KQ722" s="4"/>
    </row>
    <row r="723">
      <c r="A723" s="10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  <c r="KO723" s="4"/>
      <c r="KP723" s="4"/>
      <c r="KQ723" s="4"/>
    </row>
    <row r="724">
      <c r="A724" s="10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  <c r="KO724" s="4"/>
      <c r="KP724" s="4"/>
      <c r="KQ724" s="4"/>
    </row>
    <row r="725">
      <c r="A725" s="10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  <c r="KO725" s="4"/>
      <c r="KP725" s="4"/>
      <c r="KQ725" s="4"/>
    </row>
    <row r="726">
      <c r="A726" s="10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  <c r="KO726" s="4"/>
      <c r="KP726" s="4"/>
      <c r="KQ726" s="4"/>
    </row>
    <row r="727">
      <c r="A727" s="10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  <c r="KO727" s="4"/>
      <c r="KP727" s="4"/>
      <c r="KQ727" s="4"/>
    </row>
    <row r="728">
      <c r="A728" s="10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  <c r="KO728" s="4"/>
      <c r="KP728" s="4"/>
      <c r="KQ728" s="4"/>
    </row>
    <row r="729">
      <c r="A729" s="10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  <c r="KO729" s="4"/>
      <c r="KP729" s="4"/>
      <c r="KQ729" s="4"/>
    </row>
    <row r="730">
      <c r="A730" s="10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  <c r="KO730" s="4"/>
      <c r="KP730" s="4"/>
      <c r="KQ730" s="4"/>
    </row>
    <row r="731">
      <c r="A731" s="10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  <c r="KO731" s="4"/>
      <c r="KP731" s="4"/>
      <c r="KQ731" s="4"/>
    </row>
    <row r="732">
      <c r="A732" s="10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  <c r="KO732" s="4"/>
      <c r="KP732" s="4"/>
      <c r="KQ732" s="4"/>
    </row>
    <row r="733">
      <c r="A733" s="10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  <c r="KO733" s="4"/>
      <c r="KP733" s="4"/>
      <c r="KQ733" s="4"/>
    </row>
    <row r="734">
      <c r="A734" s="10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  <c r="KO734" s="4"/>
      <c r="KP734" s="4"/>
      <c r="KQ734" s="4"/>
    </row>
    <row r="735">
      <c r="A735" s="10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  <c r="KO735" s="4"/>
      <c r="KP735" s="4"/>
      <c r="KQ735" s="4"/>
    </row>
    <row r="736">
      <c r="A736" s="10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  <c r="KO736" s="4"/>
      <c r="KP736" s="4"/>
      <c r="KQ736" s="4"/>
    </row>
    <row r="737">
      <c r="A737" s="10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  <c r="KO737" s="4"/>
      <c r="KP737" s="4"/>
      <c r="KQ737" s="4"/>
    </row>
    <row r="738">
      <c r="A738" s="10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  <c r="KO738" s="4"/>
      <c r="KP738" s="4"/>
      <c r="KQ738" s="4"/>
    </row>
    <row r="739">
      <c r="A739" s="10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  <c r="KO739" s="4"/>
      <c r="KP739" s="4"/>
      <c r="KQ739" s="4"/>
    </row>
    <row r="740">
      <c r="A740" s="10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  <c r="KO740" s="4"/>
      <c r="KP740" s="4"/>
      <c r="KQ740" s="4"/>
    </row>
    <row r="741">
      <c r="A741" s="10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  <c r="KO741" s="4"/>
      <c r="KP741" s="4"/>
      <c r="KQ741" s="4"/>
    </row>
    <row r="742">
      <c r="A742" s="10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  <c r="KO742" s="4"/>
      <c r="KP742" s="4"/>
      <c r="KQ742" s="4"/>
    </row>
    <row r="743">
      <c r="A743" s="10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  <c r="KO743" s="4"/>
      <c r="KP743" s="4"/>
      <c r="KQ743" s="4"/>
    </row>
    <row r="744">
      <c r="A744" s="10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  <c r="KO744" s="4"/>
      <c r="KP744" s="4"/>
      <c r="KQ744" s="4"/>
    </row>
    <row r="745">
      <c r="A745" s="10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  <c r="KO745" s="4"/>
      <c r="KP745" s="4"/>
      <c r="KQ745" s="4"/>
    </row>
    <row r="746">
      <c r="A746" s="10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  <c r="KO746" s="4"/>
      <c r="KP746" s="4"/>
      <c r="KQ746" s="4"/>
    </row>
    <row r="747">
      <c r="A747" s="10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  <c r="KO747" s="4"/>
      <c r="KP747" s="4"/>
      <c r="KQ747" s="4"/>
    </row>
    <row r="748">
      <c r="A748" s="10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  <c r="KO748" s="4"/>
      <c r="KP748" s="4"/>
      <c r="KQ748" s="4"/>
    </row>
    <row r="749">
      <c r="A749" s="10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  <c r="KO749" s="4"/>
      <c r="KP749" s="4"/>
      <c r="KQ749" s="4"/>
    </row>
    <row r="750">
      <c r="A750" s="10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  <c r="KO750" s="4"/>
      <c r="KP750" s="4"/>
      <c r="KQ750" s="4"/>
    </row>
    <row r="751">
      <c r="A751" s="10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  <c r="KO751" s="4"/>
      <c r="KP751" s="4"/>
      <c r="KQ751" s="4"/>
    </row>
    <row r="752">
      <c r="A752" s="10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  <c r="KO752" s="4"/>
      <c r="KP752" s="4"/>
      <c r="KQ752" s="4"/>
    </row>
    <row r="753">
      <c r="A753" s="10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  <c r="KO753" s="4"/>
      <c r="KP753" s="4"/>
      <c r="KQ753" s="4"/>
    </row>
    <row r="754">
      <c r="A754" s="10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  <c r="KO754" s="4"/>
      <c r="KP754" s="4"/>
      <c r="KQ754" s="4"/>
    </row>
    <row r="755">
      <c r="A755" s="10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  <c r="KO755" s="4"/>
      <c r="KP755" s="4"/>
      <c r="KQ755" s="4"/>
    </row>
    <row r="756">
      <c r="A756" s="10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  <c r="KO756" s="4"/>
      <c r="KP756" s="4"/>
      <c r="KQ756" s="4"/>
    </row>
    <row r="757">
      <c r="A757" s="10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  <c r="KO757" s="4"/>
      <c r="KP757" s="4"/>
      <c r="KQ757" s="4"/>
    </row>
    <row r="758">
      <c r="A758" s="10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  <c r="KO758" s="4"/>
      <c r="KP758" s="4"/>
      <c r="KQ758" s="4"/>
    </row>
    <row r="759">
      <c r="A759" s="10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  <c r="KO759" s="4"/>
      <c r="KP759" s="4"/>
      <c r="KQ759" s="4"/>
    </row>
    <row r="760">
      <c r="A760" s="10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  <c r="KO760" s="4"/>
      <c r="KP760" s="4"/>
      <c r="KQ760" s="4"/>
    </row>
    <row r="761">
      <c r="A761" s="10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  <c r="KO761" s="4"/>
      <c r="KP761" s="4"/>
      <c r="KQ761" s="4"/>
    </row>
    <row r="762">
      <c r="A762" s="10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  <c r="KO762" s="4"/>
      <c r="KP762" s="4"/>
      <c r="KQ762" s="4"/>
    </row>
    <row r="763">
      <c r="A763" s="10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  <c r="KO763" s="4"/>
      <c r="KP763" s="4"/>
      <c r="KQ763" s="4"/>
    </row>
    <row r="764">
      <c r="A764" s="10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  <c r="KO764" s="4"/>
      <c r="KP764" s="4"/>
      <c r="KQ764" s="4"/>
    </row>
    <row r="765">
      <c r="A765" s="10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  <c r="KO765" s="4"/>
      <c r="KP765" s="4"/>
      <c r="KQ765" s="4"/>
    </row>
    <row r="766">
      <c r="A766" s="10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  <c r="KO766" s="4"/>
      <c r="KP766" s="4"/>
      <c r="KQ766" s="4"/>
    </row>
    <row r="767">
      <c r="A767" s="10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  <c r="KO767" s="4"/>
      <c r="KP767" s="4"/>
      <c r="KQ767" s="4"/>
    </row>
    <row r="768">
      <c r="A768" s="10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  <c r="KO768" s="4"/>
      <c r="KP768" s="4"/>
      <c r="KQ768" s="4"/>
    </row>
    <row r="769">
      <c r="A769" s="10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  <c r="KO769" s="4"/>
      <c r="KP769" s="4"/>
      <c r="KQ769" s="4"/>
    </row>
    <row r="770">
      <c r="A770" s="10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  <c r="KO770" s="4"/>
      <c r="KP770" s="4"/>
      <c r="KQ770" s="4"/>
    </row>
    <row r="771">
      <c r="A771" s="10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  <c r="KO771" s="4"/>
      <c r="KP771" s="4"/>
      <c r="KQ771" s="4"/>
    </row>
    <row r="772">
      <c r="A772" s="10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  <c r="KO772" s="4"/>
      <c r="KP772" s="4"/>
      <c r="KQ772" s="4"/>
    </row>
    <row r="773">
      <c r="A773" s="10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  <c r="KO773" s="4"/>
      <c r="KP773" s="4"/>
      <c r="KQ773" s="4"/>
    </row>
    <row r="774">
      <c r="A774" s="10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  <c r="KO774" s="4"/>
      <c r="KP774" s="4"/>
      <c r="KQ774" s="4"/>
    </row>
    <row r="775">
      <c r="A775" s="10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  <c r="KO775" s="4"/>
      <c r="KP775" s="4"/>
      <c r="KQ775" s="4"/>
    </row>
    <row r="776">
      <c r="A776" s="10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  <c r="KO776" s="4"/>
      <c r="KP776" s="4"/>
      <c r="KQ776" s="4"/>
    </row>
    <row r="777">
      <c r="A777" s="10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  <c r="KO777" s="4"/>
      <c r="KP777" s="4"/>
      <c r="KQ777" s="4"/>
    </row>
    <row r="778">
      <c r="A778" s="10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  <c r="KO778" s="4"/>
      <c r="KP778" s="4"/>
      <c r="KQ778" s="4"/>
    </row>
    <row r="779">
      <c r="A779" s="10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  <c r="KO779" s="4"/>
      <c r="KP779" s="4"/>
      <c r="KQ779" s="4"/>
    </row>
    <row r="780">
      <c r="A780" s="10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  <c r="KO780" s="4"/>
      <c r="KP780" s="4"/>
      <c r="KQ780" s="4"/>
    </row>
    <row r="781">
      <c r="A781" s="10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  <c r="KO781" s="4"/>
      <c r="KP781" s="4"/>
      <c r="KQ781" s="4"/>
    </row>
    <row r="782">
      <c r="A782" s="10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  <c r="KO782" s="4"/>
      <c r="KP782" s="4"/>
      <c r="KQ782" s="4"/>
    </row>
    <row r="783">
      <c r="A783" s="10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  <c r="KO783" s="4"/>
      <c r="KP783" s="4"/>
      <c r="KQ783" s="4"/>
    </row>
    <row r="784">
      <c r="A784" s="10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  <c r="KO784" s="4"/>
      <c r="KP784" s="4"/>
      <c r="KQ784" s="4"/>
    </row>
    <row r="785">
      <c r="A785" s="10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  <c r="KO785" s="4"/>
      <c r="KP785" s="4"/>
      <c r="KQ785" s="4"/>
    </row>
    <row r="786">
      <c r="A786" s="10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  <c r="KO786" s="4"/>
      <c r="KP786" s="4"/>
      <c r="KQ786" s="4"/>
    </row>
    <row r="787">
      <c r="A787" s="10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  <c r="KO787" s="4"/>
      <c r="KP787" s="4"/>
      <c r="KQ787" s="4"/>
    </row>
    <row r="788">
      <c r="A788" s="10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  <c r="KO788" s="4"/>
      <c r="KP788" s="4"/>
      <c r="KQ788" s="4"/>
    </row>
    <row r="789">
      <c r="A789" s="10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  <c r="KO789" s="4"/>
      <c r="KP789" s="4"/>
      <c r="KQ789" s="4"/>
    </row>
    <row r="790">
      <c r="A790" s="10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  <c r="KO790" s="4"/>
      <c r="KP790" s="4"/>
      <c r="KQ790" s="4"/>
    </row>
    <row r="791">
      <c r="A791" s="10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  <c r="KO791" s="4"/>
      <c r="KP791" s="4"/>
      <c r="KQ791" s="4"/>
    </row>
    <row r="792">
      <c r="A792" s="10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  <c r="KO792" s="4"/>
      <c r="KP792" s="4"/>
      <c r="KQ792" s="4"/>
    </row>
    <row r="793">
      <c r="A793" s="10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  <c r="KO793" s="4"/>
      <c r="KP793" s="4"/>
      <c r="KQ793" s="4"/>
    </row>
    <row r="794">
      <c r="A794" s="10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  <c r="KO794" s="4"/>
      <c r="KP794" s="4"/>
      <c r="KQ794" s="4"/>
    </row>
    <row r="795">
      <c r="A795" s="10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  <c r="KO795" s="4"/>
      <c r="KP795" s="4"/>
      <c r="KQ795" s="4"/>
    </row>
    <row r="796">
      <c r="A796" s="10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  <c r="KO796" s="4"/>
      <c r="KP796" s="4"/>
      <c r="KQ796" s="4"/>
    </row>
    <row r="797">
      <c r="A797" s="10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  <c r="KO797" s="4"/>
      <c r="KP797" s="4"/>
      <c r="KQ797" s="4"/>
    </row>
    <row r="798">
      <c r="A798" s="10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  <c r="KO798" s="4"/>
      <c r="KP798" s="4"/>
      <c r="KQ798" s="4"/>
    </row>
    <row r="799">
      <c r="A799" s="10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  <c r="KO799" s="4"/>
      <c r="KP799" s="4"/>
      <c r="KQ799" s="4"/>
    </row>
    <row r="800">
      <c r="A800" s="10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  <c r="KO800" s="4"/>
      <c r="KP800" s="4"/>
      <c r="KQ800" s="4"/>
    </row>
    <row r="801">
      <c r="A801" s="10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  <c r="KO801" s="4"/>
      <c r="KP801" s="4"/>
      <c r="KQ801" s="4"/>
    </row>
    <row r="802">
      <c r="A802" s="10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  <c r="KO802" s="4"/>
      <c r="KP802" s="4"/>
      <c r="KQ802" s="4"/>
    </row>
    <row r="803">
      <c r="A803" s="10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  <c r="KO803" s="4"/>
      <c r="KP803" s="4"/>
      <c r="KQ803" s="4"/>
    </row>
    <row r="804">
      <c r="A804" s="10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  <c r="KO804" s="4"/>
      <c r="KP804" s="4"/>
      <c r="KQ804" s="4"/>
    </row>
    <row r="805">
      <c r="A805" s="10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  <c r="KO805" s="4"/>
      <c r="KP805" s="4"/>
      <c r="KQ805" s="4"/>
    </row>
    <row r="806">
      <c r="A806" s="10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  <c r="KO806" s="4"/>
      <c r="KP806" s="4"/>
      <c r="KQ806" s="4"/>
    </row>
    <row r="807">
      <c r="A807" s="10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  <c r="KO807" s="4"/>
      <c r="KP807" s="4"/>
      <c r="KQ807" s="4"/>
    </row>
    <row r="808">
      <c r="A808" s="10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  <c r="KO808" s="4"/>
      <c r="KP808" s="4"/>
      <c r="KQ808" s="4"/>
    </row>
    <row r="809">
      <c r="A809" s="10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  <c r="KO809" s="4"/>
      <c r="KP809" s="4"/>
      <c r="KQ809" s="4"/>
    </row>
    <row r="810">
      <c r="A810" s="10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  <c r="KO810" s="4"/>
      <c r="KP810" s="4"/>
      <c r="KQ810" s="4"/>
    </row>
    <row r="811">
      <c r="A811" s="10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  <c r="KO811" s="4"/>
      <c r="KP811" s="4"/>
      <c r="KQ811" s="4"/>
    </row>
    <row r="812">
      <c r="A812" s="10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  <c r="KO812" s="4"/>
      <c r="KP812" s="4"/>
      <c r="KQ812" s="4"/>
    </row>
    <row r="813">
      <c r="A813" s="10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  <c r="KO813" s="4"/>
      <c r="KP813" s="4"/>
      <c r="KQ813" s="4"/>
    </row>
    <row r="814">
      <c r="A814" s="10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  <c r="KO814" s="4"/>
      <c r="KP814" s="4"/>
      <c r="KQ814" s="4"/>
    </row>
    <row r="815">
      <c r="A815" s="10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  <c r="KO815" s="4"/>
      <c r="KP815" s="4"/>
      <c r="KQ815" s="4"/>
    </row>
    <row r="816">
      <c r="A816" s="10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  <c r="KO816" s="4"/>
      <c r="KP816" s="4"/>
      <c r="KQ816" s="4"/>
    </row>
    <row r="817">
      <c r="A817" s="10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  <c r="KO817" s="4"/>
      <c r="KP817" s="4"/>
      <c r="KQ817" s="4"/>
    </row>
    <row r="818">
      <c r="A818" s="10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  <c r="KO818" s="4"/>
      <c r="KP818" s="4"/>
      <c r="KQ818" s="4"/>
    </row>
    <row r="819">
      <c r="A819" s="10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  <c r="KO819" s="4"/>
      <c r="KP819" s="4"/>
      <c r="KQ819" s="4"/>
    </row>
    <row r="820">
      <c r="A820" s="10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  <c r="KO820" s="4"/>
      <c r="KP820" s="4"/>
      <c r="KQ820" s="4"/>
    </row>
    <row r="821">
      <c r="A821" s="10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  <c r="KO821" s="4"/>
      <c r="KP821" s="4"/>
      <c r="KQ821" s="4"/>
    </row>
    <row r="822">
      <c r="A822" s="10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  <c r="KO822" s="4"/>
      <c r="KP822" s="4"/>
      <c r="KQ822" s="4"/>
    </row>
    <row r="823">
      <c r="A823" s="10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  <c r="KO823" s="4"/>
      <c r="KP823" s="4"/>
      <c r="KQ823" s="4"/>
    </row>
    <row r="824">
      <c r="A824" s="10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  <c r="KO824" s="4"/>
      <c r="KP824" s="4"/>
      <c r="KQ824" s="4"/>
    </row>
    <row r="825">
      <c r="A825" s="10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  <c r="KO825" s="4"/>
      <c r="KP825" s="4"/>
      <c r="KQ825" s="4"/>
    </row>
    <row r="826">
      <c r="A826" s="10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  <c r="KO826" s="4"/>
      <c r="KP826" s="4"/>
      <c r="KQ826" s="4"/>
    </row>
    <row r="827">
      <c r="A827" s="10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  <c r="KO827" s="4"/>
      <c r="KP827" s="4"/>
      <c r="KQ827" s="4"/>
    </row>
    <row r="828">
      <c r="A828" s="10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  <c r="KO828" s="4"/>
      <c r="KP828" s="4"/>
      <c r="KQ828" s="4"/>
    </row>
    <row r="829">
      <c r="A829" s="10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  <c r="KO829" s="4"/>
      <c r="KP829" s="4"/>
      <c r="KQ829" s="4"/>
    </row>
    <row r="830">
      <c r="A830" s="10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  <c r="KO830" s="4"/>
      <c r="KP830" s="4"/>
      <c r="KQ830" s="4"/>
    </row>
    <row r="831">
      <c r="A831" s="10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  <c r="KO831" s="4"/>
      <c r="KP831" s="4"/>
      <c r="KQ831" s="4"/>
    </row>
    <row r="832">
      <c r="A832" s="10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  <c r="KO832" s="4"/>
      <c r="KP832" s="4"/>
      <c r="KQ832" s="4"/>
    </row>
    <row r="833">
      <c r="A833" s="10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  <c r="KO833" s="4"/>
      <c r="KP833" s="4"/>
      <c r="KQ833" s="4"/>
    </row>
    <row r="834">
      <c r="A834" s="10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  <c r="KO834" s="4"/>
      <c r="KP834" s="4"/>
      <c r="KQ834" s="4"/>
    </row>
    <row r="835">
      <c r="A835" s="10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  <c r="KO835" s="4"/>
      <c r="KP835" s="4"/>
      <c r="KQ835" s="4"/>
    </row>
    <row r="836">
      <c r="A836" s="10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  <c r="KO836" s="4"/>
      <c r="KP836" s="4"/>
      <c r="KQ836" s="4"/>
    </row>
    <row r="837">
      <c r="A837" s="10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  <c r="KO837" s="4"/>
      <c r="KP837" s="4"/>
      <c r="KQ837" s="4"/>
    </row>
    <row r="838">
      <c r="A838" s="10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  <c r="KO838" s="4"/>
      <c r="KP838" s="4"/>
      <c r="KQ838" s="4"/>
    </row>
    <row r="839">
      <c r="A839" s="10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  <c r="KO839" s="4"/>
      <c r="KP839" s="4"/>
      <c r="KQ839" s="4"/>
    </row>
    <row r="840">
      <c r="A840" s="10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  <c r="KO840" s="4"/>
      <c r="KP840" s="4"/>
      <c r="KQ840" s="4"/>
    </row>
    <row r="841">
      <c r="A841" s="10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  <c r="KO841" s="4"/>
      <c r="KP841" s="4"/>
      <c r="KQ841" s="4"/>
    </row>
    <row r="842">
      <c r="A842" s="10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  <c r="KO842" s="4"/>
      <c r="KP842" s="4"/>
      <c r="KQ842" s="4"/>
    </row>
    <row r="843">
      <c r="A843" s="10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  <c r="KO843" s="4"/>
      <c r="KP843" s="4"/>
      <c r="KQ843" s="4"/>
    </row>
    <row r="844">
      <c r="A844" s="10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  <c r="KO844" s="4"/>
      <c r="KP844" s="4"/>
      <c r="KQ844" s="4"/>
    </row>
    <row r="845">
      <c r="A845" s="10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  <c r="KO845" s="4"/>
      <c r="KP845" s="4"/>
      <c r="KQ845" s="4"/>
    </row>
    <row r="846">
      <c r="A846" s="10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  <c r="KO846" s="4"/>
      <c r="KP846" s="4"/>
      <c r="KQ846" s="4"/>
    </row>
    <row r="847">
      <c r="A847" s="10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  <c r="KO847" s="4"/>
      <c r="KP847" s="4"/>
      <c r="KQ847" s="4"/>
    </row>
    <row r="848">
      <c r="A848" s="10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  <c r="KO848" s="4"/>
      <c r="KP848" s="4"/>
      <c r="KQ848" s="4"/>
    </row>
    <row r="849">
      <c r="A849" s="10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  <c r="KO849" s="4"/>
      <c r="KP849" s="4"/>
      <c r="KQ849" s="4"/>
    </row>
    <row r="850">
      <c r="A850" s="10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  <c r="KO850" s="4"/>
      <c r="KP850" s="4"/>
      <c r="KQ850" s="4"/>
    </row>
    <row r="851">
      <c r="A851" s="10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  <c r="KO851" s="4"/>
      <c r="KP851" s="4"/>
      <c r="KQ851" s="4"/>
    </row>
    <row r="852">
      <c r="A852" s="10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  <c r="KO852" s="4"/>
      <c r="KP852" s="4"/>
      <c r="KQ852" s="4"/>
    </row>
    <row r="853">
      <c r="A853" s="10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  <c r="KO853" s="4"/>
      <c r="KP853" s="4"/>
      <c r="KQ853" s="4"/>
    </row>
    <row r="854">
      <c r="A854" s="10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  <c r="KO854" s="4"/>
      <c r="KP854" s="4"/>
      <c r="KQ854" s="4"/>
    </row>
    <row r="855">
      <c r="A855" s="10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  <c r="KO855" s="4"/>
      <c r="KP855" s="4"/>
      <c r="KQ855" s="4"/>
    </row>
    <row r="856">
      <c r="A856" s="10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  <c r="KO856" s="4"/>
      <c r="KP856" s="4"/>
      <c r="KQ856" s="4"/>
    </row>
    <row r="857">
      <c r="A857" s="10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  <c r="KO857" s="4"/>
      <c r="KP857" s="4"/>
      <c r="KQ857" s="4"/>
    </row>
    <row r="858">
      <c r="A858" s="10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  <c r="KO858" s="4"/>
      <c r="KP858" s="4"/>
      <c r="KQ858" s="4"/>
    </row>
    <row r="859">
      <c r="A859" s="10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  <c r="KO859" s="4"/>
      <c r="KP859" s="4"/>
      <c r="KQ859" s="4"/>
    </row>
    <row r="860">
      <c r="A860" s="10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  <c r="KO860" s="4"/>
      <c r="KP860" s="4"/>
      <c r="KQ860" s="4"/>
    </row>
    <row r="861">
      <c r="A861" s="10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  <c r="KO861" s="4"/>
      <c r="KP861" s="4"/>
      <c r="KQ861" s="4"/>
    </row>
    <row r="862">
      <c r="A862" s="10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  <c r="KO862" s="4"/>
      <c r="KP862" s="4"/>
      <c r="KQ862" s="4"/>
    </row>
    <row r="863">
      <c r="A863" s="10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  <c r="KO863" s="4"/>
      <c r="KP863" s="4"/>
      <c r="KQ863" s="4"/>
    </row>
    <row r="864">
      <c r="A864" s="10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  <c r="KO864" s="4"/>
      <c r="KP864" s="4"/>
      <c r="KQ864" s="4"/>
    </row>
    <row r="865">
      <c r="A865" s="10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  <c r="KO865" s="4"/>
      <c r="KP865" s="4"/>
      <c r="KQ865" s="4"/>
    </row>
    <row r="866">
      <c r="A866" s="10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  <c r="KO866" s="4"/>
      <c r="KP866" s="4"/>
      <c r="KQ866" s="4"/>
    </row>
    <row r="867">
      <c r="A867" s="10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  <c r="KO867" s="4"/>
      <c r="KP867" s="4"/>
      <c r="KQ867" s="4"/>
    </row>
    <row r="868">
      <c r="A868" s="10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  <c r="KO868" s="4"/>
      <c r="KP868" s="4"/>
      <c r="KQ868" s="4"/>
    </row>
    <row r="869">
      <c r="A869" s="10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  <c r="KO869" s="4"/>
      <c r="KP869" s="4"/>
      <c r="KQ869" s="4"/>
    </row>
    <row r="870">
      <c r="A870" s="10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  <c r="KO870" s="4"/>
      <c r="KP870" s="4"/>
      <c r="KQ870" s="4"/>
    </row>
    <row r="871">
      <c r="A871" s="10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  <c r="KO871" s="4"/>
      <c r="KP871" s="4"/>
      <c r="KQ871" s="4"/>
    </row>
    <row r="872">
      <c r="A872" s="10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  <c r="KO872" s="4"/>
      <c r="KP872" s="4"/>
      <c r="KQ872" s="4"/>
    </row>
    <row r="873">
      <c r="A873" s="10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  <c r="KO873" s="4"/>
      <c r="KP873" s="4"/>
      <c r="KQ873" s="4"/>
    </row>
    <row r="874">
      <c r="A874" s="10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  <c r="KO874" s="4"/>
      <c r="KP874" s="4"/>
      <c r="KQ874" s="4"/>
    </row>
    <row r="875">
      <c r="A875" s="10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  <c r="KO875" s="4"/>
      <c r="KP875" s="4"/>
      <c r="KQ875" s="4"/>
    </row>
    <row r="876">
      <c r="A876" s="10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  <c r="KO876" s="4"/>
      <c r="KP876" s="4"/>
      <c r="KQ876" s="4"/>
    </row>
    <row r="877">
      <c r="A877" s="10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  <c r="KO877" s="4"/>
      <c r="KP877" s="4"/>
      <c r="KQ877" s="4"/>
    </row>
    <row r="878">
      <c r="A878" s="10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  <c r="KO878" s="4"/>
      <c r="KP878" s="4"/>
      <c r="KQ878" s="4"/>
    </row>
    <row r="879">
      <c r="A879" s="10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  <c r="KO879" s="4"/>
      <c r="KP879" s="4"/>
      <c r="KQ879" s="4"/>
    </row>
    <row r="880">
      <c r="A880" s="10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  <c r="KO880" s="4"/>
      <c r="KP880" s="4"/>
      <c r="KQ880" s="4"/>
    </row>
    <row r="881">
      <c r="A881" s="10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  <c r="KO881" s="4"/>
      <c r="KP881" s="4"/>
      <c r="KQ881" s="4"/>
    </row>
    <row r="882">
      <c r="A882" s="10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  <c r="KO882" s="4"/>
      <c r="KP882" s="4"/>
      <c r="KQ882" s="4"/>
    </row>
    <row r="883">
      <c r="A883" s="10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  <c r="KO883" s="4"/>
      <c r="KP883" s="4"/>
      <c r="KQ883" s="4"/>
    </row>
    <row r="884">
      <c r="A884" s="10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  <c r="KO884" s="4"/>
      <c r="KP884" s="4"/>
      <c r="KQ884" s="4"/>
    </row>
    <row r="885">
      <c r="A885" s="10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  <c r="KO885" s="4"/>
      <c r="KP885" s="4"/>
      <c r="KQ885" s="4"/>
    </row>
    <row r="886">
      <c r="A886" s="10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  <c r="KO886" s="4"/>
      <c r="KP886" s="4"/>
      <c r="KQ886" s="4"/>
    </row>
    <row r="887">
      <c r="A887" s="10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  <c r="KO887" s="4"/>
      <c r="KP887" s="4"/>
      <c r="KQ887" s="4"/>
    </row>
    <row r="888">
      <c r="A888" s="10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  <c r="KO888" s="4"/>
      <c r="KP888" s="4"/>
      <c r="KQ888" s="4"/>
    </row>
    <row r="889">
      <c r="A889" s="10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  <c r="KO889" s="4"/>
      <c r="KP889" s="4"/>
      <c r="KQ889" s="4"/>
    </row>
    <row r="890">
      <c r="A890" s="10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  <c r="KO890" s="4"/>
      <c r="KP890" s="4"/>
      <c r="KQ890" s="4"/>
    </row>
    <row r="891">
      <c r="A891" s="10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  <c r="KO891" s="4"/>
      <c r="KP891" s="4"/>
      <c r="KQ891" s="4"/>
    </row>
    <row r="892">
      <c r="A892" s="10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  <c r="KO892" s="4"/>
      <c r="KP892" s="4"/>
      <c r="KQ892" s="4"/>
    </row>
    <row r="893">
      <c r="A893" s="10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  <c r="KO893" s="4"/>
      <c r="KP893" s="4"/>
      <c r="KQ893" s="4"/>
    </row>
    <row r="894">
      <c r="A894" s="10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  <c r="KO894" s="4"/>
      <c r="KP894" s="4"/>
      <c r="KQ894" s="4"/>
    </row>
    <row r="895">
      <c r="A895" s="10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  <c r="KO895" s="4"/>
      <c r="KP895" s="4"/>
      <c r="KQ895" s="4"/>
    </row>
    <row r="896">
      <c r="A896" s="10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  <c r="KO896" s="4"/>
      <c r="KP896" s="4"/>
      <c r="KQ896" s="4"/>
    </row>
    <row r="897">
      <c r="A897" s="10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  <c r="KO897" s="4"/>
      <c r="KP897" s="4"/>
      <c r="KQ897" s="4"/>
    </row>
    <row r="898">
      <c r="A898" s="10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  <c r="KO898" s="4"/>
      <c r="KP898" s="4"/>
      <c r="KQ898" s="4"/>
    </row>
    <row r="899">
      <c r="A899" s="10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  <c r="KO899" s="4"/>
      <c r="KP899" s="4"/>
      <c r="KQ899" s="4"/>
    </row>
    <row r="900">
      <c r="A900" s="10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  <c r="KO900" s="4"/>
      <c r="KP900" s="4"/>
      <c r="KQ900" s="4"/>
    </row>
    <row r="901">
      <c r="A901" s="10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  <c r="KO901" s="4"/>
      <c r="KP901" s="4"/>
      <c r="KQ901" s="4"/>
    </row>
    <row r="902">
      <c r="A902" s="10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  <c r="KO902" s="4"/>
      <c r="KP902" s="4"/>
      <c r="KQ902" s="4"/>
    </row>
    <row r="903">
      <c r="A903" s="10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  <c r="KO903" s="4"/>
      <c r="KP903" s="4"/>
      <c r="KQ903" s="4"/>
    </row>
    <row r="904">
      <c r="A904" s="10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  <c r="KO904" s="4"/>
      <c r="KP904" s="4"/>
      <c r="KQ904" s="4"/>
    </row>
    <row r="905">
      <c r="A905" s="10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  <c r="KO905" s="4"/>
      <c r="KP905" s="4"/>
      <c r="KQ905" s="4"/>
    </row>
    <row r="906">
      <c r="A906" s="10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  <c r="KO906" s="4"/>
      <c r="KP906" s="4"/>
      <c r="KQ906" s="4"/>
    </row>
    <row r="907">
      <c r="A907" s="10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  <c r="KO907" s="4"/>
      <c r="KP907" s="4"/>
      <c r="KQ907" s="4"/>
    </row>
    <row r="908">
      <c r="A908" s="10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  <c r="KO908" s="4"/>
      <c r="KP908" s="4"/>
      <c r="KQ908" s="4"/>
    </row>
    <row r="909">
      <c r="A909" s="10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  <c r="KO909" s="4"/>
      <c r="KP909" s="4"/>
      <c r="KQ909" s="4"/>
    </row>
    <row r="910">
      <c r="A910" s="10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  <c r="KO910" s="4"/>
      <c r="KP910" s="4"/>
      <c r="KQ910" s="4"/>
    </row>
    <row r="911">
      <c r="A911" s="10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  <c r="KO911" s="4"/>
      <c r="KP911" s="4"/>
      <c r="KQ911" s="4"/>
    </row>
    <row r="912">
      <c r="A912" s="10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  <c r="KO912" s="4"/>
      <c r="KP912" s="4"/>
      <c r="KQ912" s="4"/>
    </row>
    <row r="913">
      <c r="A913" s="10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  <c r="KO913" s="4"/>
      <c r="KP913" s="4"/>
      <c r="KQ913" s="4"/>
    </row>
    <row r="914">
      <c r="A914" s="10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  <c r="KO914" s="4"/>
      <c r="KP914" s="4"/>
      <c r="KQ914" s="4"/>
    </row>
    <row r="915">
      <c r="A915" s="10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  <c r="KO915" s="4"/>
      <c r="KP915" s="4"/>
      <c r="KQ915" s="4"/>
    </row>
    <row r="916">
      <c r="A916" s="10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  <c r="KO916" s="4"/>
      <c r="KP916" s="4"/>
      <c r="KQ916" s="4"/>
    </row>
    <row r="917">
      <c r="A917" s="10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  <c r="KO917" s="4"/>
      <c r="KP917" s="4"/>
      <c r="KQ917" s="4"/>
    </row>
    <row r="918">
      <c r="A918" s="10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  <c r="KO918" s="4"/>
      <c r="KP918" s="4"/>
      <c r="KQ918" s="4"/>
    </row>
    <row r="919">
      <c r="A919" s="10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  <c r="KO919" s="4"/>
      <c r="KP919" s="4"/>
      <c r="KQ919" s="4"/>
    </row>
    <row r="920">
      <c r="A920" s="10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  <c r="KO920" s="4"/>
      <c r="KP920" s="4"/>
      <c r="KQ920" s="4"/>
    </row>
    <row r="921">
      <c r="A921" s="10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  <c r="KO921" s="4"/>
      <c r="KP921" s="4"/>
      <c r="KQ921" s="4"/>
    </row>
    <row r="922">
      <c r="A922" s="10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  <c r="KO922" s="4"/>
      <c r="KP922" s="4"/>
      <c r="KQ922" s="4"/>
    </row>
    <row r="923">
      <c r="A923" s="10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  <c r="KO923" s="4"/>
      <c r="KP923" s="4"/>
      <c r="KQ923" s="4"/>
    </row>
    <row r="924">
      <c r="A924" s="10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  <c r="KO924" s="4"/>
      <c r="KP924" s="4"/>
      <c r="KQ924" s="4"/>
    </row>
    <row r="925">
      <c r="A925" s="10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  <c r="KO925" s="4"/>
      <c r="KP925" s="4"/>
      <c r="KQ925" s="4"/>
    </row>
    <row r="926">
      <c r="A926" s="10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  <c r="KO926" s="4"/>
      <c r="KP926" s="4"/>
      <c r="KQ926" s="4"/>
    </row>
    <row r="927">
      <c r="A927" s="10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  <c r="KO927" s="4"/>
      <c r="KP927" s="4"/>
      <c r="KQ927" s="4"/>
    </row>
    <row r="928">
      <c r="A928" s="10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  <c r="KO928" s="4"/>
      <c r="KP928" s="4"/>
      <c r="KQ928" s="4"/>
    </row>
    <row r="929">
      <c r="A929" s="10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  <c r="KO929" s="4"/>
      <c r="KP929" s="4"/>
      <c r="KQ929" s="4"/>
    </row>
    <row r="930">
      <c r="A930" s="10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  <c r="KO930" s="4"/>
      <c r="KP930" s="4"/>
      <c r="KQ930" s="4"/>
    </row>
    <row r="931">
      <c r="A931" s="10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  <c r="KO931" s="4"/>
      <c r="KP931" s="4"/>
      <c r="KQ931" s="4"/>
    </row>
    <row r="932">
      <c r="A932" s="10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  <c r="KO932" s="4"/>
      <c r="KP932" s="4"/>
      <c r="KQ932" s="4"/>
    </row>
    <row r="933">
      <c r="A933" s="10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  <c r="KO933" s="4"/>
      <c r="KP933" s="4"/>
      <c r="KQ933" s="4"/>
    </row>
    <row r="934">
      <c r="A934" s="10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  <c r="KO934" s="4"/>
      <c r="KP934" s="4"/>
      <c r="KQ934" s="4"/>
    </row>
    <row r="935">
      <c r="A935" s="10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  <c r="KO935" s="4"/>
      <c r="KP935" s="4"/>
      <c r="KQ935" s="4"/>
    </row>
    <row r="936">
      <c r="A936" s="10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  <c r="KO936" s="4"/>
      <c r="KP936" s="4"/>
      <c r="KQ936" s="4"/>
    </row>
    <row r="937">
      <c r="A937" s="10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  <c r="KO937" s="4"/>
      <c r="KP937" s="4"/>
      <c r="KQ937" s="4"/>
    </row>
    <row r="938">
      <c r="A938" s="10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  <c r="KO938" s="4"/>
      <c r="KP938" s="4"/>
      <c r="KQ938" s="4"/>
    </row>
    <row r="939">
      <c r="A939" s="10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  <c r="KO939" s="4"/>
      <c r="KP939" s="4"/>
      <c r="KQ939" s="4"/>
    </row>
    <row r="940">
      <c r="A940" s="10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  <c r="KO940" s="4"/>
      <c r="KP940" s="4"/>
      <c r="KQ940" s="4"/>
    </row>
    <row r="941">
      <c r="A941" s="10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  <c r="KO941" s="4"/>
      <c r="KP941" s="4"/>
      <c r="KQ941" s="4"/>
    </row>
    <row r="942">
      <c r="A942" s="10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  <c r="KO942" s="4"/>
      <c r="KP942" s="4"/>
      <c r="KQ942" s="4"/>
    </row>
    <row r="943">
      <c r="A943" s="10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  <c r="KO943" s="4"/>
      <c r="KP943" s="4"/>
      <c r="KQ943" s="4"/>
    </row>
    <row r="944">
      <c r="A944" s="10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  <c r="KO944" s="4"/>
      <c r="KP944" s="4"/>
      <c r="KQ944" s="4"/>
    </row>
    <row r="945">
      <c r="A945" s="10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  <c r="KO945" s="4"/>
      <c r="KP945" s="4"/>
      <c r="KQ945" s="4"/>
    </row>
    <row r="946">
      <c r="A946" s="10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  <c r="KO946" s="4"/>
      <c r="KP946" s="4"/>
      <c r="KQ946" s="4"/>
    </row>
    <row r="947">
      <c r="A947" s="10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  <c r="KO947" s="4"/>
      <c r="KP947" s="4"/>
      <c r="KQ947" s="4"/>
    </row>
    <row r="948">
      <c r="A948" s="10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  <c r="KO948" s="4"/>
      <c r="KP948" s="4"/>
      <c r="KQ948" s="4"/>
    </row>
    <row r="949">
      <c r="A949" s="10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  <c r="KO949" s="4"/>
      <c r="KP949" s="4"/>
      <c r="KQ949" s="4"/>
    </row>
    <row r="950">
      <c r="A950" s="10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  <c r="KO950" s="4"/>
      <c r="KP950" s="4"/>
      <c r="KQ950" s="4"/>
    </row>
    <row r="951">
      <c r="A951" s="10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  <c r="KO951" s="4"/>
      <c r="KP951" s="4"/>
      <c r="KQ951" s="4"/>
    </row>
    <row r="952">
      <c r="A952" s="10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  <c r="KO952" s="4"/>
      <c r="KP952" s="4"/>
      <c r="KQ952" s="4"/>
    </row>
    <row r="953">
      <c r="A953" s="10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  <c r="KO953" s="4"/>
      <c r="KP953" s="4"/>
      <c r="KQ953" s="4"/>
    </row>
    <row r="954">
      <c r="A954" s="10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  <c r="KO954" s="4"/>
      <c r="KP954" s="4"/>
      <c r="KQ954" s="4"/>
    </row>
    <row r="955">
      <c r="A955" s="10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  <c r="KO955" s="4"/>
      <c r="KP955" s="4"/>
      <c r="KQ955" s="4"/>
    </row>
    <row r="956">
      <c r="A956" s="10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  <c r="KO956" s="4"/>
      <c r="KP956" s="4"/>
      <c r="KQ956" s="4"/>
    </row>
    <row r="957">
      <c r="A957" s="10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  <c r="KO957" s="4"/>
      <c r="KP957" s="4"/>
      <c r="KQ957" s="4"/>
    </row>
    <row r="958">
      <c r="A958" s="10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  <c r="KO958" s="4"/>
      <c r="KP958" s="4"/>
      <c r="KQ958" s="4"/>
    </row>
    <row r="959">
      <c r="A959" s="10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  <c r="KO959" s="4"/>
      <c r="KP959" s="4"/>
      <c r="KQ959" s="4"/>
    </row>
    <row r="960">
      <c r="A960" s="10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  <c r="KO960" s="4"/>
      <c r="KP960" s="4"/>
      <c r="KQ960" s="4"/>
    </row>
    <row r="961">
      <c r="A961" s="10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  <c r="KO961" s="4"/>
      <c r="KP961" s="4"/>
      <c r="KQ961" s="4"/>
    </row>
    <row r="962">
      <c r="A962" s="10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  <c r="KO962" s="4"/>
      <c r="KP962" s="4"/>
      <c r="KQ962" s="4"/>
    </row>
    <row r="963">
      <c r="A963" s="10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  <c r="KO963" s="4"/>
      <c r="KP963" s="4"/>
      <c r="KQ963" s="4"/>
    </row>
    <row r="964">
      <c r="A964" s="10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  <c r="KO964" s="4"/>
      <c r="KP964" s="4"/>
      <c r="KQ964" s="4"/>
    </row>
    <row r="965">
      <c r="A965" s="10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  <c r="KO965" s="4"/>
      <c r="KP965" s="4"/>
      <c r="KQ965" s="4"/>
    </row>
    <row r="966">
      <c r="A966" s="10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  <c r="KO966" s="4"/>
      <c r="KP966" s="4"/>
      <c r="KQ966" s="4"/>
    </row>
    <row r="967">
      <c r="A967" s="10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  <c r="KO967" s="4"/>
      <c r="KP967" s="4"/>
      <c r="KQ967" s="4"/>
    </row>
    <row r="968">
      <c r="A968" s="10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  <c r="KO968" s="4"/>
      <c r="KP968" s="4"/>
      <c r="KQ968" s="4"/>
    </row>
    <row r="969">
      <c r="A969" s="10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  <c r="KO969" s="4"/>
      <c r="KP969" s="4"/>
      <c r="KQ969" s="4"/>
    </row>
    <row r="970">
      <c r="A970" s="10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  <c r="KO970" s="4"/>
      <c r="KP970" s="4"/>
      <c r="KQ970" s="4"/>
    </row>
    <row r="971">
      <c r="A971" s="10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  <c r="KO971" s="4"/>
      <c r="KP971" s="4"/>
      <c r="KQ971" s="4"/>
    </row>
    <row r="972">
      <c r="A972" s="10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  <c r="KO972" s="4"/>
      <c r="KP972" s="4"/>
      <c r="KQ972" s="4"/>
    </row>
    <row r="973">
      <c r="A973" s="10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  <c r="KO973" s="4"/>
      <c r="KP973" s="4"/>
      <c r="KQ973" s="4"/>
    </row>
    <row r="974">
      <c r="A974" s="10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  <c r="KO974" s="4"/>
      <c r="KP974" s="4"/>
      <c r="KQ974" s="4"/>
    </row>
    <row r="975">
      <c r="A975" s="10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  <c r="KO975" s="4"/>
      <c r="KP975" s="4"/>
      <c r="KQ975" s="4"/>
    </row>
    <row r="976">
      <c r="A976" s="10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  <c r="KO976" s="4"/>
      <c r="KP976" s="4"/>
      <c r="KQ976" s="4"/>
    </row>
    <row r="977">
      <c r="A977" s="10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  <c r="KO977" s="4"/>
      <c r="KP977" s="4"/>
      <c r="KQ977" s="4"/>
    </row>
    <row r="978">
      <c r="A978" s="10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  <c r="KO978" s="4"/>
      <c r="KP978" s="4"/>
      <c r="KQ978" s="4"/>
    </row>
    <row r="979">
      <c r="A979" s="10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  <c r="KO979" s="4"/>
      <c r="KP979" s="4"/>
      <c r="KQ979" s="4"/>
    </row>
    <row r="980">
      <c r="A980" s="10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  <c r="KO980" s="4"/>
      <c r="KP980" s="4"/>
      <c r="KQ980" s="4"/>
    </row>
    <row r="981">
      <c r="A981" s="10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  <c r="KO981" s="4"/>
      <c r="KP981" s="4"/>
      <c r="KQ981" s="4"/>
    </row>
    <row r="982">
      <c r="A982" s="10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  <c r="KO982" s="4"/>
      <c r="KP982" s="4"/>
      <c r="KQ982" s="4"/>
    </row>
    <row r="983">
      <c r="A983" s="10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  <c r="KO983" s="4"/>
      <c r="KP983" s="4"/>
      <c r="KQ983" s="4"/>
    </row>
    <row r="984">
      <c r="A984" s="10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  <c r="KO984" s="4"/>
      <c r="KP984" s="4"/>
      <c r="KQ984" s="4"/>
    </row>
    <row r="985">
      <c r="A985" s="10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  <c r="KO985" s="4"/>
      <c r="KP985" s="4"/>
      <c r="KQ985" s="4"/>
    </row>
    <row r="986">
      <c r="A986" s="10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  <c r="KO986" s="4"/>
      <c r="KP986" s="4"/>
      <c r="KQ986" s="4"/>
    </row>
    <row r="987">
      <c r="A987" s="10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  <c r="KO987" s="4"/>
      <c r="KP987" s="4"/>
      <c r="KQ987" s="4"/>
    </row>
    <row r="988">
      <c r="A988" s="10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  <c r="KO988" s="4"/>
      <c r="KP988" s="4"/>
      <c r="KQ988" s="4"/>
    </row>
    <row r="989">
      <c r="A989" s="10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  <c r="KO989" s="4"/>
      <c r="KP989" s="4"/>
      <c r="KQ989" s="4"/>
    </row>
    <row r="990">
      <c r="A990" s="10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  <c r="KO990" s="4"/>
      <c r="KP990" s="4"/>
      <c r="KQ990" s="4"/>
    </row>
    <row r="991">
      <c r="A991" s="10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  <c r="KO991" s="4"/>
      <c r="KP991" s="4"/>
      <c r="KQ991" s="4"/>
    </row>
    <row r="992">
      <c r="A992" s="10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  <c r="KO992" s="4"/>
      <c r="KP992" s="4"/>
      <c r="KQ992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9.0"/>
    <col customWidth="1" min="2" max="5" width="17.75"/>
    <col customWidth="1" min="6" max="6" width="2.63"/>
    <col customWidth="1" min="7" max="10" width="10.25"/>
    <col customWidth="1" min="11" max="11" width="3.63"/>
    <col customWidth="1" min="14" max="14" width="16.0"/>
    <col customWidth="1" min="15" max="15" width="11.5"/>
    <col customWidth="1" min="16" max="16" width="8.13"/>
    <col customWidth="1" min="17" max="17" width="16.5"/>
  </cols>
  <sheetData>
    <row r="1">
      <c r="A1" s="12"/>
      <c r="B1" s="13" t="s">
        <v>167</v>
      </c>
      <c r="F1" s="14"/>
      <c r="G1" s="13" t="s">
        <v>168</v>
      </c>
      <c r="L1" s="15" t="s">
        <v>169</v>
      </c>
      <c r="M1" s="15" t="s">
        <v>170</v>
      </c>
      <c r="N1" s="16" t="s">
        <v>171</v>
      </c>
      <c r="O1" s="16" t="s">
        <v>172</v>
      </c>
      <c r="P1" s="16" t="s">
        <v>173</v>
      </c>
      <c r="Q1" s="16" t="s">
        <v>174</v>
      </c>
    </row>
    <row r="2">
      <c r="A2" s="12"/>
      <c r="B2" s="14">
        <f t="shared" ref="B2:E2" si="1">sumproduct(B3:B161&lt;&gt;B4:B162)</f>
        <v>51</v>
      </c>
      <c r="C2" s="14">
        <f t="shared" si="1"/>
        <v>51</v>
      </c>
      <c r="D2" s="14">
        <f t="shared" si="1"/>
        <v>51</v>
      </c>
      <c r="E2" s="14">
        <f t="shared" si="1"/>
        <v>51</v>
      </c>
      <c r="F2" s="14"/>
      <c r="G2" s="14">
        <f t="shared" ref="G2:J2" si="2">sumproduct(G3:G161&lt;&gt;G4:G162)</f>
        <v>51</v>
      </c>
      <c r="H2" s="14">
        <f t="shared" si="2"/>
        <v>51</v>
      </c>
      <c r="I2" s="14">
        <f t="shared" si="2"/>
        <v>51</v>
      </c>
      <c r="J2" s="14">
        <f t="shared" si="2"/>
        <v>51</v>
      </c>
      <c r="L2" s="17">
        <f>1/(10^M2)</f>
        <v>0.0000000001</v>
      </c>
      <c r="M2" s="16">
        <v>10.0</v>
      </c>
      <c r="N2" s="16">
        <v>50000.0</v>
      </c>
      <c r="O2" s="12">
        <f t="shared" ref="O2:O4" si="3">M2+4</f>
        <v>14</v>
      </c>
      <c r="P2" s="14">
        <f t="shared" ref="P2:P4" si="4">N2/O2</f>
        <v>3571.428571</v>
      </c>
      <c r="Q2" s="18">
        <f t="shared" ref="Q2:Q4" si="5">P2/10/60</f>
        <v>5.952380952</v>
      </c>
    </row>
    <row r="3">
      <c r="A3" s="19" t="s">
        <v>175</v>
      </c>
      <c r="B3" s="20" t="s">
        <v>34</v>
      </c>
      <c r="C3" s="20" t="s">
        <v>35</v>
      </c>
      <c r="D3" s="20" t="s">
        <v>36</v>
      </c>
      <c r="E3" s="20" t="s">
        <v>37</v>
      </c>
      <c r="F3" s="19" t="s">
        <v>176</v>
      </c>
      <c r="G3" s="12"/>
      <c r="H3" s="12"/>
      <c r="I3" s="12"/>
      <c r="J3" s="12"/>
      <c r="M3" s="16">
        <v>15.0</v>
      </c>
      <c r="N3" s="16">
        <v>50000.0</v>
      </c>
      <c r="O3" s="12">
        <f t="shared" si="3"/>
        <v>19</v>
      </c>
      <c r="P3" s="14">
        <f t="shared" si="4"/>
        <v>2631.578947</v>
      </c>
      <c r="Q3" s="18">
        <f t="shared" si="5"/>
        <v>4.385964912</v>
      </c>
    </row>
    <row r="4">
      <c r="A4" s="19" t="s">
        <v>177</v>
      </c>
      <c r="B4" s="21">
        <f>IFERROR(__xludf.DUMMYFUNCTION("transpose(split(B3,"",""))"),0.624883987936306)</f>
        <v>0.6248839879</v>
      </c>
      <c r="C4" s="21">
        <f>IFERROR(__xludf.DUMMYFUNCTION("transpose(split(C3,"",""))"),-0.0365923055998737)</f>
        <v>-0.0365923056</v>
      </c>
      <c r="D4" s="21">
        <f>IFERROR(__xludf.DUMMYFUNCTION("transpose(split(D3,"",""))"),-0.699006863382204)</f>
        <v>-0.6990068634</v>
      </c>
      <c r="E4" s="21">
        <f>IFERROR(__xludf.DUMMYFUNCTION("transpose(split(E3,"",""))"),-0.345789545440976)</f>
        <v>-0.3457895454</v>
      </c>
      <c r="F4" s="22"/>
      <c r="G4" s="23">
        <f t="array" ref="G4:G163">B4:B163-mod(B4:B163,$L$2)</f>
        <v>0.6248839879</v>
      </c>
      <c r="H4" s="23">
        <f t="array" ref="H4:H163">C4:C163-mod(C4:C163,$L$2)</f>
        <v>-0.0365923056</v>
      </c>
      <c r="I4" s="23">
        <f t="array" ref="I4:I163">D4:D163-mod(D4:D163,$L$2)</f>
        <v>-0.6990068634</v>
      </c>
      <c r="J4" s="23">
        <f t="array" ref="J4:J163">E4:E163-mod(E4:E163,$L$2)</f>
        <v>-0.3457895455</v>
      </c>
      <c r="M4" s="16">
        <v>10.0</v>
      </c>
      <c r="N4" s="16">
        <v>50000.0</v>
      </c>
      <c r="O4" s="12">
        <f t="shared" si="3"/>
        <v>14</v>
      </c>
      <c r="P4" s="14">
        <f t="shared" si="4"/>
        <v>3571.428571</v>
      </c>
      <c r="Q4" s="18">
        <f t="shared" si="5"/>
        <v>5.952380952</v>
      </c>
    </row>
    <row r="5">
      <c r="A5" s="12"/>
      <c r="B5" s="21">
        <f>IFERROR(__xludf.DUMMYFUNCTION("""COMPUTED_VALUE"""),0.624883987936306)</f>
        <v>0.6248839879</v>
      </c>
      <c r="C5" s="21">
        <f>IFERROR(__xludf.DUMMYFUNCTION("""COMPUTED_VALUE"""),-0.0365923055998737)</f>
        <v>-0.0365923056</v>
      </c>
      <c r="D5" s="21">
        <f>IFERROR(__xludf.DUMMYFUNCTION("""COMPUTED_VALUE"""),-0.699006863382204)</f>
        <v>-0.6990068634</v>
      </c>
      <c r="E5" s="21">
        <f>IFERROR(__xludf.DUMMYFUNCTION("""COMPUTED_VALUE"""),-0.345789545440976)</f>
        <v>-0.3457895454</v>
      </c>
      <c r="F5" s="21"/>
      <c r="G5" s="23">
        <v>0.6248839879</v>
      </c>
      <c r="H5" s="23">
        <v>-0.0365923056</v>
      </c>
      <c r="I5" s="23">
        <v>-0.6990068634000001</v>
      </c>
      <c r="J5" s="23">
        <v>-0.3457895455</v>
      </c>
    </row>
    <row r="6">
      <c r="A6" s="12"/>
      <c r="B6" s="21">
        <f>IFERROR(__xludf.DUMMYFUNCTION("""COMPUTED_VALUE"""),0.624883987936306)</f>
        <v>0.6248839879</v>
      </c>
      <c r="C6" s="21">
        <f>IFERROR(__xludf.DUMMYFUNCTION("""COMPUTED_VALUE"""),-0.0365923055998737)</f>
        <v>-0.0365923056</v>
      </c>
      <c r="D6" s="21">
        <f>IFERROR(__xludf.DUMMYFUNCTION("""COMPUTED_VALUE"""),-0.699006863382204)</f>
        <v>-0.6990068634</v>
      </c>
      <c r="E6" s="21">
        <f>IFERROR(__xludf.DUMMYFUNCTION("""COMPUTED_VALUE"""),-0.345789545440976)</f>
        <v>-0.3457895454</v>
      </c>
      <c r="F6" s="21"/>
      <c r="G6" s="23">
        <v>0.6248839879</v>
      </c>
      <c r="H6" s="23">
        <v>-0.0365923056</v>
      </c>
      <c r="I6" s="23">
        <v>-0.6990068634000001</v>
      </c>
      <c r="J6" s="23">
        <v>-0.3457895455</v>
      </c>
    </row>
    <row r="7">
      <c r="A7" s="12"/>
      <c r="B7" s="21">
        <f>IFERROR(__xludf.DUMMYFUNCTION("""COMPUTED_VALUE"""),0.624883987936306)</f>
        <v>0.6248839879</v>
      </c>
      <c r="C7" s="21">
        <f>IFERROR(__xludf.DUMMYFUNCTION("""COMPUTED_VALUE"""),-0.0365923055998737)</f>
        <v>-0.0365923056</v>
      </c>
      <c r="D7" s="21">
        <f>IFERROR(__xludf.DUMMYFUNCTION("""COMPUTED_VALUE"""),-0.699006863382204)</f>
        <v>-0.6990068634</v>
      </c>
      <c r="E7" s="21">
        <f>IFERROR(__xludf.DUMMYFUNCTION("""COMPUTED_VALUE"""),-0.345789545440976)</f>
        <v>-0.3457895454</v>
      </c>
      <c r="F7" s="21"/>
      <c r="G7" s="23">
        <v>0.6248839879</v>
      </c>
      <c r="H7" s="23">
        <v>-0.0365923056</v>
      </c>
      <c r="I7" s="23">
        <v>-0.6990068634000001</v>
      </c>
      <c r="J7" s="23">
        <v>-0.3457895455</v>
      </c>
      <c r="M7" s="16" t="s">
        <v>178</v>
      </c>
    </row>
    <row r="8">
      <c r="A8" s="12"/>
      <c r="B8" s="21">
        <f>IFERROR(__xludf.DUMMYFUNCTION("""COMPUTED_VALUE"""),0.624883987936306)</f>
        <v>0.6248839879</v>
      </c>
      <c r="C8" s="21">
        <f>IFERROR(__xludf.DUMMYFUNCTION("""COMPUTED_VALUE"""),-0.0365923055998737)</f>
        <v>-0.0365923056</v>
      </c>
      <c r="D8" s="21">
        <f>IFERROR(__xludf.DUMMYFUNCTION("""COMPUTED_VALUE"""),-0.699006863382204)</f>
        <v>-0.6990068634</v>
      </c>
      <c r="E8" s="21">
        <f>IFERROR(__xludf.DUMMYFUNCTION("""COMPUTED_VALUE"""),-0.345789545440976)</f>
        <v>-0.3457895454</v>
      </c>
      <c r="F8" s="21"/>
      <c r="G8" s="23">
        <v>0.6248839879</v>
      </c>
      <c r="H8" s="23">
        <v>-0.0365923056</v>
      </c>
      <c r="I8" s="23">
        <v>-0.6990068634000001</v>
      </c>
      <c r="J8" s="23">
        <v>-0.3457895455</v>
      </c>
      <c r="M8" s="16" t="s">
        <v>179</v>
      </c>
    </row>
    <row r="9">
      <c r="A9" s="12"/>
      <c r="B9" s="21">
        <f>IFERROR(__xludf.DUMMYFUNCTION("""COMPUTED_VALUE"""),0.624883987936306)</f>
        <v>0.6248839879</v>
      </c>
      <c r="C9" s="21">
        <f>IFERROR(__xludf.DUMMYFUNCTION("""COMPUTED_VALUE"""),-0.0365923055998737)</f>
        <v>-0.0365923056</v>
      </c>
      <c r="D9" s="21">
        <f>IFERROR(__xludf.DUMMYFUNCTION("""COMPUTED_VALUE"""),-0.699006863382204)</f>
        <v>-0.6990068634</v>
      </c>
      <c r="E9" s="21">
        <f>IFERROR(__xludf.DUMMYFUNCTION("""COMPUTED_VALUE"""),-0.345789545440976)</f>
        <v>-0.3457895454</v>
      </c>
      <c r="F9" s="21"/>
      <c r="G9" s="23">
        <v>0.6248839879</v>
      </c>
      <c r="H9" s="23">
        <v>-0.0365923056</v>
      </c>
      <c r="I9" s="23">
        <v>-0.6990068634000001</v>
      </c>
      <c r="J9" s="23">
        <v>-0.3457895455</v>
      </c>
    </row>
    <row r="10">
      <c r="A10" s="12"/>
      <c r="B10" s="21">
        <f>IFERROR(__xludf.DUMMYFUNCTION("""COMPUTED_VALUE"""),0.624883987936306)</f>
        <v>0.6248839879</v>
      </c>
      <c r="C10" s="21">
        <f>IFERROR(__xludf.DUMMYFUNCTION("""COMPUTED_VALUE"""),-0.0365923055998737)</f>
        <v>-0.0365923056</v>
      </c>
      <c r="D10" s="21">
        <f>IFERROR(__xludf.DUMMYFUNCTION("""COMPUTED_VALUE"""),-0.699006863382204)</f>
        <v>-0.6990068634</v>
      </c>
      <c r="E10" s="21">
        <f>IFERROR(__xludf.DUMMYFUNCTION("""COMPUTED_VALUE"""),-0.345789545440976)</f>
        <v>-0.3457895454</v>
      </c>
      <c r="F10" s="21"/>
      <c r="G10" s="23">
        <v>0.6248839879</v>
      </c>
      <c r="H10" s="23">
        <v>-0.0365923056</v>
      </c>
      <c r="I10" s="23">
        <v>-0.6990068634000001</v>
      </c>
      <c r="J10" s="23">
        <v>-0.3457895455</v>
      </c>
    </row>
    <row r="11">
      <c r="A11" s="12"/>
      <c r="B11" s="21">
        <f>IFERROR(__xludf.DUMMYFUNCTION("""COMPUTED_VALUE"""),0.624883987936306)</f>
        <v>0.6248839879</v>
      </c>
      <c r="C11" s="21">
        <f>IFERROR(__xludf.DUMMYFUNCTION("""COMPUTED_VALUE"""),-0.0365923055998737)</f>
        <v>-0.0365923056</v>
      </c>
      <c r="D11" s="21">
        <f>IFERROR(__xludf.DUMMYFUNCTION("""COMPUTED_VALUE"""),-0.699006863382204)</f>
        <v>-0.6990068634</v>
      </c>
      <c r="E11" s="21">
        <f>IFERROR(__xludf.DUMMYFUNCTION("""COMPUTED_VALUE"""),-0.345789545440976)</f>
        <v>-0.3457895454</v>
      </c>
      <c r="F11" s="21"/>
      <c r="G11" s="23">
        <v>0.6248839879</v>
      </c>
      <c r="H11" s="23">
        <v>-0.0365923056</v>
      </c>
      <c r="I11" s="23">
        <v>-0.6990068634000001</v>
      </c>
      <c r="J11" s="23">
        <v>-0.3457895455</v>
      </c>
    </row>
    <row r="12">
      <c r="A12" s="12"/>
      <c r="B12" s="21">
        <f>IFERROR(__xludf.DUMMYFUNCTION("""COMPUTED_VALUE"""),0.624883987936306)</f>
        <v>0.6248839879</v>
      </c>
      <c r="C12" s="21">
        <f>IFERROR(__xludf.DUMMYFUNCTION("""COMPUTED_VALUE"""),-0.0365923055998737)</f>
        <v>-0.0365923056</v>
      </c>
      <c r="D12" s="21">
        <f>IFERROR(__xludf.DUMMYFUNCTION("""COMPUTED_VALUE"""),-0.699006863382204)</f>
        <v>-0.6990068634</v>
      </c>
      <c r="E12" s="21">
        <f>IFERROR(__xludf.DUMMYFUNCTION("""COMPUTED_VALUE"""),-0.345789545440976)</f>
        <v>-0.3457895454</v>
      </c>
      <c r="F12" s="21"/>
      <c r="G12" s="23">
        <v>0.6248839879</v>
      </c>
      <c r="H12" s="23">
        <v>-0.0365923056</v>
      </c>
      <c r="I12" s="23">
        <v>-0.6990068634000001</v>
      </c>
      <c r="J12" s="23">
        <v>-0.3457895455</v>
      </c>
    </row>
    <row r="13">
      <c r="A13" s="12"/>
      <c r="B13" s="21">
        <f>IFERROR(__xludf.DUMMYFUNCTION("""COMPUTED_VALUE"""),0.624883987936306)</f>
        <v>0.6248839879</v>
      </c>
      <c r="C13" s="21">
        <f>IFERROR(__xludf.DUMMYFUNCTION("""COMPUTED_VALUE"""),-0.0365923055998737)</f>
        <v>-0.0365923056</v>
      </c>
      <c r="D13" s="21">
        <f>IFERROR(__xludf.DUMMYFUNCTION("""COMPUTED_VALUE"""),-0.699006863382204)</f>
        <v>-0.6990068634</v>
      </c>
      <c r="E13" s="21">
        <f>IFERROR(__xludf.DUMMYFUNCTION("""COMPUTED_VALUE"""),-0.345789545440976)</f>
        <v>-0.3457895454</v>
      </c>
      <c r="F13" s="21"/>
      <c r="G13" s="23">
        <v>0.6248839879</v>
      </c>
      <c r="H13" s="23">
        <v>-0.0365923056</v>
      </c>
      <c r="I13" s="23">
        <v>-0.6990068634000001</v>
      </c>
      <c r="J13" s="23">
        <v>-0.3457895455</v>
      </c>
    </row>
    <row r="14">
      <c r="A14" s="12"/>
      <c r="B14" s="21">
        <f>IFERROR(__xludf.DUMMYFUNCTION("""COMPUTED_VALUE"""),0.624883987936306)</f>
        <v>0.6248839879</v>
      </c>
      <c r="C14" s="21">
        <f>IFERROR(__xludf.DUMMYFUNCTION("""COMPUTED_VALUE"""),-0.0365923055998737)</f>
        <v>-0.0365923056</v>
      </c>
      <c r="D14" s="21">
        <f>IFERROR(__xludf.DUMMYFUNCTION("""COMPUTED_VALUE"""),-0.699006863382204)</f>
        <v>-0.6990068634</v>
      </c>
      <c r="E14" s="21">
        <f>IFERROR(__xludf.DUMMYFUNCTION("""COMPUTED_VALUE"""),-0.345789545440976)</f>
        <v>-0.3457895454</v>
      </c>
      <c r="F14" s="21"/>
      <c r="G14" s="23">
        <v>0.6248839879</v>
      </c>
      <c r="H14" s="23">
        <v>-0.0365923056</v>
      </c>
      <c r="I14" s="23">
        <v>-0.6990068634000001</v>
      </c>
      <c r="J14" s="23">
        <v>-0.3457895455</v>
      </c>
    </row>
    <row r="15">
      <c r="A15" s="12"/>
      <c r="B15" s="21">
        <f>IFERROR(__xludf.DUMMYFUNCTION("""COMPUTED_VALUE"""),0.624883987936306)</f>
        <v>0.6248839879</v>
      </c>
      <c r="C15" s="21">
        <f>IFERROR(__xludf.DUMMYFUNCTION("""COMPUTED_VALUE"""),-0.0365923055998737)</f>
        <v>-0.0365923056</v>
      </c>
      <c r="D15" s="21">
        <f>IFERROR(__xludf.DUMMYFUNCTION("""COMPUTED_VALUE"""),-0.699006863382204)</f>
        <v>-0.6990068634</v>
      </c>
      <c r="E15" s="21">
        <f>IFERROR(__xludf.DUMMYFUNCTION("""COMPUTED_VALUE"""),-0.345789545440976)</f>
        <v>-0.3457895454</v>
      </c>
      <c r="F15" s="21"/>
      <c r="G15" s="23">
        <v>0.6248839879</v>
      </c>
      <c r="H15" s="23">
        <v>-0.0365923056</v>
      </c>
      <c r="I15" s="23">
        <v>-0.6990068634000001</v>
      </c>
      <c r="J15" s="23">
        <v>-0.3457895455</v>
      </c>
    </row>
    <row r="16">
      <c r="A16" s="12"/>
      <c r="B16" s="21">
        <f>IFERROR(__xludf.DUMMYFUNCTION("""COMPUTED_VALUE"""),0.624883987936306)</f>
        <v>0.6248839879</v>
      </c>
      <c r="C16" s="21">
        <f>IFERROR(__xludf.DUMMYFUNCTION("""COMPUTED_VALUE"""),-0.0365923055998737)</f>
        <v>-0.0365923056</v>
      </c>
      <c r="D16" s="21">
        <f>IFERROR(__xludf.DUMMYFUNCTION("""COMPUTED_VALUE"""),-0.699006863382204)</f>
        <v>-0.6990068634</v>
      </c>
      <c r="E16" s="21">
        <f>IFERROR(__xludf.DUMMYFUNCTION("""COMPUTED_VALUE"""),-0.345789545440976)</f>
        <v>-0.3457895454</v>
      </c>
      <c r="F16" s="21"/>
      <c r="G16" s="23">
        <v>0.6248839879</v>
      </c>
      <c r="H16" s="23">
        <v>-0.0365923056</v>
      </c>
      <c r="I16" s="23">
        <v>-0.6990068634000001</v>
      </c>
      <c r="J16" s="23">
        <v>-0.3457895455</v>
      </c>
    </row>
    <row r="17">
      <c r="A17" s="12"/>
      <c r="B17" s="21">
        <f>IFERROR(__xludf.DUMMYFUNCTION("""COMPUTED_VALUE"""),0.624883987936306)</f>
        <v>0.6248839879</v>
      </c>
      <c r="C17" s="21">
        <f>IFERROR(__xludf.DUMMYFUNCTION("""COMPUTED_VALUE"""),-0.0365923055998737)</f>
        <v>-0.0365923056</v>
      </c>
      <c r="D17" s="21">
        <f>IFERROR(__xludf.DUMMYFUNCTION("""COMPUTED_VALUE"""),-0.699006863382204)</f>
        <v>-0.6990068634</v>
      </c>
      <c r="E17" s="21">
        <f>IFERROR(__xludf.DUMMYFUNCTION("""COMPUTED_VALUE"""),-0.345789545440976)</f>
        <v>-0.3457895454</v>
      </c>
      <c r="F17" s="21"/>
      <c r="G17" s="23">
        <v>0.6248839879</v>
      </c>
      <c r="H17" s="23">
        <v>-0.0365923056</v>
      </c>
      <c r="I17" s="23">
        <v>-0.6990068634000001</v>
      </c>
      <c r="J17" s="23">
        <v>-0.3457895455</v>
      </c>
    </row>
    <row r="18">
      <c r="A18" s="12"/>
      <c r="B18" s="21">
        <f>IFERROR(__xludf.DUMMYFUNCTION("""COMPUTED_VALUE"""),0.624883987936306)</f>
        <v>0.6248839879</v>
      </c>
      <c r="C18" s="21">
        <f>IFERROR(__xludf.DUMMYFUNCTION("""COMPUTED_VALUE"""),-0.0365923055998737)</f>
        <v>-0.0365923056</v>
      </c>
      <c r="D18" s="21">
        <f>IFERROR(__xludf.DUMMYFUNCTION("""COMPUTED_VALUE"""),-0.699006863382204)</f>
        <v>-0.6990068634</v>
      </c>
      <c r="E18" s="21">
        <f>IFERROR(__xludf.DUMMYFUNCTION("""COMPUTED_VALUE"""),-0.345789545440976)</f>
        <v>-0.3457895454</v>
      </c>
      <c r="F18" s="21"/>
      <c r="G18" s="23">
        <v>0.6248839879</v>
      </c>
      <c r="H18" s="23">
        <v>-0.0365923056</v>
      </c>
      <c r="I18" s="23">
        <v>-0.6990068634000001</v>
      </c>
      <c r="J18" s="23">
        <v>-0.3457895455</v>
      </c>
    </row>
    <row r="19">
      <c r="A19" s="12"/>
      <c r="B19" s="21">
        <f>IFERROR(__xludf.DUMMYFUNCTION("""COMPUTED_VALUE"""),0.624883987936306)</f>
        <v>0.6248839879</v>
      </c>
      <c r="C19" s="21">
        <f>IFERROR(__xludf.DUMMYFUNCTION("""COMPUTED_VALUE"""),-0.0365923055998737)</f>
        <v>-0.0365923056</v>
      </c>
      <c r="D19" s="21">
        <f>IFERROR(__xludf.DUMMYFUNCTION("""COMPUTED_VALUE"""),-0.699006863382204)</f>
        <v>-0.6990068634</v>
      </c>
      <c r="E19" s="21">
        <f>IFERROR(__xludf.DUMMYFUNCTION("""COMPUTED_VALUE"""),-0.345789545440976)</f>
        <v>-0.3457895454</v>
      </c>
      <c r="F19" s="21"/>
      <c r="G19" s="23">
        <v>0.6248839879</v>
      </c>
      <c r="H19" s="23">
        <v>-0.0365923056</v>
      </c>
      <c r="I19" s="23">
        <v>-0.6990068634000001</v>
      </c>
      <c r="J19" s="23">
        <v>-0.3457895455</v>
      </c>
    </row>
    <row r="20">
      <c r="A20" s="12"/>
      <c r="B20" s="21">
        <f>IFERROR(__xludf.DUMMYFUNCTION("""COMPUTED_VALUE"""),0.624883987936306)</f>
        <v>0.6248839879</v>
      </c>
      <c r="C20" s="21">
        <f>IFERROR(__xludf.DUMMYFUNCTION("""COMPUTED_VALUE"""),-0.0365923055998737)</f>
        <v>-0.0365923056</v>
      </c>
      <c r="D20" s="21">
        <f>IFERROR(__xludf.DUMMYFUNCTION("""COMPUTED_VALUE"""),-0.699006863382204)</f>
        <v>-0.6990068634</v>
      </c>
      <c r="E20" s="21">
        <f>IFERROR(__xludf.DUMMYFUNCTION("""COMPUTED_VALUE"""),-0.345789545440976)</f>
        <v>-0.3457895454</v>
      </c>
      <c r="F20" s="21"/>
      <c r="G20" s="23">
        <v>0.6248839879</v>
      </c>
      <c r="H20" s="23">
        <v>-0.0365923056</v>
      </c>
      <c r="I20" s="23">
        <v>-0.6990068634000001</v>
      </c>
      <c r="J20" s="23">
        <v>-0.3457895455</v>
      </c>
    </row>
    <row r="21">
      <c r="A21" s="12"/>
      <c r="B21" s="21">
        <f>IFERROR(__xludf.DUMMYFUNCTION("""COMPUTED_VALUE"""),0.624883987936306)</f>
        <v>0.6248839879</v>
      </c>
      <c r="C21" s="21">
        <f>IFERROR(__xludf.DUMMYFUNCTION("""COMPUTED_VALUE"""),-0.0365923055998737)</f>
        <v>-0.0365923056</v>
      </c>
      <c r="D21" s="21">
        <f>IFERROR(__xludf.DUMMYFUNCTION("""COMPUTED_VALUE"""),-0.699006863382204)</f>
        <v>-0.6990068634</v>
      </c>
      <c r="E21" s="21">
        <f>IFERROR(__xludf.DUMMYFUNCTION("""COMPUTED_VALUE"""),-0.345789545440976)</f>
        <v>-0.3457895454</v>
      </c>
      <c r="F21" s="21"/>
      <c r="G21" s="23">
        <v>0.6248839879</v>
      </c>
      <c r="H21" s="23">
        <v>-0.0365923056</v>
      </c>
      <c r="I21" s="23">
        <v>-0.6990068634000001</v>
      </c>
      <c r="J21" s="23">
        <v>-0.3457895455</v>
      </c>
    </row>
    <row r="22">
      <c r="A22" s="12"/>
      <c r="B22" s="21">
        <f>IFERROR(__xludf.DUMMYFUNCTION("""COMPUTED_VALUE"""),0.619374784581544)</f>
        <v>0.6193747846</v>
      </c>
      <c r="C22" s="21">
        <f>IFERROR(__xludf.DUMMYFUNCTION("""COMPUTED_VALUE"""),-0.0393069737443962)</f>
        <v>-0.03930697374</v>
      </c>
      <c r="D22" s="21">
        <f>IFERROR(__xludf.DUMMYFUNCTION("""COMPUTED_VALUE"""),-0.703893081127505)</f>
        <v>-0.7038930811</v>
      </c>
      <c r="E22" s="21">
        <f>IFERROR(__xludf.DUMMYFUNCTION("""COMPUTED_VALUE"""),-0.345491488144713)</f>
        <v>-0.3454914881</v>
      </c>
      <c r="F22" s="21"/>
      <c r="G22" s="23">
        <v>0.6193747845</v>
      </c>
      <c r="H22" s="23">
        <v>-0.0393069738</v>
      </c>
      <c r="I22" s="23">
        <v>-0.7038930812</v>
      </c>
      <c r="J22" s="23">
        <v>-0.34549148820000003</v>
      </c>
    </row>
    <row r="23">
      <c r="A23" s="12"/>
      <c r="B23" s="21">
        <f>IFERROR(__xludf.DUMMYFUNCTION("""COMPUTED_VALUE"""),0.616605834340276)</f>
        <v>0.6166058343</v>
      </c>
      <c r="C23" s="21">
        <f>IFERROR(__xludf.DUMMYFUNCTION("""COMPUTED_VALUE"""),-0.0406634090370997)</f>
        <v>-0.04066340904</v>
      </c>
      <c r="D23" s="21">
        <f>IFERROR(__xludf.DUMMYFUNCTION("""COMPUTED_VALUE"""),-0.706319926444199)</f>
        <v>-0.7063199264</v>
      </c>
      <c r="E23" s="21">
        <f>IFERROR(__xludf.DUMMYFUNCTION("""COMPUTED_VALUE"""),-0.345334466468195)</f>
        <v>-0.3453344665</v>
      </c>
      <c r="F23" s="21"/>
      <c r="G23" s="23">
        <v>0.6166058343</v>
      </c>
      <c r="H23" s="23">
        <v>-0.0406634091</v>
      </c>
      <c r="I23" s="23">
        <v>-0.7063199265</v>
      </c>
      <c r="J23" s="23">
        <v>-0.3453344665</v>
      </c>
    </row>
    <row r="24">
      <c r="A24" s="12"/>
      <c r="B24" s="21">
        <f>IFERROR(__xludf.DUMMYFUNCTION("""COMPUTED_VALUE"""),0.616605834340276)</f>
        <v>0.6166058343</v>
      </c>
      <c r="C24" s="21">
        <f>IFERROR(__xludf.DUMMYFUNCTION("""COMPUTED_VALUE"""),-0.0406634090370997)</f>
        <v>-0.04066340904</v>
      </c>
      <c r="D24" s="21">
        <f>IFERROR(__xludf.DUMMYFUNCTION("""COMPUTED_VALUE"""),-0.706319926444199)</f>
        <v>-0.7063199264</v>
      </c>
      <c r="E24" s="21">
        <f>IFERROR(__xludf.DUMMYFUNCTION("""COMPUTED_VALUE"""),-0.345334466468195)</f>
        <v>-0.3453344665</v>
      </c>
      <c r="F24" s="21"/>
      <c r="G24" s="23">
        <v>0.6166058343</v>
      </c>
      <c r="H24" s="23">
        <v>-0.0406634091</v>
      </c>
      <c r="I24" s="23">
        <v>-0.7063199265</v>
      </c>
      <c r="J24" s="23">
        <v>-0.3453344665</v>
      </c>
    </row>
    <row r="25">
      <c r="A25" s="12"/>
      <c r="B25" s="21">
        <f>IFERROR(__xludf.DUMMYFUNCTION("""COMPUTED_VALUE"""),0.616605834340276)</f>
        <v>0.6166058343</v>
      </c>
      <c r="C25" s="21">
        <f>IFERROR(__xludf.DUMMYFUNCTION("""COMPUTED_VALUE"""),-0.0406634090370997)</f>
        <v>-0.04066340904</v>
      </c>
      <c r="D25" s="21">
        <f>IFERROR(__xludf.DUMMYFUNCTION("""COMPUTED_VALUE"""),-0.706319926444199)</f>
        <v>-0.7063199264</v>
      </c>
      <c r="E25" s="21">
        <f>IFERROR(__xludf.DUMMYFUNCTION("""COMPUTED_VALUE"""),-0.345334466468195)</f>
        <v>-0.3453344665</v>
      </c>
      <c r="F25" s="21"/>
      <c r="G25" s="23">
        <v>0.6166058343</v>
      </c>
      <c r="H25" s="23">
        <v>-0.0406634091</v>
      </c>
      <c r="I25" s="23">
        <v>-0.7063199265</v>
      </c>
      <c r="J25" s="23">
        <v>-0.3453344665</v>
      </c>
    </row>
    <row r="26">
      <c r="A26" s="12"/>
      <c r="B26" s="21">
        <f>IFERROR(__xludf.DUMMYFUNCTION("""COMPUTED_VALUE"""),0.616605834340276)</f>
        <v>0.6166058343</v>
      </c>
      <c r="C26" s="21">
        <f>IFERROR(__xludf.DUMMYFUNCTION("""COMPUTED_VALUE"""),-0.0406634090370997)</f>
        <v>-0.04066340904</v>
      </c>
      <c r="D26" s="21">
        <f>IFERROR(__xludf.DUMMYFUNCTION("""COMPUTED_VALUE"""),-0.706319926444199)</f>
        <v>-0.7063199264</v>
      </c>
      <c r="E26" s="21">
        <f>IFERROR(__xludf.DUMMYFUNCTION("""COMPUTED_VALUE"""),-0.345334466468195)</f>
        <v>-0.3453344665</v>
      </c>
      <c r="F26" s="21"/>
      <c r="G26" s="23">
        <v>0.6166058343</v>
      </c>
      <c r="H26" s="23">
        <v>-0.0406634091</v>
      </c>
      <c r="I26" s="23">
        <v>-0.7063199265</v>
      </c>
      <c r="J26" s="23">
        <v>-0.3453344665</v>
      </c>
    </row>
    <row r="27">
      <c r="A27" s="12"/>
      <c r="B27" s="21">
        <f>IFERROR(__xludf.DUMMYFUNCTION("""COMPUTED_VALUE"""),0.616605834340276)</f>
        <v>0.6166058343</v>
      </c>
      <c r="C27" s="21">
        <f>IFERROR(__xludf.DUMMYFUNCTION("""COMPUTED_VALUE"""),-0.0406634090370997)</f>
        <v>-0.04066340904</v>
      </c>
      <c r="D27" s="21">
        <f>IFERROR(__xludf.DUMMYFUNCTION("""COMPUTED_VALUE"""),-0.706319926444199)</f>
        <v>-0.7063199264</v>
      </c>
      <c r="E27" s="21">
        <f>IFERROR(__xludf.DUMMYFUNCTION("""COMPUTED_VALUE"""),-0.345334466468195)</f>
        <v>-0.3453344665</v>
      </c>
      <c r="F27" s="21"/>
      <c r="G27" s="23">
        <v>0.6166058343</v>
      </c>
      <c r="H27" s="23">
        <v>-0.0406634091</v>
      </c>
      <c r="I27" s="23">
        <v>-0.7063199265</v>
      </c>
      <c r="J27" s="23">
        <v>-0.3453344665</v>
      </c>
    </row>
    <row r="28">
      <c r="A28" s="12"/>
      <c r="B28" s="21">
        <f>IFERROR(__xludf.DUMMYFUNCTION("""COMPUTED_VALUE"""),0.616605834340276)</f>
        <v>0.6166058343</v>
      </c>
      <c r="C28" s="21">
        <f>IFERROR(__xludf.DUMMYFUNCTION("""COMPUTED_VALUE"""),-0.0406634090370997)</f>
        <v>-0.04066340904</v>
      </c>
      <c r="D28" s="21">
        <f>IFERROR(__xludf.DUMMYFUNCTION("""COMPUTED_VALUE"""),-0.706319926444199)</f>
        <v>-0.7063199264</v>
      </c>
      <c r="E28" s="21">
        <f>IFERROR(__xludf.DUMMYFUNCTION("""COMPUTED_VALUE"""),-0.345334466468195)</f>
        <v>-0.3453344665</v>
      </c>
      <c r="F28" s="21"/>
      <c r="G28" s="23">
        <v>0.6166058343</v>
      </c>
      <c r="H28" s="23">
        <v>-0.0406634091</v>
      </c>
      <c r="I28" s="23">
        <v>-0.7063199265</v>
      </c>
      <c r="J28" s="23">
        <v>-0.3453344665</v>
      </c>
    </row>
    <row r="29">
      <c r="A29" s="12"/>
      <c r="B29" s="21">
        <f>IFERROR(__xludf.DUMMYFUNCTION("""COMPUTED_VALUE"""),0.616605834340276)</f>
        <v>0.6166058343</v>
      </c>
      <c r="C29" s="21">
        <f>IFERROR(__xludf.DUMMYFUNCTION("""COMPUTED_VALUE"""),-0.0406634090370997)</f>
        <v>-0.04066340904</v>
      </c>
      <c r="D29" s="21">
        <f>IFERROR(__xludf.DUMMYFUNCTION("""COMPUTED_VALUE"""),-0.706319926444199)</f>
        <v>-0.7063199264</v>
      </c>
      <c r="E29" s="21">
        <f>IFERROR(__xludf.DUMMYFUNCTION("""COMPUTED_VALUE"""),-0.345334466468195)</f>
        <v>-0.3453344665</v>
      </c>
      <c r="F29" s="21"/>
      <c r="G29" s="23">
        <v>0.6166058343</v>
      </c>
      <c r="H29" s="23">
        <v>-0.0406634091</v>
      </c>
      <c r="I29" s="23">
        <v>-0.7063199265</v>
      </c>
      <c r="J29" s="23">
        <v>-0.3453344665</v>
      </c>
    </row>
    <row r="30">
      <c r="A30" s="12"/>
      <c r="B30" s="21">
        <f>IFERROR(__xludf.DUMMYFUNCTION("""COMPUTED_VALUE"""),0.613827375274831)</f>
        <v>0.6138273753</v>
      </c>
      <c r="C30" s="21">
        <f>IFERROR(__xludf.DUMMYFUNCTION("""COMPUTED_VALUE"""),-0.0420192172497702)</f>
        <v>-0.04201921725</v>
      </c>
      <c r="D30" s="21">
        <f>IFERROR(__xludf.DUMMYFUNCTION("""COMPUTED_VALUE"""),-0.708735879434517)</f>
        <v>-0.7087358794</v>
      </c>
      <c r="E30" s="21">
        <f>IFERROR(__xludf.DUMMYFUNCTION("""COMPUTED_VALUE"""),-0.345172119307321)</f>
        <v>-0.3451721193</v>
      </c>
      <c r="F30" s="21"/>
      <c r="G30" s="23">
        <v>0.6138273752</v>
      </c>
      <c r="H30" s="23">
        <v>-0.0420192173</v>
      </c>
      <c r="I30" s="23">
        <v>-0.7087358795</v>
      </c>
      <c r="J30" s="23">
        <v>-0.34517211940000003</v>
      </c>
    </row>
    <row r="31">
      <c r="A31" s="12"/>
      <c r="B31" s="21">
        <f>IFERROR(__xludf.DUMMYFUNCTION("""COMPUTED_VALUE"""),0.613827375274831)</f>
        <v>0.6138273753</v>
      </c>
      <c r="C31" s="21">
        <f>IFERROR(__xludf.DUMMYFUNCTION("""COMPUTED_VALUE"""),-0.0420192172497702)</f>
        <v>-0.04201921725</v>
      </c>
      <c r="D31" s="21">
        <f>IFERROR(__xludf.DUMMYFUNCTION("""COMPUTED_VALUE"""),-0.708735879434517)</f>
        <v>-0.7087358794</v>
      </c>
      <c r="E31" s="21">
        <f>IFERROR(__xludf.DUMMYFUNCTION("""COMPUTED_VALUE"""),-0.345172119307321)</f>
        <v>-0.3451721193</v>
      </c>
      <c r="F31" s="21"/>
      <c r="G31" s="23">
        <v>0.6138273752</v>
      </c>
      <c r="H31" s="23">
        <v>-0.0420192173</v>
      </c>
      <c r="I31" s="23">
        <v>-0.7087358795</v>
      </c>
      <c r="J31" s="23">
        <v>-0.34517211940000003</v>
      </c>
    </row>
    <row r="32">
      <c r="A32" s="12"/>
      <c r="B32" s="21">
        <f>IFERROR(__xludf.DUMMYFUNCTION("""COMPUTED_VALUE"""),0.612467158067845)</f>
        <v>0.6124671581</v>
      </c>
      <c r="C32" s="21">
        <f>IFERROR(__xludf.DUMMYFUNCTION("""COMPUTED_VALUE"""),-0.0392357012017377)</f>
        <v>-0.0392357012</v>
      </c>
      <c r="D32" s="21">
        <f>IFERROR(__xludf.DUMMYFUNCTION("""COMPUTED_VALUE"""),-0.708895423294092)</f>
        <v>-0.7088954233</v>
      </c>
      <c r="E32" s="21">
        <f>IFERROR(__xludf.DUMMYFUNCTION("""COMPUTED_VALUE"""),-0.34757994601558)</f>
        <v>-0.347579946</v>
      </c>
      <c r="F32" s="21"/>
      <c r="G32" s="23">
        <v>0.6124671580000001</v>
      </c>
      <c r="H32" s="23">
        <v>-0.0392357013</v>
      </c>
      <c r="I32" s="23">
        <v>-0.7088954233</v>
      </c>
      <c r="J32" s="23">
        <v>-0.34757994610000004</v>
      </c>
    </row>
    <row r="33">
      <c r="A33" s="12"/>
      <c r="B33" s="21">
        <f>IFERROR(__xludf.DUMMYFUNCTION("""COMPUTED_VALUE"""),0.612467158067845)</f>
        <v>0.6124671581</v>
      </c>
      <c r="C33" s="21">
        <f>IFERROR(__xludf.DUMMYFUNCTION("""COMPUTED_VALUE"""),-0.0392357012017377)</f>
        <v>-0.0392357012</v>
      </c>
      <c r="D33" s="21">
        <f>IFERROR(__xludf.DUMMYFUNCTION("""COMPUTED_VALUE"""),-0.708895423294092)</f>
        <v>-0.7088954233</v>
      </c>
      <c r="E33" s="21">
        <f>IFERROR(__xludf.DUMMYFUNCTION("""COMPUTED_VALUE"""),-0.34757994601558)</f>
        <v>-0.347579946</v>
      </c>
      <c r="F33" s="21"/>
      <c r="G33" s="23">
        <v>0.6124671580000001</v>
      </c>
      <c r="H33" s="23">
        <v>-0.0392357013</v>
      </c>
      <c r="I33" s="23">
        <v>-0.7088954233</v>
      </c>
      <c r="J33" s="23">
        <v>-0.34757994610000004</v>
      </c>
    </row>
    <row r="34">
      <c r="A34" s="12"/>
      <c r="B34" s="21">
        <f>IFERROR(__xludf.DUMMYFUNCTION("""COMPUTED_VALUE"""),0.612467158067845)</f>
        <v>0.6124671581</v>
      </c>
      <c r="C34" s="21">
        <f>IFERROR(__xludf.DUMMYFUNCTION("""COMPUTED_VALUE"""),-0.0392357012017377)</f>
        <v>-0.0392357012</v>
      </c>
      <c r="D34" s="21">
        <f>IFERROR(__xludf.DUMMYFUNCTION("""COMPUTED_VALUE"""),-0.708895423294092)</f>
        <v>-0.7088954233</v>
      </c>
      <c r="E34" s="21">
        <f>IFERROR(__xludf.DUMMYFUNCTION("""COMPUTED_VALUE"""),-0.34757994601558)</f>
        <v>-0.347579946</v>
      </c>
      <c r="F34" s="21"/>
      <c r="G34" s="23">
        <v>0.6124671580000001</v>
      </c>
      <c r="H34" s="23">
        <v>-0.0392357013</v>
      </c>
      <c r="I34" s="23">
        <v>-0.7088954233</v>
      </c>
      <c r="J34" s="23">
        <v>-0.34757994610000004</v>
      </c>
    </row>
    <row r="35">
      <c r="A35" s="12"/>
      <c r="B35" s="21">
        <f>IFERROR(__xludf.DUMMYFUNCTION("""COMPUTED_VALUE"""),-0.611097495860186)</f>
        <v>-0.6110974959</v>
      </c>
      <c r="C35" s="21">
        <f>IFERROR(__xludf.DUMMYFUNCTION("""COMPUTED_VALUE"""),0.0364515800906921)</f>
        <v>0.03645158009</v>
      </c>
      <c r="D35" s="21">
        <f>IFERROR(__xludf.DUMMYFUNCTION("""COMPUTED_VALUE"""),0.709044035109946)</f>
        <v>0.7090440351</v>
      </c>
      <c r="E35" s="21">
        <f>IFERROR(__xludf.DUMMYFUNCTION("""COMPUTED_VALUE"""),0.349982412611414)</f>
        <v>0.3499824126</v>
      </c>
      <c r="F35" s="21"/>
      <c r="G35" s="23">
        <v>-0.6110974959000001</v>
      </c>
      <c r="H35" s="23">
        <v>0.036451580000000004</v>
      </c>
      <c r="I35" s="23">
        <v>0.7090440351</v>
      </c>
      <c r="J35" s="23">
        <v>0.3499824126</v>
      </c>
    </row>
    <row r="36">
      <c r="A36" s="12"/>
      <c r="B36" s="21">
        <f>IFERROR(__xludf.DUMMYFUNCTION("""COMPUTED_VALUE"""),-0.608308381745534)</f>
        <v>-0.6083083817</v>
      </c>
      <c r="C36" s="21">
        <f>IFERROR(__xludf.DUMMYFUNCTION("""COMPUTED_VALUE"""),0.0378256731735329)</f>
        <v>0.03782567317</v>
      </c>
      <c r="D36" s="21">
        <f>IFERROR(__xludf.DUMMYFUNCTION("""COMPUTED_VALUE"""),0.711438335957315)</f>
        <v>0.711438336</v>
      </c>
      <c r="E36" s="21">
        <f>IFERROR(__xludf.DUMMYFUNCTION("""COMPUTED_VALUE"""),0.349836569382595)</f>
        <v>0.3498365694</v>
      </c>
      <c r="F36" s="21"/>
      <c r="G36" s="23">
        <v>-0.6083083818</v>
      </c>
      <c r="H36" s="23">
        <v>0.0378256731</v>
      </c>
      <c r="I36" s="23">
        <v>0.7114383359</v>
      </c>
      <c r="J36" s="23">
        <v>0.3498365693</v>
      </c>
    </row>
    <row r="37">
      <c r="A37" s="12"/>
      <c r="B37" s="21">
        <f>IFERROR(__xludf.DUMMYFUNCTION("""COMPUTED_VALUE"""),-0.608308381745534)</f>
        <v>-0.6083083817</v>
      </c>
      <c r="C37" s="21">
        <f>IFERROR(__xludf.DUMMYFUNCTION("""COMPUTED_VALUE"""),0.0378256731735329)</f>
        <v>0.03782567317</v>
      </c>
      <c r="D37" s="21">
        <f>IFERROR(__xludf.DUMMYFUNCTION("""COMPUTED_VALUE"""),0.711438335957315)</f>
        <v>0.711438336</v>
      </c>
      <c r="E37" s="21">
        <f>IFERROR(__xludf.DUMMYFUNCTION("""COMPUTED_VALUE"""),0.349836569382595)</f>
        <v>0.3498365694</v>
      </c>
      <c r="F37" s="21"/>
      <c r="G37" s="23">
        <v>-0.6083083818</v>
      </c>
      <c r="H37" s="23">
        <v>0.0378256731</v>
      </c>
      <c r="I37" s="23">
        <v>0.7114383359</v>
      </c>
      <c r="J37" s="23">
        <v>0.3498365693</v>
      </c>
    </row>
    <row r="38">
      <c r="A38" s="12"/>
      <c r="B38" s="21">
        <f>IFERROR(__xludf.DUMMYFUNCTION("""COMPUTED_VALUE"""),-0.606929889888412)</f>
        <v>-0.6069298899</v>
      </c>
      <c r="C38" s="21">
        <f>IFERROR(__xludf.DUMMYFUNCTION("""COMPUTED_VALUE"""),0.0350315769659614)</f>
        <v>0.03503157697</v>
      </c>
      <c r="D38" s="21">
        <f>IFERROR(__xludf.DUMMYFUNCTION("""COMPUTED_VALUE"""),0.711581391013019)</f>
        <v>0.711581391</v>
      </c>
      <c r="E38" s="21">
        <f>IFERROR(__xludf.DUMMYFUNCTION("""COMPUTED_VALUE"""),0.352222687144502)</f>
        <v>0.3522226871</v>
      </c>
      <c r="F38" s="21"/>
      <c r="G38" s="23">
        <v>-0.6069298899000001</v>
      </c>
      <c r="H38" s="23">
        <v>0.0350315769</v>
      </c>
      <c r="I38" s="23">
        <v>0.7115813910000001</v>
      </c>
      <c r="J38" s="23">
        <v>0.3522226871</v>
      </c>
    </row>
    <row r="39">
      <c r="A39" s="12"/>
      <c r="B39" s="21">
        <f>IFERROR(__xludf.DUMMYFUNCTION("""COMPUTED_VALUE"""),-0.606929889888412)</f>
        <v>-0.6069298899</v>
      </c>
      <c r="C39" s="21">
        <f>IFERROR(__xludf.DUMMYFUNCTION("""COMPUTED_VALUE"""),0.0350315769659614)</f>
        <v>0.03503157697</v>
      </c>
      <c r="D39" s="21">
        <f>IFERROR(__xludf.DUMMYFUNCTION("""COMPUTED_VALUE"""),0.711581391013019)</f>
        <v>0.711581391</v>
      </c>
      <c r="E39" s="21">
        <f>IFERROR(__xludf.DUMMYFUNCTION("""COMPUTED_VALUE"""),0.352222687144502)</f>
        <v>0.3522226871</v>
      </c>
      <c r="F39" s="21"/>
      <c r="G39" s="23">
        <v>-0.6069298899000001</v>
      </c>
      <c r="H39" s="23">
        <v>0.0350315769</v>
      </c>
      <c r="I39" s="23">
        <v>0.7115813910000001</v>
      </c>
      <c r="J39" s="23">
        <v>0.3522226871</v>
      </c>
    </row>
    <row r="40">
      <c r="A40" s="12"/>
      <c r="B40" s="21">
        <f>IFERROR(__xludf.DUMMYFUNCTION("""COMPUTED_VALUE"""),-0.606929889888412)</f>
        <v>-0.6069298899</v>
      </c>
      <c r="C40" s="21">
        <f>IFERROR(__xludf.DUMMYFUNCTION("""COMPUTED_VALUE"""),0.0350315769659614)</f>
        <v>0.03503157697</v>
      </c>
      <c r="D40" s="21">
        <f>IFERROR(__xludf.DUMMYFUNCTION("""COMPUTED_VALUE"""),0.711581391013019)</f>
        <v>0.711581391</v>
      </c>
      <c r="E40" s="21">
        <f>IFERROR(__xludf.DUMMYFUNCTION("""COMPUTED_VALUE"""),0.352222687144502)</f>
        <v>0.3522226871</v>
      </c>
      <c r="F40" s="21"/>
      <c r="G40" s="23">
        <v>-0.6069298899000001</v>
      </c>
      <c r="H40" s="23">
        <v>0.0350315769</v>
      </c>
      <c r="I40" s="23">
        <v>0.7115813910000001</v>
      </c>
      <c r="J40" s="23">
        <v>0.3522226871</v>
      </c>
    </row>
    <row r="41">
      <c r="A41" s="12"/>
      <c r="B41" s="21">
        <f>IFERROR(__xludf.DUMMYFUNCTION("""COMPUTED_VALUE"""),-0.606929889888412)</f>
        <v>-0.6069298899</v>
      </c>
      <c r="C41" s="21">
        <f>IFERROR(__xludf.DUMMYFUNCTION("""COMPUTED_VALUE"""),0.0350315769659614)</f>
        <v>0.03503157697</v>
      </c>
      <c r="D41" s="21">
        <f>IFERROR(__xludf.DUMMYFUNCTION("""COMPUTED_VALUE"""),0.711581391013019)</f>
        <v>0.711581391</v>
      </c>
      <c r="E41" s="21">
        <f>IFERROR(__xludf.DUMMYFUNCTION("""COMPUTED_VALUE"""),0.352222687144502)</f>
        <v>0.3522226871</v>
      </c>
      <c r="F41" s="21"/>
      <c r="G41" s="23">
        <v>-0.6069298899000001</v>
      </c>
      <c r="H41" s="23">
        <v>0.0350315769</v>
      </c>
      <c r="I41" s="23">
        <v>0.7115813910000001</v>
      </c>
      <c r="J41" s="23">
        <v>0.3522226871</v>
      </c>
    </row>
    <row r="42">
      <c r="A42" s="12"/>
      <c r="B42" s="21">
        <f>IFERROR(__xludf.DUMMYFUNCTION("""COMPUTED_VALUE"""),-0.602742484314225)</f>
        <v>-0.6027424843</v>
      </c>
      <c r="C42" s="21">
        <f>IFERROR(__xludf.DUMMYFUNCTION("""COMPUTED_VALUE"""),0.0336292125310912)</f>
        <v>0.03362921253</v>
      </c>
      <c r="D42" s="21">
        <f>IFERROR(__xludf.DUMMYFUNCTION("""COMPUTED_VALUE"""),0.714085936694794)</f>
        <v>0.7140859367</v>
      </c>
      <c r="E42" s="21">
        <f>IFERROR(__xludf.DUMMYFUNCTION("""COMPUTED_VALUE"""),0.354474045145723)</f>
        <v>0.3544740451</v>
      </c>
      <c r="F42" s="21"/>
      <c r="G42" s="23">
        <v>-0.6027424844</v>
      </c>
      <c r="H42" s="23">
        <v>0.0336292125</v>
      </c>
      <c r="I42" s="23">
        <v>0.7140859366</v>
      </c>
      <c r="J42" s="23">
        <v>0.3544740451</v>
      </c>
    </row>
    <row r="43">
      <c r="A43" s="12"/>
      <c r="B43" s="21">
        <f>IFERROR(__xludf.DUMMYFUNCTION("""COMPUTED_VALUE"""),-0.601345824096226)</f>
        <v>-0.6013458241</v>
      </c>
      <c r="C43" s="21">
        <f>IFERROR(__xludf.DUMMYFUNCTION("""COMPUTED_VALUE"""),0.0308247516040742)</f>
        <v>0.0308247516</v>
      </c>
      <c r="D43" s="21">
        <f>IFERROR(__xludf.DUMMYFUNCTION("""COMPUTED_VALUE"""),0.714212491916299)</f>
        <v>0.7142124919</v>
      </c>
      <c r="E43" s="21">
        <f>IFERROR(__xludf.DUMMYFUNCTION("""COMPUTED_VALUE"""),0.356838269978553)</f>
        <v>0.35683827</v>
      </c>
      <c r="F43" s="21"/>
      <c r="G43" s="23">
        <v>-0.6013458241</v>
      </c>
      <c r="H43" s="23">
        <v>0.030824751600000002</v>
      </c>
      <c r="I43" s="23">
        <v>0.7142124919</v>
      </c>
      <c r="J43" s="23">
        <v>0.3568382699</v>
      </c>
    </row>
    <row r="44">
      <c r="A44" s="12"/>
      <c r="B44" s="21">
        <f>IFERROR(__xludf.DUMMYFUNCTION("""COMPUTED_VALUE"""),-0.601345824096226)</f>
        <v>-0.6013458241</v>
      </c>
      <c r="C44" s="21">
        <f>IFERROR(__xludf.DUMMYFUNCTION("""COMPUTED_VALUE"""),0.0308247516040742)</f>
        <v>0.0308247516</v>
      </c>
      <c r="D44" s="21">
        <f>IFERROR(__xludf.DUMMYFUNCTION("""COMPUTED_VALUE"""),0.714212491916299)</f>
        <v>0.7142124919</v>
      </c>
      <c r="E44" s="21">
        <f>IFERROR(__xludf.DUMMYFUNCTION("""COMPUTED_VALUE"""),0.356838269978553)</f>
        <v>0.35683827</v>
      </c>
      <c r="F44" s="21"/>
      <c r="G44" s="23">
        <v>-0.6013458241</v>
      </c>
      <c r="H44" s="23">
        <v>0.030824751600000002</v>
      </c>
      <c r="I44" s="23">
        <v>0.7142124919</v>
      </c>
      <c r="J44" s="23">
        <v>0.3568382699</v>
      </c>
    </row>
    <row r="45">
      <c r="A45" s="12"/>
      <c r="B45" s="21">
        <f>IFERROR(__xludf.DUMMYFUNCTION("""COMPUTED_VALUE"""),-0.601345824096226)</f>
        <v>-0.6013458241</v>
      </c>
      <c r="C45" s="21">
        <f>IFERROR(__xludf.DUMMYFUNCTION("""COMPUTED_VALUE"""),0.0308247516040742)</f>
        <v>0.0308247516</v>
      </c>
      <c r="D45" s="21">
        <f>IFERROR(__xludf.DUMMYFUNCTION("""COMPUTED_VALUE"""),0.714212491916299)</f>
        <v>0.7142124919</v>
      </c>
      <c r="E45" s="21">
        <f>IFERROR(__xludf.DUMMYFUNCTION("""COMPUTED_VALUE"""),0.356838269978553)</f>
        <v>0.35683827</v>
      </c>
      <c r="F45" s="21"/>
      <c r="G45" s="23">
        <v>-0.6013458241</v>
      </c>
      <c r="H45" s="23">
        <v>0.030824751600000002</v>
      </c>
      <c r="I45" s="23">
        <v>0.7142124919</v>
      </c>
      <c r="J45" s="23">
        <v>0.3568382699</v>
      </c>
    </row>
    <row r="46">
      <c r="A46" s="12"/>
      <c r="B46" s="21">
        <f>IFERROR(__xludf.DUMMYFUNCTION("""COMPUTED_VALUE"""),-0.601345824096226)</f>
        <v>-0.6013458241</v>
      </c>
      <c r="C46" s="21">
        <f>IFERROR(__xludf.DUMMYFUNCTION("""COMPUTED_VALUE"""),0.0308247516040742)</f>
        <v>0.0308247516</v>
      </c>
      <c r="D46" s="21">
        <f>IFERROR(__xludf.DUMMYFUNCTION("""COMPUTED_VALUE"""),0.714212491916299)</f>
        <v>0.7142124919</v>
      </c>
      <c r="E46" s="21">
        <f>IFERROR(__xludf.DUMMYFUNCTION("""COMPUTED_VALUE"""),0.356838269978553)</f>
        <v>0.35683827</v>
      </c>
      <c r="F46" s="21"/>
      <c r="G46" s="23">
        <v>-0.6013458241</v>
      </c>
      <c r="H46" s="23">
        <v>0.030824751600000002</v>
      </c>
      <c r="I46" s="23">
        <v>0.7142124919</v>
      </c>
      <c r="J46" s="23">
        <v>0.3568382699</v>
      </c>
    </row>
    <row r="47">
      <c r="A47" s="12"/>
      <c r="B47" s="21">
        <f>IFERROR(__xludf.DUMMYFUNCTION("""COMPUTED_VALUE"""),-0.601345824096226)</f>
        <v>-0.6013458241</v>
      </c>
      <c r="C47" s="21">
        <f>IFERROR(__xludf.DUMMYFUNCTION("""COMPUTED_VALUE"""),0.0308247516040742)</f>
        <v>0.0308247516</v>
      </c>
      <c r="D47" s="21">
        <f>IFERROR(__xludf.DUMMYFUNCTION("""COMPUTED_VALUE"""),0.714212491916299)</f>
        <v>0.7142124919</v>
      </c>
      <c r="E47" s="21">
        <f>IFERROR(__xludf.DUMMYFUNCTION("""COMPUTED_VALUE"""),0.356838269978553)</f>
        <v>0.35683827</v>
      </c>
      <c r="F47" s="21"/>
      <c r="G47" s="23">
        <v>-0.6013458241</v>
      </c>
      <c r="H47" s="23">
        <v>0.030824751600000002</v>
      </c>
      <c r="I47" s="23">
        <v>0.7142124919</v>
      </c>
      <c r="J47" s="23">
        <v>0.3568382699</v>
      </c>
    </row>
    <row r="48">
      <c r="A48" s="12"/>
      <c r="B48" s="21">
        <f>IFERROR(__xludf.DUMMYFUNCTION("""COMPUTED_VALUE"""),-0.601345824096226)</f>
        <v>-0.6013458241</v>
      </c>
      <c r="C48" s="21">
        <f>IFERROR(__xludf.DUMMYFUNCTION("""COMPUTED_VALUE"""),0.0308247516040742)</f>
        <v>0.0308247516</v>
      </c>
      <c r="D48" s="21">
        <f>IFERROR(__xludf.DUMMYFUNCTION("""COMPUTED_VALUE"""),0.714212491916299)</f>
        <v>0.7142124919</v>
      </c>
      <c r="E48" s="21">
        <f>IFERROR(__xludf.DUMMYFUNCTION("""COMPUTED_VALUE"""),0.356838269978553)</f>
        <v>0.35683827</v>
      </c>
      <c r="F48" s="21"/>
      <c r="G48" s="23">
        <v>-0.6013458241</v>
      </c>
      <c r="H48" s="23">
        <v>0.030824751600000002</v>
      </c>
      <c r="I48" s="23">
        <v>0.7142124919</v>
      </c>
      <c r="J48" s="23">
        <v>0.3568382699</v>
      </c>
    </row>
    <row r="49">
      <c r="A49" s="12"/>
      <c r="B49" s="21">
        <f>IFERROR(__xludf.DUMMYFUNCTION("""COMPUTED_VALUE"""),-0.601345824096226)</f>
        <v>-0.6013458241</v>
      </c>
      <c r="C49" s="21">
        <f>IFERROR(__xludf.DUMMYFUNCTION("""COMPUTED_VALUE"""),0.0308247516040742)</f>
        <v>0.0308247516</v>
      </c>
      <c r="D49" s="21">
        <f>IFERROR(__xludf.DUMMYFUNCTION("""COMPUTED_VALUE"""),0.714212491916299)</f>
        <v>0.7142124919</v>
      </c>
      <c r="E49" s="21">
        <f>IFERROR(__xludf.DUMMYFUNCTION("""COMPUTED_VALUE"""),0.356838269978553)</f>
        <v>0.35683827</v>
      </c>
      <c r="F49" s="21"/>
      <c r="G49" s="23">
        <v>-0.6013458241</v>
      </c>
      <c r="H49" s="23">
        <v>0.030824751600000002</v>
      </c>
      <c r="I49" s="23">
        <v>0.7142124919</v>
      </c>
      <c r="J49" s="23">
        <v>0.3568382699</v>
      </c>
    </row>
    <row r="50">
      <c r="A50" s="12"/>
      <c r="B50" s="21">
        <f>IFERROR(__xludf.DUMMYFUNCTION("""COMPUTED_VALUE"""),-0.598536488743345)</f>
        <v>-0.5985364887</v>
      </c>
      <c r="C50" s="21">
        <f>IFERROR(__xludf.DUMMYFUNCTION("""COMPUTED_VALUE"""),0.0322258108921644)</f>
        <v>0.03222581089</v>
      </c>
      <c r="D50" s="21">
        <f>IFERROR(__xludf.DUMMYFUNCTION("""COMPUTED_VALUE"""),0.716568458285771)</f>
        <v>0.7165684583</v>
      </c>
      <c r="E50" s="21">
        <f>IFERROR(__xludf.DUMMYFUNCTION("""COMPUTED_VALUE"""),0.356714470333182)</f>
        <v>0.3567144703</v>
      </c>
      <c r="F50" s="21"/>
      <c r="G50" s="23">
        <v>-0.5985364888</v>
      </c>
      <c r="H50" s="23">
        <v>0.032225810800000004</v>
      </c>
      <c r="I50" s="23">
        <v>0.7165684582</v>
      </c>
      <c r="J50" s="23">
        <v>0.35671447030000003</v>
      </c>
    </row>
    <row r="51">
      <c r="A51" s="12"/>
      <c r="B51" s="21">
        <f>IFERROR(__xludf.DUMMYFUNCTION("""COMPUTED_VALUE"""),-0.598536488743345)</f>
        <v>-0.5985364887</v>
      </c>
      <c r="C51" s="21">
        <f>IFERROR(__xludf.DUMMYFUNCTION("""COMPUTED_VALUE"""),0.0322258108921644)</f>
        <v>0.03222581089</v>
      </c>
      <c r="D51" s="21">
        <f>IFERROR(__xludf.DUMMYFUNCTION("""COMPUTED_VALUE"""),0.716568458285771)</f>
        <v>0.7165684583</v>
      </c>
      <c r="E51" s="21">
        <f>IFERROR(__xludf.DUMMYFUNCTION("""COMPUTED_VALUE"""),0.356714470333182)</f>
        <v>0.3567144703</v>
      </c>
      <c r="F51" s="21"/>
      <c r="G51" s="23">
        <v>-0.5985364888</v>
      </c>
      <c r="H51" s="23">
        <v>0.032225810800000004</v>
      </c>
      <c r="I51" s="23">
        <v>0.7165684582</v>
      </c>
      <c r="J51" s="23">
        <v>0.35671447030000003</v>
      </c>
    </row>
    <row r="52">
      <c r="A52" s="12"/>
      <c r="B52" s="21">
        <f>IFERROR(__xludf.DUMMYFUNCTION("""COMPUTED_VALUE"""),-0.598536488743345)</f>
        <v>-0.5985364887</v>
      </c>
      <c r="C52" s="21">
        <f>IFERROR(__xludf.DUMMYFUNCTION("""COMPUTED_VALUE"""),0.0322258108921644)</f>
        <v>0.03222581089</v>
      </c>
      <c r="D52" s="21">
        <f>IFERROR(__xludf.DUMMYFUNCTION("""COMPUTED_VALUE"""),0.716568458285771)</f>
        <v>0.7165684583</v>
      </c>
      <c r="E52" s="21">
        <f>IFERROR(__xludf.DUMMYFUNCTION("""COMPUTED_VALUE"""),0.356714470333182)</f>
        <v>0.3567144703</v>
      </c>
      <c r="F52" s="21"/>
      <c r="G52" s="23">
        <v>-0.5985364888</v>
      </c>
      <c r="H52" s="23">
        <v>0.032225810800000004</v>
      </c>
      <c r="I52" s="23">
        <v>0.7165684582</v>
      </c>
      <c r="J52" s="23">
        <v>0.35671447030000003</v>
      </c>
    </row>
    <row r="53">
      <c r="A53" s="12"/>
      <c r="B53" s="21">
        <f>IFERROR(__xludf.DUMMYFUNCTION("""COMPUTED_VALUE"""),-0.598536488743345)</f>
        <v>-0.5985364887</v>
      </c>
      <c r="C53" s="21">
        <f>IFERROR(__xludf.DUMMYFUNCTION("""COMPUTED_VALUE"""),0.0322258108921644)</f>
        <v>0.03222581089</v>
      </c>
      <c r="D53" s="21">
        <f>IFERROR(__xludf.DUMMYFUNCTION("""COMPUTED_VALUE"""),0.716568458285771)</f>
        <v>0.7165684583</v>
      </c>
      <c r="E53" s="21">
        <f>IFERROR(__xludf.DUMMYFUNCTION("""COMPUTED_VALUE"""),0.356714470333182)</f>
        <v>0.3567144703</v>
      </c>
      <c r="F53" s="21"/>
      <c r="G53" s="23">
        <v>-0.5985364888</v>
      </c>
      <c r="H53" s="23">
        <v>0.032225810800000004</v>
      </c>
      <c r="I53" s="23">
        <v>0.7165684582</v>
      </c>
      <c r="J53" s="23">
        <v>0.35671447030000003</v>
      </c>
    </row>
    <row r="54">
      <c r="A54" s="12"/>
      <c r="B54" s="21">
        <f>IFERROR(__xludf.DUMMYFUNCTION("""COMPUTED_VALUE"""),-0.591474074492025)</f>
        <v>-0.5914740745</v>
      </c>
      <c r="C54" s="21">
        <f>IFERROR(__xludf.DUMMYFUNCTION("""COMPUTED_VALUE"""),0.0251825062102426)</f>
        <v>0.02518250621</v>
      </c>
      <c r="D54" s="21">
        <f>IFERROR(__xludf.DUMMYFUNCTION("""COMPUTED_VALUE"""),0.719243282644267)</f>
        <v>0.7192432826</v>
      </c>
      <c r="E54" s="21">
        <f>IFERROR(__xludf.DUMMYFUNCTION("""COMPUTED_VALUE"""),0.363611552286049)</f>
        <v>0.3636115523</v>
      </c>
      <c r="F54" s="21"/>
      <c r="G54" s="23">
        <v>-0.5914740745</v>
      </c>
      <c r="H54" s="23">
        <v>0.0251825062</v>
      </c>
      <c r="I54" s="23">
        <v>0.7192432826</v>
      </c>
      <c r="J54" s="23">
        <v>0.3636115522</v>
      </c>
    </row>
    <row r="55">
      <c r="A55" s="12"/>
      <c r="B55" s="21">
        <f>IFERROR(__xludf.DUMMYFUNCTION("""COMPUTED_VALUE"""),-0.591474074492025)</f>
        <v>-0.5914740745</v>
      </c>
      <c r="C55" s="21">
        <f>IFERROR(__xludf.DUMMYFUNCTION("""COMPUTED_VALUE"""),0.0251825062102426)</f>
        <v>0.02518250621</v>
      </c>
      <c r="D55" s="21">
        <f>IFERROR(__xludf.DUMMYFUNCTION("""COMPUTED_VALUE"""),0.719243282644267)</f>
        <v>0.7192432826</v>
      </c>
      <c r="E55" s="21">
        <f>IFERROR(__xludf.DUMMYFUNCTION("""COMPUTED_VALUE"""),0.363611552286049)</f>
        <v>0.3636115523</v>
      </c>
      <c r="F55" s="21"/>
      <c r="G55" s="23">
        <v>-0.5914740745</v>
      </c>
      <c r="H55" s="23">
        <v>0.0251825062</v>
      </c>
      <c r="I55" s="23">
        <v>0.7192432826</v>
      </c>
      <c r="J55" s="23">
        <v>0.3636115522</v>
      </c>
    </row>
    <row r="56">
      <c r="A56" s="12"/>
      <c r="B56" s="21">
        <f>IFERROR(__xludf.DUMMYFUNCTION("""COMPUTED_VALUE"""),-0.591474074492025)</f>
        <v>-0.5914740745</v>
      </c>
      <c r="C56" s="21">
        <f>IFERROR(__xludf.DUMMYFUNCTION("""COMPUTED_VALUE"""),0.0251825062102426)</f>
        <v>0.02518250621</v>
      </c>
      <c r="D56" s="21">
        <f>IFERROR(__xludf.DUMMYFUNCTION("""COMPUTED_VALUE"""),0.719243282644267)</f>
        <v>0.7192432826</v>
      </c>
      <c r="E56" s="21">
        <f>IFERROR(__xludf.DUMMYFUNCTION("""COMPUTED_VALUE"""),0.363611552286049)</f>
        <v>0.3636115523</v>
      </c>
      <c r="F56" s="21"/>
      <c r="G56" s="23">
        <v>-0.5914740745</v>
      </c>
      <c r="H56" s="23">
        <v>0.0251825062</v>
      </c>
      <c r="I56" s="23">
        <v>0.7192432826</v>
      </c>
      <c r="J56" s="23">
        <v>0.3636115522</v>
      </c>
    </row>
    <row r="57">
      <c r="A57" s="12"/>
      <c r="B57" s="21">
        <f>IFERROR(__xludf.DUMMYFUNCTION("""COMPUTED_VALUE"""),-0.591474074492025)</f>
        <v>-0.5914740745</v>
      </c>
      <c r="C57" s="21">
        <f>IFERROR(__xludf.DUMMYFUNCTION("""COMPUTED_VALUE"""),0.0251825062102426)</f>
        <v>0.02518250621</v>
      </c>
      <c r="D57" s="21">
        <f>IFERROR(__xludf.DUMMYFUNCTION("""COMPUTED_VALUE"""),0.719243282644267)</f>
        <v>0.7192432826</v>
      </c>
      <c r="E57" s="21">
        <f>IFERROR(__xludf.DUMMYFUNCTION("""COMPUTED_VALUE"""),0.363611552286049)</f>
        <v>0.3636115523</v>
      </c>
      <c r="F57" s="21"/>
      <c r="G57" s="23">
        <v>-0.5914740745</v>
      </c>
      <c r="H57" s="23">
        <v>0.0251825062</v>
      </c>
      <c r="I57" s="23">
        <v>0.7192432826</v>
      </c>
      <c r="J57" s="23">
        <v>0.3636115522</v>
      </c>
    </row>
    <row r="58">
      <c r="A58" s="12"/>
      <c r="B58" s="21">
        <f>IFERROR(__xludf.DUMMYFUNCTION("""COMPUTED_VALUE"""),-0.591474074492025)</f>
        <v>-0.5914740745</v>
      </c>
      <c r="C58" s="21">
        <f>IFERROR(__xludf.DUMMYFUNCTION("""COMPUTED_VALUE"""),0.0251825062102426)</f>
        <v>0.02518250621</v>
      </c>
      <c r="D58" s="21">
        <f>IFERROR(__xludf.DUMMYFUNCTION("""COMPUTED_VALUE"""),0.719243282644267)</f>
        <v>0.7192432826</v>
      </c>
      <c r="E58" s="21">
        <f>IFERROR(__xludf.DUMMYFUNCTION("""COMPUTED_VALUE"""),0.363611552286049)</f>
        <v>0.3636115523</v>
      </c>
      <c r="F58" s="21"/>
      <c r="G58" s="23">
        <v>-0.5914740745</v>
      </c>
      <c r="H58" s="23">
        <v>0.0251825062</v>
      </c>
      <c r="I58" s="23">
        <v>0.7192432826</v>
      </c>
      <c r="J58" s="23">
        <v>0.3636115522</v>
      </c>
    </row>
    <row r="59">
      <c r="A59" s="12"/>
      <c r="B59" s="21">
        <f>IFERROR(__xludf.DUMMYFUNCTION("""COMPUTED_VALUE"""),-0.591474074492025)</f>
        <v>-0.5914740745</v>
      </c>
      <c r="C59" s="21">
        <f>IFERROR(__xludf.DUMMYFUNCTION("""COMPUTED_VALUE"""),0.0251825062102426)</f>
        <v>0.02518250621</v>
      </c>
      <c r="D59" s="21">
        <f>IFERROR(__xludf.DUMMYFUNCTION("""COMPUTED_VALUE"""),0.719243282644267)</f>
        <v>0.7192432826</v>
      </c>
      <c r="E59" s="21">
        <f>IFERROR(__xludf.DUMMYFUNCTION("""COMPUTED_VALUE"""),0.363611552286049)</f>
        <v>0.3636115523</v>
      </c>
      <c r="F59" s="21"/>
      <c r="G59" s="23">
        <v>-0.5914740745</v>
      </c>
      <c r="H59" s="23">
        <v>0.0251825062</v>
      </c>
      <c r="I59" s="23">
        <v>0.7192432826</v>
      </c>
      <c r="J59" s="23">
        <v>0.3636115522</v>
      </c>
    </row>
    <row r="60">
      <c r="A60" s="12"/>
      <c r="B60" s="21">
        <f>IFERROR(__xludf.DUMMYFUNCTION("""COMPUTED_VALUE"""),-0.591474074492025)</f>
        <v>-0.5914740745</v>
      </c>
      <c r="C60" s="21">
        <f>IFERROR(__xludf.DUMMYFUNCTION("""COMPUTED_VALUE"""),0.0251825062102426)</f>
        <v>0.02518250621</v>
      </c>
      <c r="D60" s="21">
        <f>IFERROR(__xludf.DUMMYFUNCTION("""COMPUTED_VALUE"""),0.719243282644267)</f>
        <v>0.7192432826</v>
      </c>
      <c r="E60" s="21">
        <f>IFERROR(__xludf.DUMMYFUNCTION("""COMPUTED_VALUE"""),0.363611552286049)</f>
        <v>0.3636115523</v>
      </c>
      <c r="F60" s="21"/>
      <c r="G60" s="23">
        <v>-0.5914740745</v>
      </c>
      <c r="H60" s="23">
        <v>0.0251825062</v>
      </c>
      <c r="I60" s="23">
        <v>0.7192432826</v>
      </c>
      <c r="J60" s="23">
        <v>0.3636115522</v>
      </c>
    </row>
    <row r="61">
      <c r="A61" s="12"/>
      <c r="B61" s="21">
        <f>IFERROR(__xludf.DUMMYFUNCTION("""COMPUTED_VALUE"""),-0.591474074492025)</f>
        <v>-0.5914740745</v>
      </c>
      <c r="C61" s="21">
        <f>IFERROR(__xludf.DUMMYFUNCTION("""COMPUTED_VALUE"""),0.0251825062102426)</f>
        <v>0.02518250621</v>
      </c>
      <c r="D61" s="21">
        <f>IFERROR(__xludf.DUMMYFUNCTION("""COMPUTED_VALUE"""),0.719243282644267)</f>
        <v>0.7192432826</v>
      </c>
      <c r="E61" s="21">
        <f>IFERROR(__xludf.DUMMYFUNCTION("""COMPUTED_VALUE"""),0.363611552286049)</f>
        <v>0.3636115523</v>
      </c>
      <c r="F61" s="21"/>
      <c r="G61" s="23">
        <v>-0.5914740745</v>
      </c>
      <c r="H61" s="23">
        <v>0.0251825062</v>
      </c>
      <c r="I61" s="23">
        <v>0.7192432826</v>
      </c>
      <c r="J61" s="23">
        <v>0.3636115522</v>
      </c>
    </row>
    <row r="62">
      <c r="A62" s="12"/>
      <c r="B62" s="21">
        <f>IFERROR(__xludf.DUMMYFUNCTION("""COMPUTED_VALUE"""),-0.591474074492025)</f>
        <v>-0.5914740745</v>
      </c>
      <c r="C62" s="21">
        <f>IFERROR(__xludf.DUMMYFUNCTION("""COMPUTED_VALUE"""),0.0251825062102426)</f>
        <v>0.02518250621</v>
      </c>
      <c r="D62" s="21">
        <f>IFERROR(__xludf.DUMMYFUNCTION("""COMPUTED_VALUE"""),0.719243282644267)</f>
        <v>0.7192432826</v>
      </c>
      <c r="E62" s="21">
        <f>IFERROR(__xludf.DUMMYFUNCTION("""COMPUTED_VALUE"""),0.363611552286049)</f>
        <v>0.3636115523</v>
      </c>
      <c r="F62" s="21"/>
      <c r="G62" s="23">
        <v>-0.5914740745</v>
      </c>
      <c r="H62" s="23">
        <v>0.0251825062</v>
      </c>
      <c r="I62" s="23">
        <v>0.7192432826</v>
      </c>
      <c r="J62" s="23">
        <v>0.3636115522</v>
      </c>
    </row>
    <row r="63">
      <c r="A63" s="12"/>
      <c r="B63" s="21">
        <f>IFERROR(__xludf.DUMMYFUNCTION("""COMPUTED_VALUE"""),-0.591474074492025)</f>
        <v>-0.5914740745</v>
      </c>
      <c r="C63" s="21">
        <f>IFERROR(__xludf.DUMMYFUNCTION("""COMPUTED_VALUE"""),0.0251825062102426)</f>
        <v>0.02518250621</v>
      </c>
      <c r="D63" s="21">
        <f>IFERROR(__xludf.DUMMYFUNCTION("""COMPUTED_VALUE"""),0.719243282644267)</f>
        <v>0.7192432826</v>
      </c>
      <c r="E63" s="21">
        <f>IFERROR(__xludf.DUMMYFUNCTION("""COMPUTED_VALUE"""),0.363611552286049)</f>
        <v>0.3636115523</v>
      </c>
      <c r="F63" s="21"/>
      <c r="G63" s="23">
        <v>-0.5914740745</v>
      </c>
      <c r="H63" s="23">
        <v>0.0251825062</v>
      </c>
      <c r="I63" s="23">
        <v>0.7192432826</v>
      </c>
      <c r="J63" s="23">
        <v>0.3636115522</v>
      </c>
    </row>
    <row r="64">
      <c r="A64" s="12"/>
      <c r="B64" s="21">
        <f>IFERROR(__xludf.DUMMYFUNCTION("""COMPUTED_VALUE"""),-0.591474074492025)</f>
        <v>-0.5914740745</v>
      </c>
      <c r="C64" s="21">
        <f>IFERROR(__xludf.DUMMYFUNCTION("""COMPUTED_VALUE"""),0.0251825062102426)</f>
        <v>0.02518250621</v>
      </c>
      <c r="D64" s="21">
        <f>IFERROR(__xludf.DUMMYFUNCTION("""COMPUTED_VALUE"""),0.719243282644267)</f>
        <v>0.7192432826</v>
      </c>
      <c r="E64" s="21">
        <f>IFERROR(__xludf.DUMMYFUNCTION("""COMPUTED_VALUE"""),0.363611552286049)</f>
        <v>0.3636115523</v>
      </c>
      <c r="F64" s="21"/>
      <c r="G64" s="23">
        <v>-0.5914740745</v>
      </c>
      <c r="H64" s="23">
        <v>0.0251825062</v>
      </c>
      <c r="I64" s="23">
        <v>0.7192432826</v>
      </c>
      <c r="J64" s="23">
        <v>0.3636115522</v>
      </c>
    </row>
    <row r="65">
      <c r="A65" s="12"/>
      <c r="B65" s="21">
        <f>IFERROR(__xludf.DUMMYFUNCTION("""COMPUTED_VALUE"""),-0.587213024461169)</f>
        <v>-0.5872130245</v>
      </c>
      <c r="C65" s="21">
        <f>IFERROR(__xludf.DUMMYFUNCTION("""COMPUTED_VALUE"""),0.0237764485002027)</f>
        <v>0.0237764485</v>
      </c>
      <c r="D65" s="21">
        <f>IFERROR(__xludf.DUMMYFUNCTION("""COMPUTED_VALUE"""),0.721659378145983)</f>
        <v>0.7216593781</v>
      </c>
      <c r="E65" s="21">
        <f>IFERROR(__xludf.DUMMYFUNCTION("""COMPUTED_VALUE"""),0.365818652249766)</f>
        <v>0.3658186522</v>
      </c>
      <c r="F65" s="21"/>
      <c r="G65" s="23">
        <v>-0.5872130245</v>
      </c>
      <c r="H65" s="23">
        <v>0.023776448500000002</v>
      </c>
      <c r="I65" s="23">
        <v>0.7216593781</v>
      </c>
      <c r="J65" s="23">
        <v>0.36581865220000004</v>
      </c>
    </row>
    <row r="66">
      <c r="A66" s="12"/>
      <c r="B66" s="21">
        <f>IFERROR(__xludf.DUMMYFUNCTION("""COMPUTED_VALUE"""),-0.587213024461169)</f>
        <v>-0.5872130245</v>
      </c>
      <c r="C66" s="21">
        <f>IFERROR(__xludf.DUMMYFUNCTION("""COMPUTED_VALUE"""),0.0237764485002027)</f>
        <v>0.0237764485</v>
      </c>
      <c r="D66" s="21">
        <f>IFERROR(__xludf.DUMMYFUNCTION("""COMPUTED_VALUE"""),0.721659378145983)</f>
        <v>0.7216593781</v>
      </c>
      <c r="E66" s="21">
        <f>IFERROR(__xludf.DUMMYFUNCTION("""COMPUTED_VALUE"""),0.365818652249766)</f>
        <v>0.3658186522</v>
      </c>
      <c r="F66" s="21"/>
      <c r="G66" s="23">
        <v>-0.5872130245</v>
      </c>
      <c r="H66" s="23">
        <v>0.023776448500000002</v>
      </c>
      <c r="I66" s="23">
        <v>0.7216593781</v>
      </c>
      <c r="J66" s="23">
        <v>0.36581865220000004</v>
      </c>
    </row>
    <row r="67">
      <c r="A67" s="12"/>
      <c r="B67" s="21">
        <f>IFERROR(__xludf.DUMMYFUNCTION("""COMPUTED_VALUE"""),-0.587213024461169)</f>
        <v>-0.5872130245</v>
      </c>
      <c r="C67" s="21">
        <f>IFERROR(__xludf.DUMMYFUNCTION("""COMPUTED_VALUE"""),0.0237764485002027)</f>
        <v>0.0237764485</v>
      </c>
      <c r="D67" s="21">
        <f>IFERROR(__xludf.DUMMYFUNCTION("""COMPUTED_VALUE"""),0.721659378145983)</f>
        <v>0.7216593781</v>
      </c>
      <c r="E67" s="21">
        <f>IFERROR(__xludf.DUMMYFUNCTION("""COMPUTED_VALUE"""),0.365818652249766)</f>
        <v>0.3658186522</v>
      </c>
      <c r="F67" s="21"/>
      <c r="G67" s="23">
        <v>-0.5872130245</v>
      </c>
      <c r="H67" s="23">
        <v>0.023776448500000002</v>
      </c>
      <c r="I67" s="23">
        <v>0.7216593781</v>
      </c>
      <c r="J67" s="23">
        <v>0.36581865220000004</v>
      </c>
    </row>
    <row r="68">
      <c r="A68" s="12"/>
      <c r="B68" s="21">
        <f>IFERROR(__xludf.DUMMYFUNCTION("""COMPUTED_VALUE"""),-0.587213024461169)</f>
        <v>-0.5872130245</v>
      </c>
      <c r="C68" s="21">
        <f>IFERROR(__xludf.DUMMYFUNCTION("""COMPUTED_VALUE"""),0.0237764485002027)</f>
        <v>0.0237764485</v>
      </c>
      <c r="D68" s="21">
        <f>IFERROR(__xludf.DUMMYFUNCTION("""COMPUTED_VALUE"""),0.721659378145983)</f>
        <v>0.7216593781</v>
      </c>
      <c r="E68" s="21">
        <f>IFERROR(__xludf.DUMMYFUNCTION("""COMPUTED_VALUE"""),0.365818652249766)</f>
        <v>0.3658186522</v>
      </c>
      <c r="F68" s="21"/>
      <c r="G68" s="23">
        <v>-0.5872130245</v>
      </c>
      <c r="H68" s="23">
        <v>0.023776448500000002</v>
      </c>
      <c r="I68" s="23">
        <v>0.7216593781</v>
      </c>
      <c r="J68" s="23">
        <v>0.36581865220000004</v>
      </c>
    </row>
    <row r="69">
      <c r="A69" s="12"/>
      <c r="B69" s="21">
        <f>IFERROR(__xludf.DUMMYFUNCTION("""COMPUTED_VALUE"""),-0.58293313007708)</f>
        <v>-0.5829331301</v>
      </c>
      <c r="C69" s="21">
        <f>IFERROR(__xludf.DUMMYFUNCTION("""COMPUTED_VALUE"""),0.0223877685001417)</f>
        <v>0.0223877685</v>
      </c>
      <c r="D69" s="21">
        <f>IFERROR(__xludf.DUMMYFUNCTION("""COMPUTED_VALUE"""),0.724041933266)</f>
        <v>0.7240419333</v>
      </c>
      <c r="E69" s="21">
        <f>IFERROR(__xludf.DUMMYFUNCTION("""COMPUTED_VALUE"""),0.368036727178896)</f>
        <v>0.3680367272</v>
      </c>
      <c r="F69" s="21"/>
      <c r="G69" s="23">
        <v>-0.5829331301</v>
      </c>
      <c r="H69" s="23">
        <v>0.022387768500000002</v>
      </c>
      <c r="I69" s="23">
        <v>0.7240419332</v>
      </c>
      <c r="J69" s="23">
        <v>0.3680367271</v>
      </c>
    </row>
    <row r="70">
      <c r="A70" s="12"/>
      <c r="B70" s="21">
        <f>IFERROR(__xludf.DUMMYFUNCTION("""COMPUTED_VALUE"""),-0.58293313007708)</f>
        <v>-0.5829331301</v>
      </c>
      <c r="C70" s="21">
        <f>IFERROR(__xludf.DUMMYFUNCTION("""COMPUTED_VALUE"""),0.0223877685001417)</f>
        <v>0.0223877685</v>
      </c>
      <c r="D70" s="21">
        <f>IFERROR(__xludf.DUMMYFUNCTION("""COMPUTED_VALUE"""),0.724041933266)</f>
        <v>0.7240419333</v>
      </c>
      <c r="E70" s="21">
        <f>IFERROR(__xludf.DUMMYFUNCTION("""COMPUTED_VALUE"""),0.368036727178896)</f>
        <v>0.3680367272</v>
      </c>
      <c r="F70" s="21"/>
      <c r="G70" s="23">
        <v>-0.5829331301</v>
      </c>
      <c r="H70" s="23">
        <v>0.022387768500000002</v>
      </c>
      <c r="I70" s="23">
        <v>0.7240419332</v>
      </c>
      <c r="J70" s="23">
        <v>0.3680367271</v>
      </c>
    </row>
    <row r="71">
      <c r="A71" s="12"/>
      <c r="B71" s="21">
        <f>IFERROR(__xludf.DUMMYFUNCTION("""COMPUTED_VALUE"""),-0.581483362212125)</f>
        <v>-0.5814833622</v>
      </c>
      <c r="C71" s="21">
        <f>IFERROR(__xludf.DUMMYFUNCTION("""COMPUTED_VALUE"""),0.0195442972461496)</f>
        <v>0.01954429725</v>
      </c>
      <c r="D71" s="21">
        <f>IFERROR(__xludf.DUMMYFUNCTION("""COMPUTED_VALUE"""),0.724124266787916)</f>
        <v>0.7241242668</v>
      </c>
      <c r="E71" s="21">
        <f>IFERROR(__xludf.DUMMYFUNCTION("""COMPUTED_VALUE"""),0.370323056485142)</f>
        <v>0.3703230565</v>
      </c>
      <c r="F71" s="21"/>
      <c r="G71" s="23">
        <v>-0.5814833623</v>
      </c>
      <c r="H71" s="23">
        <v>0.0195442972</v>
      </c>
      <c r="I71" s="23">
        <v>0.7241242667000001</v>
      </c>
      <c r="J71" s="23">
        <v>0.3703230564</v>
      </c>
    </row>
    <row r="72">
      <c r="A72" s="12"/>
      <c r="B72" s="21">
        <f>IFERROR(__xludf.DUMMYFUNCTION("""COMPUTED_VALUE"""),-0.577176856176099)</f>
        <v>-0.5771768562</v>
      </c>
      <c r="C72" s="21">
        <f>IFERROR(__xludf.DUMMYFUNCTION("""COMPUTED_VALUE"""),0.0181456689137966)</f>
        <v>0.01814566891</v>
      </c>
      <c r="D72" s="21">
        <f>IFERROR(__xludf.DUMMYFUNCTION("""COMPUTED_VALUE"""),0.726479016521009)</f>
        <v>0.7264790165</v>
      </c>
      <c r="E72" s="21">
        <f>IFERROR(__xludf.DUMMYFUNCTION("""COMPUTED_VALUE"""),0.372512885614728)</f>
        <v>0.3725128856</v>
      </c>
      <c r="F72" s="21"/>
      <c r="G72" s="23">
        <v>-0.5771768562</v>
      </c>
      <c r="H72" s="23">
        <v>0.018145668900000002</v>
      </c>
      <c r="I72" s="23">
        <v>0.7264790165</v>
      </c>
      <c r="J72" s="23">
        <v>0.3725128856</v>
      </c>
    </row>
    <row r="73">
      <c r="A73" s="12"/>
      <c r="B73" s="21">
        <f>IFERROR(__xludf.DUMMYFUNCTION("""COMPUTED_VALUE"""),-0.577176856176099)</f>
        <v>-0.5771768562</v>
      </c>
      <c r="C73" s="21">
        <f>IFERROR(__xludf.DUMMYFUNCTION("""COMPUTED_VALUE"""),0.0181456689137966)</f>
        <v>0.01814566891</v>
      </c>
      <c r="D73" s="21">
        <f>IFERROR(__xludf.DUMMYFUNCTION("""COMPUTED_VALUE"""),0.726479016521009)</f>
        <v>0.7264790165</v>
      </c>
      <c r="E73" s="21">
        <f>IFERROR(__xludf.DUMMYFUNCTION("""COMPUTED_VALUE"""),0.372512885614728)</f>
        <v>0.3725128856</v>
      </c>
      <c r="F73" s="21"/>
      <c r="G73" s="23">
        <v>-0.5771768562</v>
      </c>
      <c r="H73" s="23">
        <v>0.018145668900000002</v>
      </c>
      <c r="I73" s="23">
        <v>0.7264790165</v>
      </c>
      <c r="J73" s="23">
        <v>0.3725128856</v>
      </c>
    </row>
    <row r="74">
      <c r="A74" s="12"/>
      <c r="B74" s="21">
        <f>IFERROR(__xludf.DUMMYFUNCTION("""COMPUTED_VALUE"""),-0.577176856176099)</f>
        <v>-0.5771768562</v>
      </c>
      <c r="C74" s="21">
        <f>IFERROR(__xludf.DUMMYFUNCTION("""COMPUTED_VALUE"""),0.0181456689137966)</f>
        <v>0.01814566891</v>
      </c>
      <c r="D74" s="21">
        <f>IFERROR(__xludf.DUMMYFUNCTION("""COMPUTED_VALUE"""),0.726479016521009)</f>
        <v>0.7264790165</v>
      </c>
      <c r="E74" s="21">
        <f>IFERROR(__xludf.DUMMYFUNCTION("""COMPUTED_VALUE"""),0.372512885614728)</f>
        <v>0.3725128856</v>
      </c>
      <c r="F74" s="21"/>
      <c r="G74" s="23">
        <v>-0.5771768562</v>
      </c>
      <c r="H74" s="23">
        <v>0.018145668900000002</v>
      </c>
      <c r="I74" s="23">
        <v>0.7264790165</v>
      </c>
      <c r="J74" s="23">
        <v>0.3725128856</v>
      </c>
    </row>
    <row r="75">
      <c r="A75" s="12"/>
      <c r="B75" s="21">
        <f>IFERROR(__xludf.DUMMYFUNCTION("""COMPUTED_VALUE"""),-0.574319536776662)</f>
        <v>-0.5743195368</v>
      </c>
      <c r="C75" s="21">
        <f>IFERROR(__xludf.DUMMYFUNCTION("""COMPUTED_VALUE"""),0.0196083798770735)</f>
        <v>0.01960837988</v>
      </c>
      <c r="D75" s="21">
        <f>IFERROR(__xludf.DUMMYFUNCTION("""COMPUTED_VALUE"""),0.728739977239686)</f>
        <v>0.7287399772</v>
      </c>
      <c r="E75" s="21">
        <f>IFERROR(__xludf.DUMMYFUNCTION("""COMPUTED_VALUE"""),0.372438755620218)</f>
        <v>0.3724387556</v>
      </c>
      <c r="F75" s="21"/>
      <c r="G75" s="23">
        <v>-0.5743195368</v>
      </c>
      <c r="H75" s="23">
        <v>0.019608379800000002</v>
      </c>
      <c r="I75" s="23">
        <v>0.7287399772</v>
      </c>
      <c r="J75" s="23">
        <v>0.3724387556</v>
      </c>
    </row>
    <row r="76">
      <c r="A76" s="12"/>
      <c r="B76" s="21">
        <f>IFERROR(__xludf.DUMMYFUNCTION("""COMPUTED_VALUE"""),-0.569986103523821)</f>
        <v>-0.5699861035</v>
      </c>
      <c r="C76" s="21">
        <f>IFERROR(__xludf.DUMMYFUNCTION("""COMPUTED_VALUE"""),0.0182177569769523)</f>
        <v>0.01821775698</v>
      </c>
      <c r="D76" s="21">
        <f>IFERROR(__xludf.DUMMYFUNCTION("""COMPUTED_VALUE"""),0.731055321194622)</f>
        <v>0.7310553212</v>
      </c>
      <c r="E76" s="21">
        <f>IFERROR(__xludf.DUMMYFUNCTION("""COMPUTED_VALUE"""),0.374622573363494)</f>
        <v>0.3746225734</v>
      </c>
      <c r="F76" s="21"/>
      <c r="G76" s="23">
        <v>-0.5699861036</v>
      </c>
      <c r="H76" s="23">
        <v>0.0182177569</v>
      </c>
      <c r="I76" s="23">
        <v>0.7310553211</v>
      </c>
      <c r="J76" s="23">
        <v>0.37462257330000004</v>
      </c>
    </row>
    <row r="77">
      <c r="A77" s="12"/>
      <c r="B77" s="21">
        <f>IFERROR(__xludf.DUMMYFUNCTION("""COMPUTED_VALUE"""),-0.569986103523821)</f>
        <v>-0.5699861035</v>
      </c>
      <c r="C77" s="21">
        <f>IFERROR(__xludf.DUMMYFUNCTION("""COMPUTED_VALUE"""),0.0182177569769523)</f>
        <v>0.01821775698</v>
      </c>
      <c r="D77" s="21">
        <f>IFERROR(__xludf.DUMMYFUNCTION("""COMPUTED_VALUE"""),0.731055321194622)</f>
        <v>0.7310553212</v>
      </c>
      <c r="E77" s="21">
        <f>IFERROR(__xludf.DUMMYFUNCTION("""COMPUTED_VALUE"""),0.374622573363494)</f>
        <v>0.3746225734</v>
      </c>
      <c r="F77" s="21"/>
      <c r="G77" s="23">
        <v>-0.5699861036</v>
      </c>
      <c r="H77" s="23">
        <v>0.0182177569</v>
      </c>
      <c r="I77" s="23">
        <v>0.7310553211</v>
      </c>
      <c r="J77" s="23">
        <v>0.37462257330000004</v>
      </c>
    </row>
    <row r="78">
      <c r="A78" s="12"/>
      <c r="B78" s="21">
        <f>IFERROR(__xludf.DUMMYFUNCTION("""COMPUTED_VALUE"""),-0.569986103523821)</f>
        <v>-0.5699861035</v>
      </c>
      <c r="C78" s="21">
        <f>IFERROR(__xludf.DUMMYFUNCTION("""COMPUTED_VALUE"""),0.0182177569769523)</f>
        <v>0.01821775698</v>
      </c>
      <c r="D78" s="21">
        <f>IFERROR(__xludf.DUMMYFUNCTION("""COMPUTED_VALUE"""),0.731055321194622)</f>
        <v>0.7310553212</v>
      </c>
      <c r="E78" s="21">
        <f>IFERROR(__xludf.DUMMYFUNCTION("""COMPUTED_VALUE"""),0.374622573363494)</f>
        <v>0.3746225734</v>
      </c>
      <c r="F78" s="21"/>
      <c r="G78" s="23">
        <v>-0.5699861036</v>
      </c>
      <c r="H78" s="23">
        <v>0.0182177569</v>
      </c>
      <c r="I78" s="23">
        <v>0.7310553211</v>
      </c>
      <c r="J78" s="23">
        <v>0.37462257330000004</v>
      </c>
    </row>
    <row r="79">
      <c r="A79" s="12"/>
      <c r="B79" s="21">
        <f>IFERROR(__xludf.DUMMYFUNCTION("""COMPUTED_VALUE"""),-0.565635090558158)</f>
        <v>-0.5656350906</v>
      </c>
      <c r="C79" s="21">
        <f>IFERROR(__xludf.DUMMYFUNCTION("""COMPUTED_VALUE"""),0.0168265721983328)</f>
        <v>0.0168265722</v>
      </c>
      <c r="D79" s="21">
        <f>IFERROR(__xludf.DUMMYFUNCTION("""COMPUTED_VALUE"""),0.733348117683007)</f>
        <v>0.7333481177</v>
      </c>
      <c r="E79" s="21">
        <f>IFERROR(__xludf.DUMMYFUNCTION("""COMPUTED_VALUE"""),0.376794836864981)</f>
        <v>0.3767948369</v>
      </c>
      <c r="F79" s="21"/>
      <c r="G79" s="23">
        <v>-0.5656350906000001</v>
      </c>
      <c r="H79" s="23">
        <v>0.0168265721</v>
      </c>
      <c r="I79" s="23">
        <v>0.7333481176000001</v>
      </c>
      <c r="J79" s="23">
        <v>0.37679483680000003</v>
      </c>
    </row>
    <row r="80">
      <c r="A80" s="12"/>
      <c r="B80" s="21">
        <f>IFERROR(__xludf.DUMMYFUNCTION("""COMPUTED_VALUE"""),-0.565635090558158)</f>
        <v>-0.5656350906</v>
      </c>
      <c r="C80" s="21">
        <f>IFERROR(__xludf.DUMMYFUNCTION("""COMPUTED_VALUE"""),0.0168265721983328)</f>
        <v>0.0168265722</v>
      </c>
      <c r="D80" s="21">
        <f>IFERROR(__xludf.DUMMYFUNCTION("""COMPUTED_VALUE"""),0.733348117683007)</f>
        <v>0.7333481177</v>
      </c>
      <c r="E80" s="21">
        <f>IFERROR(__xludf.DUMMYFUNCTION("""COMPUTED_VALUE"""),0.376794836864981)</f>
        <v>0.3767948369</v>
      </c>
      <c r="F80" s="21"/>
      <c r="G80" s="23">
        <v>-0.5656350906000001</v>
      </c>
      <c r="H80" s="23">
        <v>0.0168265721</v>
      </c>
      <c r="I80" s="23">
        <v>0.7333481176000001</v>
      </c>
      <c r="J80" s="23">
        <v>0.37679483680000003</v>
      </c>
    </row>
    <row r="81">
      <c r="A81" s="12"/>
      <c r="B81" s="21">
        <f>IFERROR(__xludf.DUMMYFUNCTION("""COMPUTED_VALUE"""),-0.562750885325819)</f>
        <v>-0.5627508853</v>
      </c>
      <c r="C81" s="21">
        <f>IFERROR(__xludf.DUMMYFUNCTION("""COMPUTED_VALUE"""),0.0183061084721797)</f>
        <v>0.01830610847</v>
      </c>
      <c r="D81" s="21">
        <f>IFERROR(__xludf.DUMMYFUNCTION("""COMPUTED_VALUE"""),0.735563701146918)</f>
        <v>0.7355637011</v>
      </c>
      <c r="E81" s="21">
        <f>IFERROR(__xludf.DUMMYFUNCTION("""COMPUTED_VALUE"""),0.376725853921201)</f>
        <v>0.3767258539</v>
      </c>
      <c r="F81" s="21"/>
      <c r="G81" s="23">
        <v>-0.5627508854000001</v>
      </c>
      <c r="H81" s="23">
        <v>0.0183061084</v>
      </c>
      <c r="I81" s="23">
        <v>0.7355637011</v>
      </c>
      <c r="J81" s="23">
        <v>0.3767258539</v>
      </c>
    </row>
    <row r="82">
      <c r="A82" s="12"/>
      <c r="B82" s="21">
        <f>IFERROR(__xludf.DUMMYFUNCTION("""COMPUTED_VALUE"""),-0.561267151046237)</f>
        <v>-0.561267151</v>
      </c>
      <c r="C82" s="21">
        <f>IFERROR(__xludf.DUMMYFUNCTION("""COMPUTED_VALUE"""),0.0154174229312845)</f>
        <v>0.01541742293</v>
      </c>
      <c r="D82" s="21">
        <f>IFERROR(__xludf.DUMMYFUNCTION("""COMPUTED_VALUE"""),0.735629917229109)</f>
        <v>0.7356299172</v>
      </c>
      <c r="E82" s="21">
        <f>IFERROR(__xludf.DUMMYFUNCTION("""COMPUTED_VALUE"""),0.378932860945169)</f>
        <v>0.3789328609</v>
      </c>
      <c r="F82" s="21"/>
      <c r="G82" s="23">
        <v>-0.5612671511</v>
      </c>
      <c r="H82" s="23">
        <v>0.0154174229</v>
      </c>
      <c r="I82" s="23">
        <v>0.7356299172</v>
      </c>
      <c r="J82" s="23">
        <v>0.3789328609</v>
      </c>
    </row>
    <row r="83">
      <c r="A83" s="12"/>
      <c r="B83" s="21">
        <f>IFERROR(__xludf.DUMMYFUNCTION("""COMPUTED_VALUE"""),-0.561267151046237)</f>
        <v>-0.561267151</v>
      </c>
      <c r="C83" s="21">
        <f>IFERROR(__xludf.DUMMYFUNCTION("""COMPUTED_VALUE"""),0.0154174229312845)</f>
        <v>0.01541742293</v>
      </c>
      <c r="D83" s="21">
        <f>IFERROR(__xludf.DUMMYFUNCTION("""COMPUTED_VALUE"""),0.735629917229109)</f>
        <v>0.7356299172</v>
      </c>
      <c r="E83" s="21">
        <f>IFERROR(__xludf.DUMMYFUNCTION("""COMPUTED_VALUE"""),0.378932860945169)</f>
        <v>0.3789328609</v>
      </c>
      <c r="F83" s="21"/>
      <c r="G83" s="23">
        <v>-0.5612671511</v>
      </c>
      <c r="H83" s="23">
        <v>0.0154174229</v>
      </c>
      <c r="I83" s="23">
        <v>0.7356299172</v>
      </c>
      <c r="J83" s="23">
        <v>0.3789328609</v>
      </c>
    </row>
    <row r="84">
      <c r="A84" s="12"/>
      <c r="B84" s="21">
        <f>IFERROR(__xludf.DUMMYFUNCTION("""COMPUTED_VALUE"""),-0.556881900734508)</f>
        <v>-0.5568819007</v>
      </c>
      <c r="C84" s="21">
        <f>IFERROR(__xludf.DUMMYFUNCTION("""COMPUTED_VALUE"""),0.01400779815463)</f>
        <v>0.01400779815</v>
      </c>
      <c r="D84" s="21">
        <f>IFERROR(__xludf.DUMMYFUNCTION("""COMPUTED_VALUE"""),0.737889028217351)</f>
        <v>0.7378890282</v>
      </c>
      <c r="E84" s="21">
        <f>IFERROR(__xludf.DUMMYFUNCTION("""COMPUTED_VALUE"""),0.381059197844156)</f>
        <v>0.3810591978</v>
      </c>
      <c r="F84" s="21"/>
      <c r="G84" s="23">
        <v>-0.5568819008</v>
      </c>
      <c r="H84" s="23">
        <v>0.0140077981</v>
      </c>
      <c r="I84" s="23">
        <v>0.7378890282</v>
      </c>
      <c r="J84" s="23">
        <v>0.3810591978</v>
      </c>
    </row>
    <row r="85">
      <c r="A85" s="12"/>
      <c r="B85" s="21">
        <f>IFERROR(__xludf.DUMMYFUNCTION("""COMPUTED_VALUE"""),-0.553979930927067)</f>
        <v>-0.5539799309</v>
      </c>
      <c r="C85" s="21">
        <f>IFERROR(__xludf.DUMMYFUNCTION("""COMPUTED_VALUE"""),0.0155041022258327)</f>
        <v>0.01550410223</v>
      </c>
      <c r="D85" s="21">
        <f>IFERROR(__xludf.DUMMYFUNCTION("""COMPUTED_VALUE"""),0.74007020306135)</f>
        <v>0.7400702031</v>
      </c>
      <c r="E85" s="21">
        <f>IFERROR(__xludf.DUMMYFUNCTION("""COMPUTED_VALUE"""),0.381001251290522)</f>
        <v>0.3810012513</v>
      </c>
      <c r="F85" s="21"/>
      <c r="G85" s="23">
        <v>-0.553979931</v>
      </c>
      <c r="H85" s="23">
        <v>0.0155041022</v>
      </c>
      <c r="I85" s="23">
        <v>0.740070203</v>
      </c>
      <c r="J85" s="23">
        <v>0.3810012512</v>
      </c>
    </row>
    <row r="86">
      <c r="A86" s="12"/>
      <c r="B86" s="21">
        <f>IFERROR(__xludf.DUMMYFUNCTION("""COMPUTED_VALUE"""),-0.552479474874409)</f>
        <v>-0.5524794749</v>
      </c>
      <c r="C86" s="21">
        <f>IFERROR(__xludf.DUMMYFUNCTION("""COMPUTED_VALUE"""),0.0125977413445149)</f>
        <v>0.01259774134</v>
      </c>
      <c r="D86" s="21">
        <f>IFERROR(__xludf.DUMMYFUNCTION("""COMPUTED_VALUE"""),0.740125380971436)</f>
        <v>0.740125381</v>
      </c>
      <c r="E86" s="21">
        <f>IFERROR(__xludf.DUMMYFUNCTION("""COMPUTED_VALUE"""),0.383173781980707)</f>
        <v>0.383173782</v>
      </c>
      <c r="F86" s="21"/>
      <c r="G86" s="23">
        <v>-0.5524794749</v>
      </c>
      <c r="H86" s="23">
        <v>0.0125977413</v>
      </c>
      <c r="I86" s="23">
        <v>0.7401253809</v>
      </c>
      <c r="J86" s="23">
        <v>0.3831737819</v>
      </c>
    </row>
    <row r="87">
      <c r="A87" s="12"/>
      <c r="B87" s="21">
        <f>IFERROR(__xludf.DUMMYFUNCTION("""COMPUTED_VALUE"""),-0.552479474874409)</f>
        <v>-0.5524794749</v>
      </c>
      <c r="C87" s="21">
        <f>IFERROR(__xludf.DUMMYFUNCTION("""COMPUTED_VALUE"""),0.0125977413445149)</f>
        <v>0.01259774134</v>
      </c>
      <c r="D87" s="21">
        <f>IFERROR(__xludf.DUMMYFUNCTION("""COMPUTED_VALUE"""),0.740125380971436)</f>
        <v>0.740125381</v>
      </c>
      <c r="E87" s="21">
        <f>IFERROR(__xludf.DUMMYFUNCTION("""COMPUTED_VALUE"""),0.383173781980707)</f>
        <v>0.383173782</v>
      </c>
      <c r="F87" s="21"/>
      <c r="G87" s="23">
        <v>-0.5524794749</v>
      </c>
      <c r="H87" s="23">
        <v>0.0125977413</v>
      </c>
      <c r="I87" s="23">
        <v>0.7401253809</v>
      </c>
      <c r="J87" s="23">
        <v>0.3831737819</v>
      </c>
    </row>
    <row r="88">
      <c r="A88" s="12"/>
      <c r="B88" s="21">
        <f>IFERROR(__xludf.DUMMYFUNCTION("""COMPUTED_VALUE"""),-0.552479474874409)</f>
        <v>-0.5524794749</v>
      </c>
      <c r="C88" s="21">
        <f>IFERROR(__xludf.DUMMYFUNCTION("""COMPUTED_VALUE"""),0.0125977413445149)</f>
        <v>0.01259774134</v>
      </c>
      <c r="D88" s="21">
        <f>IFERROR(__xludf.DUMMYFUNCTION("""COMPUTED_VALUE"""),0.740125380971436)</f>
        <v>0.740125381</v>
      </c>
      <c r="E88" s="21">
        <f>IFERROR(__xludf.DUMMYFUNCTION("""COMPUTED_VALUE"""),0.383173781980707)</f>
        <v>0.383173782</v>
      </c>
      <c r="F88" s="21"/>
      <c r="G88" s="23">
        <v>-0.5524794749</v>
      </c>
      <c r="H88" s="23">
        <v>0.0125977413</v>
      </c>
      <c r="I88" s="23">
        <v>0.7401253809</v>
      </c>
      <c r="J88" s="23">
        <v>0.3831737819</v>
      </c>
    </row>
    <row r="89">
      <c r="A89" s="12"/>
      <c r="B89" s="21">
        <f>IFERROR(__xludf.DUMMYFUNCTION("""COMPUTED_VALUE"""),-0.552479474874409)</f>
        <v>-0.5524794749</v>
      </c>
      <c r="C89" s="21">
        <f>IFERROR(__xludf.DUMMYFUNCTION("""COMPUTED_VALUE"""),0.0125977413445149)</f>
        <v>0.01259774134</v>
      </c>
      <c r="D89" s="21">
        <f>IFERROR(__xludf.DUMMYFUNCTION("""COMPUTED_VALUE"""),0.740125380971436)</f>
        <v>0.740125381</v>
      </c>
      <c r="E89" s="21">
        <f>IFERROR(__xludf.DUMMYFUNCTION("""COMPUTED_VALUE"""),0.383173781980707)</f>
        <v>0.383173782</v>
      </c>
      <c r="F89" s="21"/>
      <c r="G89" s="23">
        <v>-0.5524794749</v>
      </c>
      <c r="H89" s="23">
        <v>0.0125977413</v>
      </c>
      <c r="I89" s="23">
        <v>0.7401253809</v>
      </c>
      <c r="J89" s="23">
        <v>0.3831737819</v>
      </c>
    </row>
    <row r="90">
      <c r="A90" s="12"/>
      <c r="B90" s="21">
        <f>IFERROR(__xludf.DUMMYFUNCTION("""COMPUTED_VALUE"""),-0.548060009247115)</f>
        <v>-0.5480600092</v>
      </c>
      <c r="C90" s="21">
        <f>IFERROR(__xludf.DUMMYFUNCTION("""COMPUTED_VALUE"""),0.0111872959904095)</f>
        <v>0.01118729599</v>
      </c>
      <c r="D90" s="21">
        <f>IFERROR(__xludf.DUMMYFUNCTION("""COMPUTED_VALUE"""),0.742338906516981)</f>
        <v>0.7423389065</v>
      </c>
      <c r="E90" s="21">
        <f>IFERROR(__xludf.DUMMYFUNCTION("""COMPUTED_VALUE"""),0.385276548136071)</f>
        <v>0.3852765481</v>
      </c>
      <c r="F90" s="21"/>
      <c r="G90" s="23">
        <v>-0.5480600093</v>
      </c>
      <c r="H90" s="23">
        <v>0.0111872959</v>
      </c>
      <c r="I90" s="23">
        <v>0.7423389065</v>
      </c>
      <c r="J90" s="23">
        <v>0.3852765481</v>
      </c>
    </row>
    <row r="91">
      <c r="A91" s="12"/>
      <c r="B91" s="21">
        <f>IFERROR(__xludf.DUMMYFUNCTION("""COMPUTED_VALUE"""),-0.545140632876124)</f>
        <v>-0.5451406329</v>
      </c>
      <c r="C91" s="21">
        <f>IFERROR(__xludf.DUMMYFUNCTION("""COMPUTED_VALUE"""),0.0127001832622357)</f>
        <v>0.01270018326</v>
      </c>
      <c r="D91" s="21">
        <f>IFERROR(__xludf.DUMMYFUNCTION("""COMPUTED_VALUE"""),0.744485403652881)</f>
        <v>0.7444854037</v>
      </c>
      <c r="E91" s="21">
        <f>IFERROR(__xludf.DUMMYFUNCTION("""COMPUTED_VALUE"""),0.38522964512136)</f>
        <v>0.3852296451</v>
      </c>
      <c r="F91" s="21"/>
      <c r="G91" s="23">
        <v>-0.5451406329</v>
      </c>
      <c r="H91" s="23">
        <v>0.012700183200000001</v>
      </c>
      <c r="I91" s="23">
        <v>0.7444854036</v>
      </c>
      <c r="J91" s="23">
        <v>0.3852296451</v>
      </c>
    </row>
    <row r="92">
      <c r="A92" s="12"/>
      <c r="B92" s="21">
        <f>IFERROR(__xludf.DUMMYFUNCTION("""COMPUTED_VALUE"""),-0.545140632876124)</f>
        <v>-0.5451406329</v>
      </c>
      <c r="C92" s="21">
        <f>IFERROR(__xludf.DUMMYFUNCTION("""COMPUTED_VALUE"""),0.0127001832622357)</f>
        <v>0.01270018326</v>
      </c>
      <c r="D92" s="21">
        <f>IFERROR(__xludf.DUMMYFUNCTION("""COMPUTED_VALUE"""),0.744485403652881)</f>
        <v>0.7444854037</v>
      </c>
      <c r="E92" s="21">
        <f>IFERROR(__xludf.DUMMYFUNCTION("""COMPUTED_VALUE"""),0.38522964512136)</f>
        <v>0.3852296451</v>
      </c>
      <c r="F92" s="21"/>
      <c r="G92" s="23">
        <v>-0.5451406329</v>
      </c>
      <c r="H92" s="23">
        <v>0.012700183200000001</v>
      </c>
      <c r="I92" s="23">
        <v>0.7444854036</v>
      </c>
      <c r="J92" s="23">
        <v>0.3852296451</v>
      </c>
    </row>
    <row r="93">
      <c r="A93" s="12"/>
      <c r="B93" s="21">
        <f>IFERROR(__xludf.DUMMYFUNCTION("""COMPUTED_VALUE"""),-0.545140632876124)</f>
        <v>-0.5451406329</v>
      </c>
      <c r="C93" s="21">
        <f>IFERROR(__xludf.DUMMYFUNCTION("""COMPUTED_VALUE"""),0.0127001832622357)</f>
        <v>0.01270018326</v>
      </c>
      <c r="D93" s="21">
        <f>IFERROR(__xludf.DUMMYFUNCTION("""COMPUTED_VALUE"""),0.744485403652881)</f>
        <v>0.7444854037</v>
      </c>
      <c r="E93" s="21">
        <f>IFERROR(__xludf.DUMMYFUNCTION("""COMPUTED_VALUE"""),0.38522964512136)</f>
        <v>0.3852296451</v>
      </c>
      <c r="F93" s="21"/>
      <c r="G93" s="23">
        <v>-0.5451406329</v>
      </c>
      <c r="H93" s="23">
        <v>0.012700183200000001</v>
      </c>
      <c r="I93" s="23">
        <v>0.7444854036</v>
      </c>
      <c r="J93" s="23">
        <v>0.3852296451</v>
      </c>
    </row>
    <row r="94">
      <c r="A94" s="12"/>
      <c r="B94" s="21">
        <f>IFERROR(__xludf.DUMMYFUNCTION("""COMPUTED_VALUE"""),-0.543623640159346)</f>
        <v>-0.5436236402</v>
      </c>
      <c r="C94" s="21">
        <f>IFERROR(__xludf.DUMMYFUNCTION("""COMPUTED_VALUE"""),0.00977650559376796)</f>
        <v>0.009776505594</v>
      </c>
      <c r="D94" s="21">
        <f>IFERROR(__xludf.DUMMYFUNCTION("""COMPUTED_VALUE"""),0.744529536583649)</f>
        <v>0.7445295366</v>
      </c>
      <c r="E94" s="21">
        <f>IFERROR(__xludf.DUMMYFUNCTION("""COMPUTED_VALUE"""),0.387367431455991)</f>
        <v>0.3873674315</v>
      </c>
      <c r="F94" s="21"/>
      <c r="G94" s="23">
        <v>-0.5436236402</v>
      </c>
      <c r="H94" s="23">
        <v>0.009776505500000001</v>
      </c>
      <c r="I94" s="23">
        <v>0.7445295365</v>
      </c>
      <c r="J94" s="23">
        <v>0.3873674314</v>
      </c>
    </row>
    <row r="95">
      <c r="A95" s="12"/>
      <c r="B95" s="21">
        <f>IFERROR(__xludf.DUMMYFUNCTION("""COMPUTED_VALUE"""),-0.540695695433715)</f>
        <v>-0.5406956954</v>
      </c>
      <c r="C95" s="21">
        <f>IFERROR(__xludf.DUMMYFUNCTION("""COMPUTED_VALUE"""),0.0112976146019084)</f>
        <v>0.0112976146</v>
      </c>
      <c r="D95" s="21">
        <f>IFERROR(__xludf.DUMMYFUNCTION("""COMPUTED_VALUE"""),0.746658595293065)</f>
        <v>0.7466585953</v>
      </c>
      <c r="E95" s="21">
        <f>IFERROR(__xludf.DUMMYFUNCTION("""COMPUTED_VALUE"""),0.387326052465805)</f>
        <v>0.3873260525</v>
      </c>
      <c r="F95" s="21"/>
      <c r="G95" s="23">
        <v>-0.5406956955000001</v>
      </c>
      <c r="H95" s="23">
        <v>0.0112976146</v>
      </c>
      <c r="I95" s="23">
        <v>0.7466585952</v>
      </c>
      <c r="J95" s="23">
        <v>0.3873260524</v>
      </c>
    </row>
    <row r="96">
      <c r="A96" s="12"/>
      <c r="B96" s="21">
        <f>IFERROR(__xludf.DUMMYFUNCTION("""COMPUTED_VALUE"""),-0.540695695433715)</f>
        <v>-0.5406956954</v>
      </c>
      <c r="C96" s="21">
        <f>IFERROR(__xludf.DUMMYFUNCTION("""COMPUTED_VALUE"""),0.0112976146019084)</f>
        <v>0.0112976146</v>
      </c>
      <c r="D96" s="21">
        <f>IFERROR(__xludf.DUMMYFUNCTION("""COMPUTED_VALUE"""),0.746658595293065)</f>
        <v>0.7466585953</v>
      </c>
      <c r="E96" s="21">
        <f>IFERROR(__xludf.DUMMYFUNCTION("""COMPUTED_VALUE"""),0.387326052465805)</f>
        <v>0.3873260525</v>
      </c>
      <c r="F96" s="21"/>
      <c r="G96" s="23">
        <v>-0.5406956955000001</v>
      </c>
      <c r="H96" s="23">
        <v>0.0112976146</v>
      </c>
      <c r="I96" s="23">
        <v>0.7466585952</v>
      </c>
      <c r="J96" s="23">
        <v>0.3873260524</v>
      </c>
    </row>
    <row r="97">
      <c r="A97" s="12"/>
      <c r="B97" s="21">
        <f>IFERROR(__xludf.DUMMYFUNCTION("""COMPUTED_VALUE"""),-0.539170504439166)</f>
        <v>-0.5391705044</v>
      </c>
      <c r="C97" s="21">
        <f>IFERROR(__xludf.DUMMYFUNCTION("""COMPUTED_VALUE"""),0.00836541366668613)</f>
        <v>0.008365413667</v>
      </c>
      <c r="D97" s="21">
        <f>IFERROR(__xludf.DUMMYFUNCTION("""COMPUTED_VALUE"""),0.746697203607253)</f>
        <v>0.7466972036</v>
      </c>
      <c r="E97" s="21">
        <f>IFERROR(__xludf.DUMMYFUNCTION("""COMPUTED_VALUE"""),0.389446367452705)</f>
        <v>0.3894463675</v>
      </c>
      <c r="F97" s="21"/>
      <c r="G97" s="23">
        <v>-0.5391705045</v>
      </c>
      <c r="H97" s="23">
        <v>0.0083654136</v>
      </c>
      <c r="I97" s="23">
        <v>0.7466972036</v>
      </c>
      <c r="J97" s="23">
        <v>0.3894463674</v>
      </c>
    </row>
    <row r="98">
      <c r="A98" s="12"/>
      <c r="B98" s="21">
        <f>IFERROR(__xludf.DUMMYFUNCTION("""COMPUTED_VALUE"""),-0.539170504439166)</f>
        <v>-0.5391705044</v>
      </c>
      <c r="C98" s="21">
        <f>IFERROR(__xludf.DUMMYFUNCTION("""COMPUTED_VALUE"""),0.00836541366668613)</f>
        <v>0.008365413667</v>
      </c>
      <c r="D98" s="21">
        <f>IFERROR(__xludf.DUMMYFUNCTION("""COMPUTED_VALUE"""),0.746697203607253)</f>
        <v>0.7466972036</v>
      </c>
      <c r="E98" s="21">
        <f>IFERROR(__xludf.DUMMYFUNCTION("""COMPUTED_VALUE"""),0.389446367452705)</f>
        <v>0.3894463675</v>
      </c>
      <c r="F98" s="21"/>
      <c r="G98" s="23">
        <v>-0.5391705045</v>
      </c>
      <c r="H98" s="23">
        <v>0.0083654136</v>
      </c>
      <c r="I98" s="23">
        <v>0.7466972036</v>
      </c>
      <c r="J98" s="23">
        <v>0.3894463674</v>
      </c>
    </row>
    <row r="99">
      <c r="A99" s="12"/>
      <c r="B99" s="21">
        <f>IFERROR(__xludf.DUMMYFUNCTION("""COMPUTED_VALUE"""),-0.539170504439166)</f>
        <v>-0.5391705044</v>
      </c>
      <c r="C99" s="21">
        <f>IFERROR(__xludf.DUMMYFUNCTION("""COMPUTED_VALUE"""),0.00836541366668613)</f>
        <v>0.008365413667</v>
      </c>
      <c r="D99" s="21">
        <f>IFERROR(__xludf.DUMMYFUNCTION("""COMPUTED_VALUE"""),0.746697203607253)</f>
        <v>0.7466972036</v>
      </c>
      <c r="E99" s="21">
        <f>IFERROR(__xludf.DUMMYFUNCTION("""COMPUTED_VALUE"""),0.389446367452705)</f>
        <v>0.3894463675</v>
      </c>
      <c r="F99" s="21"/>
      <c r="G99" s="23">
        <v>-0.5391705045</v>
      </c>
      <c r="H99" s="23">
        <v>0.0083654136</v>
      </c>
      <c r="I99" s="23">
        <v>0.7466972036</v>
      </c>
      <c r="J99" s="23">
        <v>0.3894463674</v>
      </c>
    </row>
    <row r="100">
      <c r="A100" s="12"/>
      <c r="B100" s="21">
        <f>IFERROR(__xludf.DUMMYFUNCTION("""COMPUTED_VALUE"""),-0.536234081663599)</f>
        <v>-0.5362340817</v>
      </c>
      <c r="C100" s="21">
        <f>IFERROR(__xludf.DUMMYFUNCTION("""COMPUTED_VALUE"""),0.00989469749655948)</f>
        <v>0.009894697497</v>
      </c>
      <c r="D100" s="21">
        <f>IFERROR(__xludf.DUMMYFUNCTION("""COMPUTED_VALUE"""),0.748808758225004)</f>
        <v>0.7488087582</v>
      </c>
      <c r="E100" s="21">
        <f>IFERROR(__xludf.DUMMYFUNCTION("""COMPUTED_VALUE"""),0.38941051376327)</f>
        <v>0.3894105138</v>
      </c>
      <c r="F100" s="21"/>
      <c r="G100" s="23">
        <v>-0.5362340817</v>
      </c>
      <c r="H100" s="23">
        <v>0.009894697400000001</v>
      </c>
      <c r="I100" s="23">
        <v>0.7488087582</v>
      </c>
      <c r="J100" s="23">
        <v>0.3894105137</v>
      </c>
    </row>
    <row r="101">
      <c r="A101" s="12"/>
      <c r="B101" s="21">
        <f>IFERROR(__xludf.DUMMYFUNCTION("""COMPUTED_VALUE"""),-0.534700739431759)</f>
        <v>-0.5347007394</v>
      </c>
      <c r="C101" s="21">
        <f>IFERROR(__xludf.DUMMYFUNCTION("""COMPUTED_VALUE"""),0.00695406373055986)</f>
        <v>0.006954063731</v>
      </c>
      <c r="D101" s="21">
        <f>IFERROR(__xludf.DUMMYFUNCTION("""COMPUTED_VALUE"""),0.748841840731841)</f>
        <v>0.7488418407</v>
      </c>
      <c r="E101" s="21">
        <f>IFERROR(__xludf.DUMMYFUNCTION("""COMPUTED_VALUE"""),0.391513292006934)</f>
        <v>0.391513292</v>
      </c>
      <c r="F101" s="21"/>
      <c r="G101" s="23">
        <v>-0.5347007395</v>
      </c>
      <c r="H101" s="23">
        <v>0.006954063700000001</v>
      </c>
      <c r="I101" s="23">
        <v>0.7488418407</v>
      </c>
      <c r="J101" s="23">
        <v>0.391513292</v>
      </c>
    </row>
    <row r="102">
      <c r="A102" s="12"/>
      <c r="B102" s="21">
        <f>IFERROR(__xludf.DUMMYFUNCTION("""COMPUTED_VALUE"""),-0.534700739431759)</f>
        <v>-0.5347007394</v>
      </c>
      <c r="C102" s="21">
        <f>IFERROR(__xludf.DUMMYFUNCTION("""COMPUTED_VALUE"""),0.00695406373055986)</f>
        <v>0.006954063731</v>
      </c>
      <c r="D102" s="21">
        <f>IFERROR(__xludf.DUMMYFUNCTION("""COMPUTED_VALUE"""),0.748841840731841)</f>
        <v>0.7488418407</v>
      </c>
      <c r="E102" s="21">
        <f>IFERROR(__xludf.DUMMYFUNCTION("""COMPUTED_VALUE"""),0.391513292006934)</f>
        <v>0.391513292</v>
      </c>
      <c r="F102" s="21"/>
      <c r="G102" s="23">
        <v>-0.5347007395</v>
      </c>
      <c r="H102" s="23">
        <v>0.006954063700000001</v>
      </c>
      <c r="I102" s="23">
        <v>0.7488418407</v>
      </c>
      <c r="J102" s="23">
        <v>0.391513292</v>
      </c>
    </row>
    <row r="103">
      <c r="A103" s="12"/>
      <c r="B103" s="21">
        <f>IFERROR(__xludf.DUMMYFUNCTION("""COMPUTED_VALUE"""),-0.534700739431759)</f>
        <v>-0.5347007394</v>
      </c>
      <c r="C103" s="21">
        <f>IFERROR(__xludf.DUMMYFUNCTION("""COMPUTED_VALUE"""),0.00695406373055986)</f>
        <v>0.006954063731</v>
      </c>
      <c r="D103" s="21">
        <f>IFERROR(__xludf.DUMMYFUNCTION("""COMPUTED_VALUE"""),0.748841840731841)</f>
        <v>0.7488418407</v>
      </c>
      <c r="E103" s="21">
        <f>IFERROR(__xludf.DUMMYFUNCTION("""COMPUTED_VALUE"""),0.391513292006934)</f>
        <v>0.391513292</v>
      </c>
      <c r="F103" s="21"/>
      <c r="G103" s="23">
        <v>-0.5347007395</v>
      </c>
      <c r="H103" s="23">
        <v>0.006954063700000001</v>
      </c>
      <c r="I103" s="23">
        <v>0.7488418407</v>
      </c>
      <c r="J103" s="23">
        <v>0.391513292</v>
      </c>
    </row>
    <row r="104">
      <c r="A104" s="12"/>
      <c r="B104" s="21">
        <f>IFERROR(__xludf.DUMMYFUNCTION("""COMPUTED_VALUE"""),-0.534700739431759)</f>
        <v>-0.5347007394</v>
      </c>
      <c r="C104" s="21">
        <f>IFERROR(__xludf.DUMMYFUNCTION("""COMPUTED_VALUE"""),0.00695406373055986)</f>
        <v>0.006954063731</v>
      </c>
      <c r="D104" s="21">
        <f>IFERROR(__xludf.DUMMYFUNCTION("""COMPUTED_VALUE"""),0.748841840731841)</f>
        <v>0.7488418407</v>
      </c>
      <c r="E104" s="21">
        <f>IFERROR(__xludf.DUMMYFUNCTION("""COMPUTED_VALUE"""),0.391513292006934)</f>
        <v>0.391513292</v>
      </c>
      <c r="F104" s="21"/>
      <c r="G104" s="23">
        <v>-0.5347007395</v>
      </c>
      <c r="H104" s="23">
        <v>0.006954063700000001</v>
      </c>
      <c r="I104" s="23">
        <v>0.7488418407</v>
      </c>
      <c r="J104" s="23">
        <v>0.391513292</v>
      </c>
    </row>
    <row r="105">
      <c r="A105" s="12"/>
      <c r="B105" s="21">
        <f>IFERROR(__xludf.DUMMYFUNCTION("""COMPUTED_VALUE"""),-0.534700739431759)</f>
        <v>-0.5347007394</v>
      </c>
      <c r="C105" s="21">
        <f>IFERROR(__xludf.DUMMYFUNCTION("""COMPUTED_VALUE"""),0.00695406373055986)</f>
        <v>0.006954063731</v>
      </c>
      <c r="D105" s="21">
        <f>IFERROR(__xludf.DUMMYFUNCTION("""COMPUTED_VALUE"""),0.748841840731841)</f>
        <v>0.7488418407</v>
      </c>
      <c r="E105" s="21">
        <f>IFERROR(__xludf.DUMMYFUNCTION("""COMPUTED_VALUE"""),0.391513292006934)</f>
        <v>0.391513292</v>
      </c>
      <c r="F105" s="21"/>
      <c r="G105" s="23">
        <v>-0.5347007395</v>
      </c>
      <c r="H105" s="23">
        <v>0.006954063700000001</v>
      </c>
      <c r="I105" s="23">
        <v>0.7488418407</v>
      </c>
      <c r="J105" s="23">
        <v>0.391513292</v>
      </c>
    </row>
    <row r="106">
      <c r="A106" s="12"/>
      <c r="B106" s="21">
        <f>IFERROR(__xludf.DUMMYFUNCTION("""COMPUTED_VALUE"""),-0.534700739431759)</f>
        <v>-0.5347007394</v>
      </c>
      <c r="C106" s="21">
        <f>IFERROR(__xludf.DUMMYFUNCTION("""COMPUTED_VALUE"""),0.00695406373055986)</f>
        <v>0.006954063731</v>
      </c>
      <c r="D106" s="21">
        <f>IFERROR(__xludf.DUMMYFUNCTION("""COMPUTED_VALUE"""),0.748841840731841)</f>
        <v>0.7488418407</v>
      </c>
      <c r="E106" s="21">
        <f>IFERROR(__xludf.DUMMYFUNCTION("""COMPUTED_VALUE"""),0.391513292006934)</f>
        <v>0.391513292</v>
      </c>
      <c r="F106" s="21"/>
      <c r="G106" s="23">
        <v>-0.5347007395</v>
      </c>
      <c r="H106" s="23">
        <v>0.006954063700000001</v>
      </c>
      <c r="I106" s="23">
        <v>0.7488418407</v>
      </c>
      <c r="J106" s="23">
        <v>0.391513292</v>
      </c>
    </row>
    <row r="107">
      <c r="A107" s="12"/>
      <c r="B107" s="21">
        <f>IFERROR(__xludf.DUMMYFUNCTION("""COMPUTED_VALUE"""),-0.534700739431759)</f>
        <v>-0.5347007394</v>
      </c>
      <c r="C107" s="21">
        <f>IFERROR(__xludf.DUMMYFUNCTION("""COMPUTED_VALUE"""),0.00695406373055986)</f>
        <v>0.006954063731</v>
      </c>
      <c r="D107" s="21">
        <f>IFERROR(__xludf.DUMMYFUNCTION("""COMPUTED_VALUE"""),0.748841840731841)</f>
        <v>0.7488418407</v>
      </c>
      <c r="E107" s="21">
        <f>IFERROR(__xludf.DUMMYFUNCTION("""COMPUTED_VALUE"""),0.391513292006934)</f>
        <v>0.391513292</v>
      </c>
      <c r="F107" s="21"/>
      <c r="G107" s="23">
        <v>-0.5347007395</v>
      </c>
      <c r="H107" s="23">
        <v>0.006954063700000001</v>
      </c>
      <c r="I107" s="23">
        <v>0.7488418407</v>
      </c>
      <c r="J107" s="23">
        <v>0.391513292</v>
      </c>
    </row>
    <row r="108">
      <c r="A108" s="12"/>
      <c r="B108" s="21">
        <f>IFERROR(__xludf.DUMMYFUNCTION("""COMPUTED_VALUE"""),-0.534700739431759)</f>
        <v>-0.5347007394</v>
      </c>
      <c r="C108" s="21">
        <f>IFERROR(__xludf.DUMMYFUNCTION("""COMPUTED_VALUE"""),0.00695406373055986)</f>
        <v>0.006954063731</v>
      </c>
      <c r="D108" s="21">
        <f>IFERROR(__xludf.DUMMYFUNCTION("""COMPUTED_VALUE"""),0.748841840731841)</f>
        <v>0.7488418407</v>
      </c>
      <c r="E108" s="21">
        <f>IFERROR(__xludf.DUMMYFUNCTION("""COMPUTED_VALUE"""),0.391513292006934)</f>
        <v>0.391513292</v>
      </c>
      <c r="F108" s="21"/>
      <c r="G108" s="23">
        <v>-0.5347007395</v>
      </c>
      <c r="H108" s="23">
        <v>0.006954063700000001</v>
      </c>
      <c r="I108" s="23">
        <v>0.7488418407</v>
      </c>
      <c r="J108" s="23">
        <v>0.391513292</v>
      </c>
    </row>
    <row r="109">
      <c r="A109" s="12"/>
      <c r="B109" s="21">
        <f>IFERROR(__xludf.DUMMYFUNCTION("""COMPUTED_VALUE"""),-0.531755929172447)</f>
        <v>-0.5317559292</v>
      </c>
      <c r="C109" s="21">
        <f>IFERROR(__xludf.DUMMYFUNCTION("""COMPUTED_VALUE"""),0.00849147521545378)</f>
        <v>0.008491475215</v>
      </c>
      <c r="D109" s="21">
        <f>IFERROR(__xludf.DUMMYFUNCTION("""COMPUTED_VALUE"""),0.750935826132613)</f>
        <v>0.7509358261</v>
      </c>
      <c r="E109" s="21">
        <f>IFERROR(__xludf.DUMMYFUNCTION("""COMPUTED_VALUE"""),0.391482964724062)</f>
        <v>0.3914829647</v>
      </c>
      <c r="F109" s="21"/>
      <c r="G109" s="23">
        <v>-0.5317559292</v>
      </c>
      <c r="H109" s="23">
        <v>0.008491475200000001</v>
      </c>
      <c r="I109" s="23">
        <v>0.7509358261</v>
      </c>
      <c r="J109" s="23">
        <v>0.3914829647</v>
      </c>
    </row>
    <row r="110">
      <c r="A110" s="12"/>
      <c r="B110" s="21">
        <f>IFERROR(__xludf.DUMMYFUNCTION("""COMPUTED_VALUE"""),-0.531755929172447)</f>
        <v>-0.5317559292</v>
      </c>
      <c r="C110" s="21">
        <f>IFERROR(__xludf.DUMMYFUNCTION("""COMPUTED_VALUE"""),0.00849147521545378)</f>
        <v>0.008491475215</v>
      </c>
      <c r="D110" s="21">
        <f>IFERROR(__xludf.DUMMYFUNCTION("""COMPUTED_VALUE"""),0.750935826132613)</f>
        <v>0.7509358261</v>
      </c>
      <c r="E110" s="21">
        <f>IFERROR(__xludf.DUMMYFUNCTION("""COMPUTED_VALUE"""),0.391482964724062)</f>
        <v>0.3914829647</v>
      </c>
      <c r="F110" s="21"/>
      <c r="G110" s="23">
        <v>-0.5317559292</v>
      </c>
      <c r="H110" s="23">
        <v>0.008491475200000001</v>
      </c>
      <c r="I110" s="23">
        <v>0.7509358261</v>
      </c>
      <c r="J110" s="23">
        <v>0.3914829647</v>
      </c>
    </row>
    <row r="111">
      <c r="A111" s="12"/>
      <c r="B111" s="21">
        <f>IFERROR(__xludf.DUMMYFUNCTION("""COMPUTED_VALUE"""),-0.531755929172447)</f>
        <v>-0.5317559292</v>
      </c>
      <c r="C111" s="21">
        <f>IFERROR(__xludf.DUMMYFUNCTION("""COMPUTED_VALUE"""),0.00849147521545378)</f>
        <v>0.008491475215</v>
      </c>
      <c r="D111" s="21">
        <f>IFERROR(__xludf.DUMMYFUNCTION("""COMPUTED_VALUE"""),0.750935826132613)</f>
        <v>0.7509358261</v>
      </c>
      <c r="E111" s="21">
        <f>IFERROR(__xludf.DUMMYFUNCTION("""COMPUTED_VALUE"""),0.391482964724062)</f>
        <v>0.3914829647</v>
      </c>
      <c r="F111" s="21"/>
      <c r="G111" s="23">
        <v>-0.5317559292</v>
      </c>
      <c r="H111" s="23">
        <v>0.008491475200000001</v>
      </c>
      <c r="I111" s="23">
        <v>0.7509358261</v>
      </c>
      <c r="J111" s="23">
        <v>0.3914829647</v>
      </c>
    </row>
    <row r="112">
      <c r="A112" s="12"/>
      <c r="B112" s="21">
        <f>IFERROR(__xludf.DUMMYFUNCTION("""COMPUTED_VALUE"""),-0.531755929172447)</f>
        <v>-0.5317559292</v>
      </c>
      <c r="C112" s="21">
        <f>IFERROR(__xludf.DUMMYFUNCTION("""COMPUTED_VALUE"""),0.00849147521545378)</f>
        <v>0.008491475215</v>
      </c>
      <c r="D112" s="21">
        <f>IFERROR(__xludf.DUMMYFUNCTION("""COMPUTED_VALUE"""),0.750935826132613)</f>
        <v>0.7509358261</v>
      </c>
      <c r="E112" s="21">
        <f>IFERROR(__xludf.DUMMYFUNCTION("""COMPUTED_VALUE"""),0.391482964724062)</f>
        <v>0.3914829647</v>
      </c>
      <c r="F112" s="21"/>
      <c r="G112" s="23">
        <v>-0.5317559292</v>
      </c>
      <c r="H112" s="23">
        <v>0.008491475200000001</v>
      </c>
      <c r="I112" s="23">
        <v>0.7509358261</v>
      </c>
      <c r="J112" s="23">
        <v>0.3914829647</v>
      </c>
    </row>
    <row r="113">
      <c r="A113" s="12"/>
      <c r="B113" s="21">
        <f>IFERROR(__xludf.DUMMYFUNCTION("""COMPUTED_VALUE"""),-0.531755929172447)</f>
        <v>-0.5317559292</v>
      </c>
      <c r="C113" s="21">
        <f>IFERROR(__xludf.DUMMYFUNCTION("""COMPUTED_VALUE"""),0.00849147521545378)</f>
        <v>0.008491475215</v>
      </c>
      <c r="D113" s="21">
        <f>IFERROR(__xludf.DUMMYFUNCTION("""COMPUTED_VALUE"""),0.750935826132613)</f>
        <v>0.7509358261</v>
      </c>
      <c r="E113" s="21">
        <f>IFERROR(__xludf.DUMMYFUNCTION("""COMPUTED_VALUE"""),0.391482964724062)</f>
        <v>0.3914829647</v>
      </c>
      <c r="F113" s="21"/>
      <c r="G113" s="23">
        <v>-0.5317559292</v>
      </c>
      <c r="H113" s="23">
        <v>0.008491475200000001</v>
      </c>
      <c r="I113" s="23">
        <v>0.7509358261</v>
      </c>
      <c r="J113" s="23">
        <v>0.3914829647</v>
      </c>
    </row>
    <row r="114">
      <c r="A114" s="12"/>
      <c r="B114" s="21">
        <f>IFERROR(__xludf.DUMMYFUNCTION("""COMPUTED_VALUE"""),-0.527261637974098)</f>
        <v>-0.527261638</v>
      </c>
      <c r="C114" s="21">
        <f>IFERROR(__xludf.DUMMYFUNCTION("""COMPUTED_VALUE"""),0.00707159043299327)</f>
        <v>0.007071590433</v>
      </c>
      <c r="D114" s="21">
        <f>IFERROR(__xludf.DUMMYFUNCTION("""COMPUTED_VALUE"""),0.75305180766805)</f>
        <v>0.7530518077</v>
      </c>
      <c r="E114" s="21">
        <f>IFERROR(__xludf.DUMMYFUNCTION("""COMPUTED_VALUE"""),0.393520180800807)</f>
        <v>0.3935201808</v>
      </c>
      <c r="F114" s="21"/>
      <c r="G114" s="23">
        <v>-0.527261638</v>
      </c>
      <c r="H114" s="23">
        <v>0.0070715904</v>
      </c>
      <c r="I114" s="23">
        <v>0.7530518076</v>
      </c>
      <c r="J114" s="23">
        <v>0.3935201808</v>
      </c>
    </row>
    <row r="115">
      <c r="A115" s="12"/>
      <c r="B115" s="21">
        <f>IFERROR(__xludf.DUMMYFUNCTION("""COMPUTED_VALUE"""),-0.527261637974098)</f>
        <v>-0.527261638</v>
      </c>
      <c r="C115" s="21">
        <f>IFERROR(__xludf.DUMMYFUNCTION("""COMPUTED_VALUE"""),0.00707159043299327)</f>
        <v>0.007071590433</v>
      </c>
      <c r="D115" s="21">
        <f>IFERROR(__xludf.DUMMYFUNCTION("""COMPUTED_VALUE"""),0.75305180766805)</f>
        <v>0.7530518077</v>
      </c>
      <c r="E115" s="21">
        <f>IFERROR(__xludf.DUMMYFUNCTION("""COMPUTED_VALUE"""),0.393520180800807)</f>
        <v>0.3935201808</v>
      </c>
      <c r="F115" s="21"/>
      <c r="G115" s="23">
        <v>-0.527261638</v>
      </c>
      <c r="H115" s="23">
        <v>0.0070715904</v>
      </c>
      <c r="I115" s="23">
        <v>0.7530518076</v>
      </c>
      <c r="J115" s="23">
        <v>0.3935201808</v>
      </c>
    </row>
    <row r="116">
      <c r="A116" s="12"/>
      <c r="B116" s="21">
        <f>IFERROR(__xludf.DUMMYFUNCTION("""COMPUTED_VALUE"""),-0.527261637974098)</f>
        <v>-0.527261638</v>
      </c>
      <c r="C116" s="21">
        <f>IFERROR(__xludf.DUMMYFUNCTION("""COMPUTED_VALUE"""),0.00707159043299327)</f>
        <v>0.007071590433</v>
      </c>
      <c r="D116" s="21">
        <f>IFERROR(__xludf.DUMMYFUNCTION("""COMPUTED_VALUE"""),0.75305180766805)</f>
        <v>0.7530518077</v>
      </c>
      <c r="E116" s="21">
        <f>IFERROR(__xludf.DUMMYFUNCTION("""COMPUTED_VALUE"""),0.393520180800807)</f>
        <v>0.3935201808</v>
      </c>
      <c r="F116" s="21"/>
      <c r="G116" s="23">
        <v>-0.527261638</v>
      </c>
      <c r="H116" s="23">
        <v>0.0070715904</v>
      </c>
      <c r="I116" s="23">
        <v>0.7530518076</v>
      </c>
      <c r="J116" s="23">
        <v>0.3935201808</v>
      </c>
    </row>
    <row r="117">
      <c r="A117" s="12"/>
      <c r="B117" s="21">
        <f>IFERROR(__xludf.DUMMYFUNCTION("""COMPUTED_VALUE"""),-0.527261637974098)</f>
        <v>-0.527261638</v>
      </c>
      <c r="C117" s="21">
        <f>IFERROR(__xludf.DUMMYFUNCTION("""COMPUTED_VALUE"""),0.00707159043299327)</f>
        <v>0.007071590433</v>
      </c>
      <c r="D117" s="21">
        <f>IFERROR(__xludf.DUMMYFUNCTION("""COMPUTED_VALUE"""),0.75305180766805)</f>
        <v>0.7530518077</v>
      </c>
      <c r="E117" s="21">
        <f>IFERROR(__xludf.DUMMYFUNCTION("""COMPUTED_VALUE"""),0.393520180800807)</f>
        <v>0.3935201808</v>
      </c>
      <c r="F117" s="21"/>
      <c r="G117" s="23">
        <v>-0.527261638</v>
      </c>
      <c r="H117" s="23">
        <v>0.0070715904</v>
      </c>
      <c r="I117" s="23">
        <v>0.7530518076</v>
      </c>
      <c r="J117" s="23">
        <v>0.3935201808</v>
      </c>
    </row>
    <row r="118">
      <c r="A118" s="12"/>
      <c r="B118" s="21">
        <f>IFERROR(__xludf.DUMMYFUNCTION("""COMPUTED_VALUE"""),-0.527261637974098)</f>
        <v>-0.527261638</v>
      </c>
      <c r="C118" s="21">
        <f>IFERROR(__xludf.DUMMYFUNCTION("""COMPUTED_VALUE"""),0.00707159043299327)</f>
        <v>0.007071590433</v>
      </c>
      <c r="D118" s="21">
        <f>IFERROR(__xludf.DUMMYFUNCTION("""COMPUTED_VALUE"""),0.75305180766805)</f>
        <v>0.7530518077</v>
      </c>
      <c r="E118" s="21">
        <f>IFERROR(__xludf.DUMMYFUNCTION("""COMPUTED_VALUE"""),0.393520180800807)</f>
        <v>0.3935201808</v>
      </c>
      <c r="F118" s="21"/>
      <c r="G118" s="23">
        <v>-0.527261638</v>
      </c>
      <c r="H118" s="23">
        <v>0.0070715904</v>
      </c>
      <c r="I118" s="23">
        <v>0.7530518076</v>
      </c>
      <c r="J118" s="23">
        <v>0.3935201808</v>
      </c>
    </row>
    <row r="119">
      <c r="A119" s="12"/>
      <c r="B119" s="21">
        <f>IFERROR(__xludf.DUMMYFUNCTION("""COMPUTED_VALUE"""),-0.527261637974098)</f>
        <v>-0.527261638</v>
      </c>
      <c r="C119" s="21">
        <f>IFERROR(__xludf.DUMMYFUNCTION("""COMPUTED_VALUE"""),0.00707159043299327)</f>
        <v>0.007071590433</v>
      </c>
      <c r="D119" s="21">
        <f>IFERROR(__xludf.DUMMYFUNCTION("""COMPUTED_VALUE"""),0.75305180766805)</f>
        <v>0.7530518077</v>
      </c>
      <c r="E119" s="21">
        <f>IFERROR(__xludf.DUMMYFUNCTION("""COMPUTED_VALUE"""),0.393520180800807)</f>
        <v>0.3935201808</v>
      </c>
      <c r="F119" s="21"/>
      <c r="G119" s="23">
        <v>-0.527261638</v>
      </c>
      <c r="H119" s="23">
        <v>0.0070715904</v>
      </c>
      <c r="I119" s="23">
        <v>0.7530518076</v>
      </c>
      <c r="J119" s="23">
        <v>0.3935201808</v>
      </c>
    </row>
    <row r="120">
      <c r="A120" s="12"/>
      <c r="B120" s="21">
        <f>IFERROR(__xludf.DUMMYFUNCTION("""COMPUTED_VALUE"""),-0.525712226342588)</f>
        <v>-0.5257122263</v>
      </c>
      <c r="C120" s="21">
        <f>IFERROR(__xludf.DUMMYFUNCTION("""COMPUTED_VALUE"""),0.00411431606201737)</f>
        <v>0.004114316062</v>
      </c>
      <c r="D120" s="21">
        <f>IFERROR(__xludf.DUMMYFUNCTION("""COMPUTED_VALUE"""),0.753073771171664)</f>
        <v>0.7530737712</v>
      </c>
      <c r="E120" s="21">
        <f>IFERROR(__xludf.DUMMYFUNCTION("""COMPUTED_VALUE"""),0.395587692744034)</f>
        <v>0.3955876927</v>
      </c>
      <c r="F120" s="21"/>
      <c r="G120" s="23">
        <v>-0.5257122264</v>
      </c>
      <c r="H120" s="23">
        <v>0.004114316</v>
      </c>
      <c r="I120" s="23">
        <v>0.7530737711000001</v>
      </c>
      <c r="J120" s="23">
        <v>0.3955876927</v>
      </c>
    </row>
    <row r="121">
      <c r="A121" s="12"/>
      <c r="B121" s="21">
        <f>IFERROR(__xludf.DUMMYFUNCTION("""COMPUTED_VALUE"""),-0.525712226342588)</f>
        <v>-0.5257122263</v>
      </c>
      <c r="C121" s="21">
        <f>IFERROR(__xludf.DUMMYFUNCTION("""COMPUTED_VALUE"""),0.00411431606201737)</f>
        <v>0.004114316062</v>
      </c>
      <c r="D121" s="21">
        <f>IFERROR(__xludf.DUMMYFUNCTION("""COMPUTED_VALUE"""),0.753073771171664)</f>
        <v>0.7530737712</v>
      </c>
      <c r="E121" s="21">
        <f>IFERROR(__xludf.DUMMYFUNCTION("""COMPUTED_VALUE"""),0.395587692744034)</f>
        <v>0.3955876927</v>
      </c>
      <c r="F121" s="21"/>
      <c r="G121" s="23">
        <v>-0.5257122264</v>
      </c>
      <c r="H121" s="23">
        <v>0.004114316</v>
      </c>
      <c r="I121" s="23">
        <v>0.7530737711000001</v>
      </c>
      <c r="J121" s="23">
        <v>0.3955876927</v>
      </c>
    </row>
    <row r="122">
      <c r="A122" s="12"/>
      <c r="B122" s="21">
        <f>IFERROR(__xludf.DUMMYFUNCTION("""COMPUTED_VALUE"""),-0.521193319282101)</f>
        <v>-0.5211933193</v>
      </c>
      <c r="C122" s="21">
        <f>IFERROR(__xludf.DUMMYFUNCTION("""COMPUTED_VALUE"""),0.00271852964283869)</f>
        <v>0.002718529643</v>
      </c>
      <c r="D122" s="21">
        <f>IFERROR(__xludf.DUMMYFUNCTION("""COMPUTED_VALUE"""),0.755136659974422)</f>
        <v>0.75513666</v>
      </c>
      <c r="E122" s="21">
        <f>IFERROR(__xludf.DUMMYFUNCTION("""COMPUTED_VALUE"""),0.397641494684545)</f>
        <v>0.3976414947</v>
      </c>
      <c r="F122" s="21"/>
      <c r="G122" s="23">
        <v>-0.5211933193</v>
      </c>
      <c r="H122" s="23">
        <v>0.0027185296</v>
      </c>
      <c r="I122" s="23">
        <v>0.7551366599</v>
      </c>
      <c r="J122" s="23">
        <v>0.39764149460000003</v>
      </c>
    </row>
    <row r="123">
      <c r="A123" s="12"/>
      <c r="B123" s="21">
        <f>IFERROR(__xludf.DUMMYFUNCTION("""COMPUTED_VALUE"""),-0.519627770121382)</f>
        <v>-0.5196277701</v>
      </c>
      <c r="C123" s="21">
        <f>IFERROR(__xludf.DUMMYFUNCTION("""COMPUTED_VALUE"""),-2.4689833792323E-4)</f>
        <v>-0.0002468983379</v>
      </c>
      <c r="D123" s="21">
        <f>IFERROR(__xludf.DUMMYFUNCTION("""COMPUTED_VALUE"""),0.755141513017233)</f>
        <v>0.755141513</v>
      </c>
      <c r="E123" s="21">
        <f>IFERROR(__xludf.DUMMYFUNCTION("""COMPUTED_VALUE"""),0.399685144680076)</f>
        <v>0.3996851447</v>
      </c>
      <c r="F123" s="21"/>
      <c r="G123" s="23">
        <v>-0.5196277702000001</v>
      </c>
      <c r="H123" s="23">
        <v>-2.4689840000000003E-4</v>
      </c>
      <c r="I123" s="23">
        <v>0.755141513</v>
      </c>
      <c r="J123" s="23">
        <v>0.39968514460000004</v>
      </c>
    </row>
    <row r="124">
      <c r="A124" s="12"/>
      <c r="B124" s="21">
        <f>IFERROR(__xludf.DUMMYFUNCTION("""COMPUTED_VALUE"""),-0.516658337393085)</f>
        <v>-0.5166583374</v>
      </c>
      <c r="C124" s="21">
        <f>IFERROR(__xludf.DUMMYFUNCTION("""COMPUTED_VALUE"""),0.00132265937780811)</f>
        <v>0.001322659378</v>
      </c>
      <c r="D124" s="21">
        <f>IFERROR(__xludf.DUMMYFUNCTION("""COMPUTED_VALUE"""),0.757176258585469)</f>
        <v>0.7571762586</v>
      </c>
      <c r="E124" s="21">
        <f>IFERROR(__xludf.DUMMYFUNCTION("""COMPUTED_VALUE"""),0.399683032425562)</f>
        <v>0.3996830324</v>
      </c>
      <c r="F124" s="21"/>
      <c r="G124" s="23">
        <v>-0.5166583374</v>
      </c>
      <c r="H124" s="23">
        <v>0.0013226593</v>
      </c>
      <c r="I124" s="23">
        <v>0.7571762585</v>
      </c>
      <c r="J124" s="23">
        <v>0.3996830324</v>
      </c>
      <c r="K124" s="24" t="s">
        <v>180</v>
      </c>
      <c r="L124" s="16" t="s">
        <v>181</v>
      </c>
    </row>
    <row r="125">
      <c r="A125" s="12"/>
      <c r="B125" s="21">
        <f>IFERROR(__xludf.DUMMYFUNCTION("""COMPUTED_VALUE"""),-0.516658337393085)</f>
        <v>-0.5166583374</v>
      </c>
      <c r="C125" s="21">
        <f>IFERROR(__xludf.DUMMYFUNCTION("""COMPUTED_VALUE"""),0.00132265937780811)</f>
        <v>0.001322659378</v>
      </c>
      <c r="D125" s="21">
        <f>IFERROR(__xludf.DUMMYFUNCTION("""COMPUTED_VALUE"""),0.757176258585469)</f>
        <v>0.7571762586</v>
      </c>
      <c r="E125" s="21">
        <f>IFERROR(__xludf.DUMMYFUNCTION("""COMPUTED_VALUE"""),0.399683032425562)</f>
        <v>0.3996830324</v>
      </c>
      <c r="F125" s="21"/>
      <c r="G125" s="23">
        <v>-0.5166583374</v>
      </c>
      <c r="H125" s="23">
        <v>0.0013226593</v>
      </c>
      <c r="I125" s="23">
        <v>0.7571762585</v>
      </c>
      <c r="J125" s="23">
        <v>0.3996830324</v>
      </c>
    </row>
    <row r="126">
      <c r="A126" s="12"/>
      <c r="B126" s="21">
        <f>IFERROR(__xludf.DUMMYFUNCTION("""COMPUTED_VALUE"""),-0.516658337393085)</f>
        <v>-0.5166583374</v>
      </c>
      <c r="C126" s="21">
        <f>IFERROR(__xludf.DUMMYFUNCTION("""COMPUTED_VALUE"""),0.00132265937780811)</f>
        <v>0.001322659378</v>
      </c>
      <c r="D126" s="21">
        <f>IFERROR(__xludf.DUMMYFUNCTION("""COMPUTED_VALUE"""),0.757176258585469)</f>
        <v>0.7571762586</v>
      </c>
      <c r="E126" s="21">
        <f>IFERROR(__xludf.DUMMYFUNCTION("""COMPUTED_VALUE"""),0.399683032425562)</f>
        <v>0.3996830324</v>
      </c>
      <c r="F126" s="21"/>
      <c r="G126" s="23">
        <v>-0.5166583374</v>
      </c>
      <c r="H126" s="23">
        <v>0.0013226593</v>
      </c>
      <c r="I126" s="23">
        <v>0.7571762585</v>
      </c>
      <c r="J126" s="23">
        <v>0.3996830324</v>
      </c>
    </row>
    <row r="127">
      <c r="A127" s="12"/>
      <c r="B127" s="21">
        <f>IFERROR(__xludf.DUMMYFUNCTION("""COMPUTED_VALUE"""),-0.513680937154563)</f>
        <v>-0.5136809372</v>
      </c>
      <c r="C127" s="21">
        <f>IFERROR(__xludf.DUMMYFUNCTION("""COMPUTED_VALUE"""),0.00289219669649688)</f>
        <v>0.002892196696</v>
      </c>
      <c r="D127" s="21">
        <f>IFERROR(__xludf.DUMMYFUNCTION("""COMPUTED_VALUE"""),0.759199327559821)</f>
        <v>0.7591993276</v>
      </c>
      <c r="E127" s="21">
        <f>IFERROR(__xludf.DUMMYFUNCTION("""COMPUTED_VALUE"""),0.399674756564624)</f>
        <v>0.3996747566</v>
      </c>
      <c r="F127" s="21"/>
      <c r="G127" s="23">
        <v>-0.5136809372</v>
      </c>
      <c r="H127" s="23">
        <v>0.0028921966000000003</v>
      </c>
      <c r="I127" s="23">
        <v>0.7591993275000001</v>
      </c>
      <c r="J127" s="23">
        <v>0.3996747565</v>
      </c>
    </row>
    <row r="128">
      <c r="A128" s="12"/>
      <c r="B128" s="21">
        <f>IFERROR(__xludf.DUMMYFUNCTION("""COMPUTED_VALUE"""),-0.513680937154563)</f>
        <v>-0.5136809372</v>
      </c>
      <c r="C128" s="21">
        <f>IFERROR(__xludf.DUMMYFUNCTION("""COMPUTED_VALUE"""),0.00289219669649688)</f>
        <v>0.002892196696</v>
      </c>
      <c r="D128" s="21">
        <f>IFERROR(__xludf.DUMMYFUNCTION("""COMPUTED_VALUE"""),0.759199327559821)</f>
        <v>0.7591993276</v>
      </c>
      <c r="E128" s="21">
        <f>IFERROR(__xludf.DUMMYFUNCTION("""COMPUTED_VALUE"""),0.399674756564624)</f>
        <v>0.3996747566</v>
      </c>
      <c r="F128" s="21"/>
      <c r="G128" s="23">
        <v>-0.5136809372</v>
      </c>
      <c r="H128" s="23">
        <v>0.0028921966000000003</v>
      </c>
      <c r="I128" s="23">
        <v>0.7591993275000001</v>
      </c>
      <c r="J128" s="23">
        <v>0.3996747565</v>
      </c>
    </row>
    <row r="129">
      <c r="A129" s="12"/>
      <c r="B129" s="21">
        <f>IFERROR(__xludf.DUMMYFUNCTION("""COMPUTED_VALUE"""),-0.510695615321009)</f>
        <v>-0.5106956153</v>
      </c>
      <c r="C129" s="21">
        <f>IFERROR(__xludf.DUMMYFUNCTION("""COMPUTED_VALUE"""),0.00446168941393742)</f>
        <v>0.004461689414</v>
      </c>
      <c r="D129" s="21">
        <f>IFERROR(__xludf.DUMMYFUNCTION("""COMPUTED_VALUE"""),0.761210688742067)</f>
        <v>0.7612106887</v>
      </c>
      <c r="E129" s="21">
        <f>IFERROR(__xludf.DUMMYFUNCTION("""COMPUTED_VALUE"""),0.399660317224885)</f>
        <v>0.3996603172</v>
      </c>
      <c r="F129" s="21"/>
      <c r="G129" s="23">
        <v>-0.5106956154</v>
      </c>
      <c r="H129" s="23">
        <v>0.004461689400000001</v>
      </c>
      <c r="I129" s="23">
        <v>0.7612106887000001</v>
      </c>
      <c r="J129" s="23">
        <v>0.3996603172</v>
      </c>
    </row>
    <row r="130">
      <c r="A130" s="12"/>
      <c r="B130" s="21">
        <f>IFERROR(__xludf.DUMMYFUNCTION("""COMPUTED_VALUE"""),-0.510695615321009)</f>
        <v>-0.5106956153</v>
      </c>
      <c r="C130" s="21">
        <f>IFERROR(__xludf.DUMMYFUNCTION("""COMPUTED_VALUE"""),0.00446168941393742)</f>
        <v>0.004461689414</v>
      </c>
      <c r="D130" s="21">
        <f>IFERROR(__xludf.DUMMYFUNCTION("""COMPUTED_VALUE"""),0.761210688742067)</f>
        <v>0.7612106887</v>
      </c>
      <c r="E130" s="21">
        <f>IFERROR(__xludf.DUMMYFUNCTION("""COMPUTED_VALUE"""),0.399660317224885)</f>
        <v>0.3996603172</v>
      </c>
      <c r="F130" s="21"/>
      <c r="G130" s="23">
        <v>-0.5106956154</v>
      </c>
      <c r="H130" s="23">
        <v>0.004461689400000001</v>
      </c>
      <c r="I130" s="23">
        <v>0.7612106887000001</v>
      </c>
      <c r="J130" s="23">
        <v>0.3996603172</v>
      </c>
    </row>
    <row r="131">
      <c r="A131" s="12"/>
      <c r="B131" s="21">
        <f>IFERROR(__xludf.DUMMYFUNCTION("""COMPUTED_VALUE"""),-0.507702417929775)</f>
        <v>-0.5077024179</v>
      </c>
      <c r="C131" s="21">
        <f>IFERROR(__xludf.DUMMYFUNCTION("""COMPUTED_VALUE"""),0.00603111332661194)</f>
        <v>0.006031113327</v>
      </c>
      <c r="D131" s="21">
        <f>IFERROR(__xludf.DUMMYFUNCTION("""COMPUTED_VALUE"""),0.763210311114528)</f>
        <v>0.7632103111</v>
      </c>
      <c r="E131" s="21">
        <f>IFERROR(__xludf.DUMMYFUNCTION("""COMPUTED_VALUE"""),0.399639714629019)</f>
        <v>0.3996397146</v>
      </c>
      <c r="F131" s="21"/>
      <c r="G131" s="23">
        <v>-0.507702418</v>
      </c>
      <c r="H131" s="23">
        <v>0.0060311133</v>
      </c>
      <c r="I131" s="23">
        <v>0.7632103111</v>
      </c>
      <c r="J131" s="23">
        <v>0.39963971460000003</v>
      </c>
    </row>
    <row r="132">
      <c r="A132" s="12"/>
      <c r="B132" s="21">
        <f>IFERROR(__xludf.DUMMYFUNCTION("""COMPUTED_VALUE"""),-0.507702417929775)</f>
        <v>-0.5077024179</v>
      </c>
      <c r="C132" s="21">
        <f>IFERROR(__xludf.DUMMYFUNCTION("""COMPUTED_VALUE"""),0.00603111332661194)</f>
        <v>0.006031113327</v>
      </c>
      <c r="D132" s="21">
        <f>IFERROR(__xludf.DUMMYFUNCTION("""COMPUTED_VALUE"""),0.763210311114528)</f>
        <v>0.7632103111</v>
      </c>
      <c r="E132" s="21">
        <f>IFERROR(__xludf.DUMMYFUNCTION("""COMPUTED_VALUE"""),0.399639714629019)</f>
        <v>0.3996397146</v>
      </c>
      <c r="F132" s="21"/>
      <c r="G132" s="23">
        <v>-0.507702418</v>
      </c>
      <c r="H132" s="23">
        <v>0.0060311133</v>
      </c>
      <c r="I132" s="23">
        <v>0.7632103111</v>
      </c>
      <c r="J132" s="23">
        <v>0.39963971460000003</v>
      </c>
    </row>
    <row r="133">
      <c r="A133" s="12"/>
      <c r="B133" s="21">
        <f>IFERROR(__xludf.DUMMYFUNCTION("""COMPUTED_VALUE"""),-0.507702417929775)</f>
        <v>-0.5077024179</v>
      </c>
      <c r="C133" s="21">
        <f>IFERROR(__xludf.DUMMYFUNCTION("""COMPUTED_VALUE"""),0.00603111332661194)</f>
        <v>0.006031113327</v>
      </c>
      <c r="D133" s="21">
        <f>IFERROR(__xludf.DUMMYFUNCTION("""COMPUTED_VALUE"""),0.763210311114528)</f>
        <v>0.7632103111</v>
      </c>
      <c r="E133" s="21">
        <f>IFERROR(__xludf.DUMMYFUNCTION("""COMPUTED_VALUE"""),0.399639714629019)</f>
        <v>0.3996397146</v>
      </c>
      <c r="F133" s="21"/>
      <c r="G133" s="23">
        <v>-0.507702418</v>
      </c>
      <c r="H133" s="23">
        <v>0.0060311133</v>
      </c>
      <c r="I133" s="23">
        <v>0.7632103111</v>
      </c>
      <c r="J133" s="23">
        <v>0.39963971460000003</v>
      </c>
    </row>
    <row r="134">
      <c r="A134" s="12"/>
      <c r="B134" s="21">
        <f>IFERROR(__xludf.DUMMYFUNCTION("""COMPUTED_VALUE"""),-0.507702417929775)</f>
        <v>-0.5077024179</v>
      </c>
      <c r="C134" s="21">
        <f>IFERROR(__xludf.DUMMYFUNCTION("""COMPUTED_VALUE"""),0.00603111332661194)</f>
        <v>0.006031113327</v>
      </c>
      <c r="D134" s="21">
        <f>IFERROR(__xludf.DUMMYFUNCTION("""COMPUTED_VALUE"""),0.763210311114528)</f>
        <v>0.7632103111</v>
      </c>
      <c r="E134" s="21">
        <f>IFERROR(__xludf.DUMMYFUNCTION("""COMPUTED_VALUE"""),0.399639714629019)</f>
        <v>0.3996397146</v>
      </c>
      <c r="F134" s="21"/>
      <c r="G134" s="23">
        <v>-0.507702418</v>
      </c>
      <c r="H134" s="23">
        <v>0.0060311133</v>
      </c>
      <c r="I134" s="23">
        <v>0.7632103111</v>
      </c>
      <c r="J134" s="23">
        <v>0.39963971460000003</v>
      </c>
    </row>
    <row r="135">
      <c r="A135" s="12"/>
      <c r="B135" s="21">
        <f>IFERROR(__xludf.DUMMYFUNCTION("""COMPUTED_VALUE"""),-0.504701391139666)</f>
        <v>-0.5047013911</v>
      </c>
      <c r="C135" s="21">
        <f>IFERROR(__xludf.DUMMYFUNCTION("""COMPUTED_VALUE"""),0.00760044423206366)</f>
        <v>0.007600444232</v>
      </c>
      <c r="D135" s="21">
        <f>IFERROR(__xludf.DUMMYFUNCTION("""COMPUTED_VALUE"""),0.765198163840558)</f>
        <v>0.7651981638</v>
      </c>
      <c r="E135" s="21">
        <f>IFERROR(__xludf.DUMMYFUNCTION("""COMPUTED_VALUE"""),0.399612949094743)</f>
        <v>0.3996129491</v>
      </c>
      <c r="F135" s="21"/>
      <c r="G135" s="23">
        <v>-0.5047013912</v>
      </c>
      <c r="H135" s="23">
        <v>0.0076004442000000005</v>
      </c>
      <c r="I135" s="23">
        <v>0.7651981638</v>
      </c>
      <c r="J135" s="23">
        <v>0.399612949</v>
      </c>
    </row>
    <row r="136">
      <c r="A136" s="12"/>
      <c r="B136" s="21">
        <f>IFERROR(__xludf.DUMMYFUNCTION("""COMPUTED_VALUE"""),-0.504701391139666)</f>
        <v>-0.5047013911</v>
      </c>
      <c r="C136" s="21">
        <f>IFERROR(__xludf.DUMMYFUNCTION("""COMPUTED_VALUE"""),0.00760044423206366)</f>
        <v>0.007600444232</v>
      </c>
      <c r="D136" s="21">
        <f>IFERROR(__xludf.DUMMYFUNCTION("""COMPUTED_VALUE"""),0.765198163840558)</f>
        <v>0.7651981638</v>
      </c>
      <c r="E136" s="21">
        <f>IFERROR(__xludf.DUMMYFUNCTION("""COMPUTED_VALUE"""),0.399612949094743)</f>
        <v>0.3996129491</v>
      </c>
      <c r="F136" s="21"/>
      <c r="G136" s="23">
        <v>-0.5047013912</v>
      </c>
      <c r="H136" s="23">
        <v>0.0076004442000000005</v>
      </c>
      <c r="I136" s="23">
        <v>0.7651981638</v>
      </c>
      <c r="J136" s="23">
        <v>0.399612949</v>
      </c>
    </row>
    <row r="137">
      <c r="A137" s="12"/>
      <c r="B137" s="21">
        <f>IFERROR(__xludf.DUMMYFUNCTION("""COMPUTED_VALUE"""),-0.501692581230224)</f>
        <v>-0.5016925812</v>
      </c>
      <c r="C137" s="21">
        <f>IFERROR(__xludf.DUMMYFUNCTION("""COMPUTED_VALUE"""),0.0091696579292701)</f>
        <v>0.009169657929</v>
      </c>
      <c r="D137" s="21">
        <f>IFERROR(__xludf.DUMMYFUNCTION("""COMPUTED_VALUE"""),0.767174216265009)</f>
        <v>0.7671742163</v>
      </c>
      <c r="E137" s="21">
        <f>IFERROR(__xludf.DUMMYFUNCTION("""COMPUTED_VALUE"""),0.399580021034814)</f>
        <v>0.399580021</v>
      </c>
      <c r="F137" s="21"/>
      <c r="G137" s="23">
        <v>-0.5016925813</v>
      </c>
      <c r="H137" s="23">
        <v>0.009169657900000001</v>
      </c>
      <c r="I137" s="23">
        <v>0.7671742162</v>
      </c>
      <c r="J137" s="23">
        <v>0.399580021</v>
      </c>
    </row>
    <row r="138">
      <c r="A138" s="12"/>
      <c r="B138" s="21">
        <f>IFERROR(__xludf.DUMMYFUNCTION("""COMPUTED_VALUE"""),-0.498676034601016)</f>
        <v>-0.4986760346</v>
      </c>
      <c r="C138" s="21">
        <f>IFERROR(__xludf.DUMMYFUNCTION("""COMPUTED_VALUE"""),0.0107387302190162)</f>
        <v>0.01073873022</v>
      </c>
      <c r="D138" s="21">
        <f>IFERROR(__xludf.DUMMYFUNCTION("""COMPUTED_VALUE"""),0.769138437914711)</f>
        <v>0.7691384379</v>
      </c>
      <c r="E138" s="21">
        <f>IFERROR(__xludf.DUMMYFUNCTION("""COMPUTED_VALUE"""),0.399540930957024)</f>
        <v>0.399540931</v>
      </c>
      <c r="F138" s="21"/>
      <c r="G138" s="23">
        <v>-0.4986760347</v>
      </c>
      <c r="H138" s="23">
        <v>0.010738730200000001</v>
      </c>
      <c r="I138" s="23">
        <v>0.7691384379</v>
      </c>
      <c r="J138" s="23">
        <v>0.39954093090000004</v>
      </c>
    </row>
    <row r="139">
      <c r="A139" s="12"/>
      <c r="B139" s="21">
        <f>IFERROR(__xludf.DUMMYFUNCTION("""COMPUTED_VALUE"""),-0.498676034601016)</f>
        <v>-0.4986760346</v>
      </c>
      <c r="C139" s="21">
        <f>IFERROR(__xludf.DUMMYFUNCTION("""COMPUTED_VALUE"""),0.0107387302190162)</f>
        <v>0.01073873022</v>
      </c>
      <c r="D139" s="21">
        <f>IFERROR(__xludf.DUMMYFUNCTION("""COMPUTED_VALUE"""),0.769138437914711)</f>
        <v>0.7691384379</v>
      </c>
      <c r="E139" s="21">
        <f>IFERROR(__xludf.DUMMYFUNCTION("""COMPUTED_VALUE"""),0.399540930957024)</f>
        <v>0.399540931</v>
      </c>
      <c r="F139" s="21"/>
      <c r="G139" s="23">
        <v>-0.4986760347</v>
      </c>
      <c r="H139" s="23">
        <v>0.010738730200000001</v>
      </c>
      <c r="I139" s="23">
        <v>0.7691384379</v>
      </c>
      <c r="J139" s="23">
        <v>0.39954093090000004</v>
      </c>
    </row>
    <row r="140">
      <c r="A140" s="12"/>
      <c r="B140" s="21">
        <f>IFERROR(__xludf.DUMMYFUNCTION("""COMPUTED_VALUE"""),-0.498676034601016)</f>
        <v>-0.4986760346</v>
      </c>
      <c r="C140" s="21">
        <f>IFERROR(__xludf.DUMMYFUNCTION("""COMPUTED_VALUE"""),0.0107387302190162)</f>
        <v>0.01073873022</v>
      </c>
      <c r="D140" s="21">
        <f>IFERROR(__xludf.DUMMYFUNCTION("""COMPUTED_VALUE"""),0.769138437914711)</f>
        <v>0.7691384379</v>
      </c>
      <c r="E140" s="21">
        <f>IFERROR(__xludf.DUMMYFUNCTION("""COMPUTED_VALUE"""),0.399540930957024)</f>
        <v>0.399540931</v>
      </c>
      <c r="F140" s="21"/>
      <c r="G140" s="23">
        <v>-0.4986760347</v>
      </c>
      <c r="H140" s="23">
        <v>0.010738730200000001</v>
      </c>
      <c r="I140" s="23">
        <v>0.7691384379</v>
      </c>
      <c r="J140" s="23">
        <v>0.39954093090000004</v>
      </c>
    </row>
    <row r="141">
      <c r="A141" s="12"/>
      <c r="B141" s="21">
        <f>IFERROR(__xludf.DUMMYFUNCTION("""COMPUTED_VALUE"""),-0.495651797770922)</f>
        <v>-0.4956517978</v>
      </c>
      <c r="C141" s="21">
        <f>IFERROR(__xludf.DUMMYFUNCTION("""COMPUTED_VALUE"""),0.0123076369042679)</f>
        <v>0.0123076369</v>
      </c>
      <c r="D141" s="21">
        <f>IFERROR(__xludf.DUMMYFUNCTION("""COMPUTED_VALUE"""),0.771090798498937)</f>
        <v>0.7710907985</v>
      </c>
      <c r="E141" s="21">
        <f>IFERROR(__xludf.DUMMYFUNCTION("""COMPUTED_VALUE"""),0.39949567946419)</f>
        <v>0.3994956795</v>
      </c>
      <c r="F141" s="21"/>
      <c r="G141" s="23">
        <v>-0.4956517978</v>
      </c>
      <c r="H141" s="23">
        <v>0.0123076369</v>
      </c>
      <c r="I141" s="23">
        <v>0.7710907984</v>
      </c>
      <c r="J141" s="23">
        <v>0.3994956794</v>
      </c>
    </row>
    <row r="142">
      <c r="A142" s="12"/>
      <c r="B142" s="21">
        <f>IFERROR(__xludf.DUMMYFUNCTION("""COMPUTED_VALUE"""),-0.492619917377412)</f>
        <v>-0.4926199174</v>
      </c>
      <c r="C142" s="21">
        <f>IFERROR(__xludf.DUMMYFUNCTION("""COMPUTED_VALUE"""),0.0138763537905445)</f>
        <v>0.01387635379</v>
      </c>
      <c r="D142" s="21">
        <f>IFERROR(__xludf.DUMMYFUNCTION("""COMPUTED_VALUE"""),0.773031267909874)</f>
        <v>0.7730312679</v>
      </c>
      <c r="E142" s="21">
        <f>IFERROR(__xludf.DUMMYFUNCTION("""COMPUTED_VALUE"""),0.399444267254146)</f>
        <v>0.3994442673</v>
      </c>
      <c r="F142" s="21"/>
      <c r="G142" s="23">
        <v>-0.4926199174</v>
      </c>
      <c r="H142" s="23">
        <v>0.0138763537</v>
      </c>
      <c r="I142" s="23">
        <v>0.7730312679</v>
      </c>
      <c r="J142" s="23">
        <v>0.39944426720000004</v>
      </c>
    </row>
    <row r="143">
      <c r="A143" s="12"/>
      <c r="B143" s="21">
        <f>IFERROR(__xludf.DUMMYFUNCTION("""COMPUTED_VALUE"""),-0.492619917377412)</f>
        <v>-0.4926199174</v>
      </c>
      <c r="C143" s="21">
        <f>IFERROR(__xludf.DUMMYFUNCTION("""COMPUTED_VALUE"""),0.0138763537905445)</f>
        <v>0.01387635379</v>
      </c>
      <c r="D143" s="21">
        <f>IFERROR(__xludf.DUMMYFUNCTION("""COMPUTED_VALUE"""),0.773031267909874)</f>
        <v>0.7730312679</v>
      </c>
      <c r="E143" s="21">
        <f>IFERROR(__xludf.DUMMYFUNCTION("""COMPUTED_VALUE"""),0.399444267254146)</f>
        <v>0.3994442673</v>
      </c>
      <c r="F143" s="21"/>
      <c r="G143" s="23">
        <v>-0.4926199174</v>
      </c>
      <c r="H143" s="23">
        <v>0.0138763537</v>
      </c>
      <c r="I143" s="23">
        <v>0.7730312679</v>
      </c>
      <c r="J143" s="23">
        <v>0.39944426720000004</v>
      </c>
    </row>
    <row r="144">
      <c r="A144" s="12"/>
      <c r="B144" s="21">
        <f>IFERROR(__xludf.DUMMYFUNCTION("""COMPUTED_VALUE"""),-0.489580440175828)</f>
        <v>-0.4895804402</v>
      </c>
      <c r="C144" s="21">
        <f>IFERROR(__xludf.DUMMYFUNCTION("""COMPUTED_VALUE"""),0.0154448566862925)</f>
        <v>0.01544485669</v>
      </c>
      <c r="D144" s="21">
        <f>IFERROR(__xludf.DUMMYFUNCTION("""COMPUTED_VALUE"""),0.774959816223085)</f>
        <v>0.7749598162</v>
      </c>
      <c r="E144" s="21">
        <f>IFERROR(__xludf.DUMMYFUNCTION("""COMPUTED_VALUE"""),0.399386695119733)</f>
        <v>0.3993866951</v>
      </c>
      <c r="F144" s="21"/>
      <c r="G144" s="23">
        <v>-0.4895804402</v>
      </c>
      <c r="H144" s="23">
        <v>0.015444856600000001</v>
      </c>
      <c r="I144" s="23">
        <v>0.7749598162</v>
      </c>
      <c r="J144" s="23">
        <v>0.3993866951</v>
      </c>
    </row>
    <row r="145">
      <c r="A145" s="12"/>
      <c r="B145" s="21">
        <f>IFERROR(__xludf.DUMMYFUNCTION("""COMPUTED_VALUE"""),-0.486533413038666)</f>
        <v>-0.486533413</v>
      </c>
      <c r="C145" s="21">
        <f>IFERROR(__xludf.DUMMYFUNCTION("""COMPUTED_VALUE"""),0.0170131214032585)</f>
        <v>0.0170131214</v>
      </c>
      <c r="D145" s="21">
        <f>IFERROR(__xludf.DUMMYFUNCTION("""COMPUTED_VALUE"""),0.776876413697972)</f>
        <v>0.7768764137</v>
      </c>
      <c r="E145" s="21">
        <f>IFERROR(__xludf.DUMMYFUNCTION("""COMPUTED_VALUE"""),0.399322963948782)</f>
        <v>0.3993229639</v>
      </c>
      <c r="F145" s="21"/>
      <c r="G145" s="23">
        <v>-0.48653341310000003</v>
      </c>
      <c r="H145" s="23">
        <v>0.0170131214</v>
      </c>
      <c r="I145" s="23">
        <v>0.7768764136</v>
      </c>
      <c r="J145" s="23">
        <v>0.3993229639</v>
      </c>
    </row>
    <row r="146">
      <c r="A146" s="12"/>
      <c r="B146" s="21">
        <f>IFERROR(__xludf.DUMMYFUNCTION("""COMPUTED_VALUE"""),-0.486533413038666)</f>
        <v>-0.486533413</v>
      </c>
      <c r="C146" s="21">
        <f>IFERROR(__xludf.DUMMYFUNCTION("""COMPUTED_VALUE"""),0.0170131214032585)</f>
        <v>0.0170131214</v>
      </c>
      <c r="D146" s="21">
        <f>IFERROR(__xludf.DUMMYFUNCTION("""COMPUTED_VALUE"""),0.776876413697972)</f>
        <v>0.7768764137</v>
      </c>
      <c r="E146" s="21">
        <f>IFERROR(__xludf.DUMMYFUNCTION("""COMPUTED_VALUE"""),0.399322963948782)</f>
        <v>0.3993229639</v>
      </c>
      <c r="F146" s="21"/>
      <c r="G146" s="23">
        <v>-0.48653341310000003</v>
      </c>
      <c r="H146" s="23">
        <v>0.0170131214</v>
      </c>
      <c r="I146" s="23">
        <v>0.7768764136</v>
      </c>
      <c r="J146" s="23">
        <v>0.3993229639</v>
      </c>
    </row>
    <row r="147">
      <c r="A147" s="12"/>
      <c r="B147" s="21">
        <f>IFERROR(__xludf.DUMMYFUNCTION("""COMPUTED_VALUE"""),-0.483478882954853)</f>
        <v>-0.483478883</v>
      </c>
      <c r="C147" s="21">
        <f>IFERROR(__xludf.DUMMYFUNCTION("""COMPUTED_VALUE"""),0.0185811237568618)</f>
        <v>0.01858112376</v>
      </c>
      <c r="D147" s="21">
        <f>IFERROR(__xludf.DUMMYFUNCTION("""COMPUTED_VALUE"""),0.778781030778231)</f>
        <v>0.7787810308</v>
      </c>
      <c r="E147" s="21">
        <f>IFERROR(__xludf.DUMMYFUNCTION("""COMPUTED_VALUE"""),0.399253074724109)</f>
        <v>0.3992530747</v>
      </c>
      <c r="F147" s="21"/>
      <c r="G147" s="23">
        <v>-0.483478883</v>
      </c>
      <c r="H147" s="23">
        <v>0.0185811237</v>
      </c>
      <c r="I147" s="23">
        <v>0.7787810307</v>
      </c>
      <c r="J147" s="23">
        <v>0.3992530747</v>
      </c>
    </row>
    <row r="148">
      <c r="A148" s="12"/>
      <c r="B148" s="21">
        <f>IFERROR(__xludf.DUMMYFUNCTION("""COMPUTED_VALUE"""),-0.483478882954853)</f>
        <v>-0.483478883</v>
      </c>
      <c r="C148" s="21">
        <f>IFERROR(__xludf.DUMMYFUNCTION("""COMPUTED_VALUE"""),0.0185811237568618)</f>
        <v>0.01858112376</v>
      </c>
      <c r="D148" s="21">
        <f>IFERROR(__xludf.DUMMYFUNCTION("""COMPUTED_VALUE"""),0.778781030778231)</f>
        <v>0.7787810308</v>
      </c>
      <c r="E148" s="21">
        <f>IFERROR(__xludf.DUMMYFUNCTION("""COMPUTED_VALUE"""),0.399253074724109)</f>
        <v>0.3992530747</v>
      </c>
      <c r="F148" s="21"/>
      <c r="G148" s="23">
        <v>-0.483478883</v>
      </c>
      <c r="H148" s="23">
        <v>0.0185811237</v>
      </c>
      <c r="I148" s="23">
        <v>0.7787810307</v>
      </c>
      <c r="J148" s="23">
        <v>0.3992530747</v>
      </c>
    </row>
    <row r="149">
      <c r="A149" s="12"/>
      <c r="B149" s="21">
        <f>IFERROR(__xludf.DUMMYFUNCTION("""COMPUTED_VALUE"""),-0.483478882954853)</f>
        <v>-0.483478883</v>
      </c>
      <c r="C149" s="21">
        <f>IFERROR(__xludf.DUMMYFUNCTION("""COMPUTED_VALUE"""),0.0185811237568618)</f>
        <v>0.01858112376</v>
      </c>
      <c r="D149" s="21">
        <f>IFERROR(__xludf.DUMMYFUNCTION("""COMPUTED_VALUE"""),0.778781030778231)</f>
        <v>0.7787810308</v>
      </c>
      <c r="E149" s="21">
        <f>IFERROR(__xludf.DUMMYFUNCTION("""COMPUTED_VALUE"""),0.399253074724109)</f>
        <v>0.3992530747</v>
      </c>
      <c r="F149" s="21"/>
      <c r="G149" s="23">
        <v>-0.483478883</v>
      </c>
      <c r="H149" s="23">
        <v>0.0185811237</v>
      </c>
      <c r="I149" s="23">
        <v>0.7787810307</v>
      </c>
      <c r="J149" s="23">
        <v>0.3992530747</v>
      </c>
    </row>
    <row r="150">
      <c r="A150" s="12"/>
      <c r="B150" s="21">
        <f>IFERROR(__xludf.DUMMYFUNCTION("""COMPUTED_VALUE"""),-0.480416897029016)</f>
        <v>-0.480416897</v>
      </c>
      <c r="C150" s="21">
        <f>IFERROR(__xludf.DUMMYFUNCTION("""COMPUTED_VALUE"""),0.0201488395665679)</f>
        <v>0.02014883957</v>
      </c>
      <c r="D150" s="21">
        <f>IFERROR(__xludf.DUMMYFUNCTION("""COMPUTED_VALUE"""),0.780673638092313)</f>
        <v>0.7806736381</v>
      </c>
      <c r="E150" s="21">
        <f>IFERROR(__xludf.DUMMYFUNCTION("""COMPUTED_VALUE"""),0.39917702852349)</f>
        <v>0.3991770285</v>
      </c>
      <c r="F150" s="21"/>
      <c r="G150" s="23">
        <v>-0.4804168971</v>
      </c>
      <c r="H150" s="23">
        <v>0.0201488395</v>
      </c>
      <c r="I150" s="23">
        <v>0.780673638</v>
      </c>
      <c r="J150" s="23">
        <v>0.39917702850000003</v>
      </c>
    </row>
    <row r="151">
      <c r="A151" s="12"/>
      <c r="B151" s="21">
        <f>IFERROR(__xludf.DUMMYFUNCTION("""COMPUTED_VALUE"""),-0.477347502480765)</f>
        <v>-0.4773475025</v>
      </c>
      <c r="C151" s="21">
        <f>IFERROR(__xludf.DUMMYFUNCTION("""COMPUTED_VALUE"""),0.0217162446562611)</f>
        <v>0.02171624466</v>
      </c>
      <c r="D151" s="21">
        <f>IFERROR(__xludf.DUMMYFUNCTION("""COMPUTED_VALUE"""),0.782554206453874)</f>
        <v>0.7825542065</v>
      </c>
      <c r="E151" s="21">
        <f>IFERROR(__xludf.DUMMYFUNCTION("""COMPUTED_VALUE"""),0.399094826519653)</f>
        <v>0.3990948265</v>
      </c>
      <c r="F151" s="21"/>
      <c r="G151" s="23">
        <v>-0.4773475025</v>
      </c>
      <c r="H151" s="23">
        <v>0.0217162446</v>
      </c>
      <c r="I151" s="23">
        <v>0.7825542064000001</v>
      </c>
      <c r="J151" s="23">
        <v>0.3990948265</v>
      </c>
    </row>
    <row r="152">
      <c r="A152" s="12"/>
      <c r="B152" s="21">
        <f>IFERROR(__xludf.DUMMYFUNCTION("""COMPUTED_VALUE"""),-0.477347502480765)</f>
        <v>-0.4773475025</v>
      </c>
      <c r="C152" s="21">
        <f>IFERROR(__xludf.DUMMYFUNCTION("""COMPUTED_VALUE"""),0.0217162446562611)</f>
        <v>0.02171624466</v>
      </c>
      <c r="D152" s="21">
        <f>IFERROR(__xludf.DUMMYFUNCTION("""COMPUTED_VALUE"""),0.782554206453874)</f>
        <v>0.7825542065</v>
      </c>
      <c r="E152" s="21">
        <f>IFERROR(__xludf.DUMMYFUNCTION("""COMPUTED_VALUE"""),0.399094826519653)</f>
        <v>0.3990948265</v>
      </c>
      <c r="F152" s="21"/>
      <c r="G152" s="23">
        <v>-0.4773475025</v>
      </c>
      <c r="H152" s="23">
        <v>0.0217162446</v>
      </c>
      <c r="I152" s="23">
        <v>0.7825542064000001</v>
      </c>
      <c r="J152" s="23">
        <v>0.3990948265</v>
      </c>
    </row>
    <row r="153">
      <c r="A153" s="12"/>
      <c r="B153" s="21">
        <f>IFERROR(__xludf.DUMMYFUNCTION("""COMPUTED_VALUE"""),-0.471186676965971)</f>
        <v>-0.471186677</v>
      </c>
      <c r="C153" s="21">
        <f>IFERROR(__xludf.DUMMYFUNCTION("""COMPUTED_VALUE"""),0.0248500259954771)</f>
        <v>0.024850026</v>
      </c>
      <c r="D153" s="21">
        <f>IFERROR(__xludf.DUMMYFUNCTION("""COMPUTED_VALUE"""),0.786279110502779)</f>
        <v>0.7862791105</v>
      </c>
      <c r="E153" s="21">
        <f>IFERROR(__xludf.DUMMYFUNCTION("""COMPUTED_VALUE"""),0.39891196026786)</f>
        <v>0.3989119603</v>
      </c>
      <c r="F153" s="21"/>
      <c r="G153" s="23">
        <v>-0.471186677</v>
      </c>
      <c r="H153" s="23">
        <v>0.0248500259</v>
      </c>
      <c r="I153" s="23">
        <v>0.7862791105</v>
      </c>
      <c r="J153" s="23">
        <v>0.3989119602</v>
      </c>
    </row>
    <row r="154">
      <c r="A154" s="12"/>
      <c r="B154" s="21">
        <f>IFERROR(__xludf.DUMMYFUNCTION("""COMPUTED_VALUE"""),-0.471186676965971)</f>
        <v>-0.471186677</v>
      </c>
      <c r="C154" s="21">
        <f>IFERROR(__xludf.DUMMYFUNCTION("""COMPUTED_VALUE"""),0.0248500259954771)</f>
        <v>0.024850026</v>
      </c>
      <c r="D154" s="21">
        <f>IFERROR(__xludf.DUMMYFUNCTION("""COMPUTED_VALUE"""),0.786279110502779)</f>
        <v>0.7862791105</v>
      </c>
      <c r="E154" s="21">
        <f>IFERROR(__xludf.DUMMYFUNCTION("""COMPUTED_VALUE"""),0.39891196026786)</f>
        <v>0.3989119603</v>
      </c>
      <c r="F154" s="21"/>
      <c r="G154" s="23">
        <v>-0.471186677</v>
      </c>
      <c r="H154" s="23">
        <v>0.0248500259</v>
      </c>
      <c r="I154" s="23">
        <v>0.7862791105</v>
      </c>
      <c r="J154" s="23">
        <v>0.3989119602</v>
      </c>
    </row>
    <row r="155">
      <c r="A155" s="12"/>
      <c r="B155" s="21">
        <f>IFERROR(__xludf.DUMMYFUNCTION("""COMPUTED_VALUE"""),-0.471186676965971)</f>
        <v>-0.471186677</v>
      </c>
      <c r="C155" s="21">
        <f>IFERROR(__xludf.DUMMYFUNCTION("""COMPUTED_VALUE"""),0.0248500259954771)</f>
        <v>0.024850026</v>
      </c>
      <c r="D155" s="21">
        <f>IFERROR(__xludf.DUMMYFUNCTION("""COMPUTED_VALUE"""),0.786279110502779)</f>
        <v>0.7862791105</v>
      </c>
      <c r="E155" s="21">
        <f>IFERROR(__xludf.DUMMYFUNCTION("""COMPUTED_VALUE"""),0.39891196026786)</f>
        <v>0.3989119603</v>
      </c>
      <c r="F155" s="21"/>
      <c r="G155" s="23">
        <v>-0.471186677</v>
      </c>
      <c r="H155" s="23">
        <v>0.0248500259</v>
      </c>
      <c r="I155" s="23">
        <v>0.7862791105</v>
      </c>
      <c r="J155" s="23">
        <v>0.3989119602</v>
      </c>
    </row>
    <row r="156">
      <c r="A156" s="12"/>
      <c r="B156" s="21">
        <f>IFERROR(__xludf.DUMMYFUNCTION("""COMPUTED_VALUE"""),-0.471186676965971)</f>
        <v>-0.471186677</v>
      </c>
      <c r="C156" s="21">
        <f>IFERROR(__xludf.DUMMYFUNCTION("""COMPUTED_VALUE"""),0.0248500259954771)</f>
        <v>0.024850026</v>
      </c>
      <c r="D156" s="21">
        <f>IFERROR(__xludf.DUMMYFUNCTION("""COMPUTED_VALUE"""),0.786279110502779)</f>
        <v>0.7862791105</v>
      </c>
      <c r="E156" s="21">
        <f>IFERROR(__xludf.DUMMYFUNCTION("""COMPUTED_VALUE"""),0.39891196026786)</f>
        <v>0.3989119603</v>
      </c>
      <c r="F156" s="21"/>
      <c r="G156" s="23">
        <v>-0.471186677</v>
      </c>
      <c r="H156" s="23">
        <v>0.0248500259</v>
      </c>
      <c r="I156" s="23">
        <v>0.7862791105</v>
      </c>
      <c r="J156" s="23">
        <v>0.3989119602</v>
      </c>
    </row>
    <row r="157">
      <c r="A157" s="12"/>
      <c r="B157" s="21">
        <f>IFERROR(__xludf.DUMMYFUNCTION("""COMPUTED_VALUE"""),-0.471186676965971)</f>
        <v>-0.471186677</v>
      </c>
      <c r="C157" s="21">
        <f>IFERROR(__xludf.DUMMYFUNCTION("""COMPUTED_VALUE"""),0.0248500259954771)</f>
        <v>0.024850026</v>
      </c>
      <c r="D157" s="21">
        <f>IFERROR(__xludf.DUMMYFUNCTION("""COMPUTED_VALUE"""),0.786279110502779)</f>
        <v>0.7862791105</v>
      </c>
      <c r="E157" s="21">
        <f>IFERROR(__xludf.DUMMYFUNCTION("""COMPUTED_VALUE"""),0.39891196026786)</f>
        <v>0.3989119603</v>
      </c>
      <c r="F157" s="21"/>
      <c r="G157" s="23">
        <v>-0.471186677</v>
      </c>
      <c r="H157" s="23">
        <v>0.0248500259</v>
      </c>
      <c r="I157" s="23">
        <v>0.7862791105</v>
      </c>
      <c r="J157" s="23">
        <v>0.3989119602</v>
      </c>
    </row>
    <row r="158">
      <c r="A158" s="12"/>
      <c r="B158" s="21">
        <f>IFERROR(__xludf.DUMMYFUNCTION("""COMPUTED_VALUE"""),-0.471186676965971)</f>
        <v>-0.471186677</v>
      </c>
      <c r="C158" s="21">
        <f>IFERROR(__xludf.DUMMYFUNCTION("""COMPUTED_VALUE"""),0.0248500259954771)</f>
        <v>0.024850026</v>
      </c>
      <c r="D158" s="21">
        <f>IFERROR(__xludf.DUMMYFUNCTION("""COMPUTED_VALUE"""),0.786279110502779)</f>
        <v>0.7862791105</v>
      </c>
      <c r="E158" s="21">
        <f>IFERROR(__xludf.DUMMYFUNCTION("""COMPUTED_VALUE"""),0.39891196026786)</f>
        <v>0.3989119603</v>
      </c>
      <c r="F158" s="21"/>
      <c r="G158" s="23">
        <v>-0.471186677</v>
      </c>
      <c r="H158" s="23">
        <v>0.0248500259</v>
      </c>
      <c r="I158" s="23">
        <v>0.7862791105</v>
      </c>
      <c r="J158" s="23">
        <v>0.3989119602</v>
      </c>
    </row>
    <row r="159">
      <c r="A159" s="12"/>
      <c r="B159" s="21">
        <f>IFERROR(__xludf.DUMMYFUNCTION("""COMPUTED_VALUE"""),-0.471186676965971)</f>
        <v>-0.471186677</v>
      </c>
      <c r="C159" s="21">
        <f>IFERROR(__xludf.DUMMYFUNCTION("""COMPUTED_VALUE"""),0.0248500259954771)</f>
        <v>0.024850026</v>
      </c>
      <c r="D159" s="21">
        <f>IFERROR(__xludf.DUMMYFUNCTION("""COMPUTED_VALUE"""),0.786279110502779)</f>
        <v>0.7862791105</v>
      </c>
      <c r="E159" s="21">
        <f>IFERROR(__xludf.DUMMYFUNCTION("""COMPUTED_VALUE"""),0.39891196026786)</f>
        <v>0.3989119603</v>
      </c>
      <c r="F159" s="21"/>
      <c r="G159" s="23">
        <v>-0.471186677</v>
      </c>
      <c r="H159" s="23">
        <v>0.0248500259</v>
      </c>
      <c r="I159" s="23">
        <v>0.7862791105</v>
      </c>
      <c r="J159" s="23">
        <v>0.3989119602</v>
      </c>
    </row>
    <row r="160">
      <c r="A160" s="12"/>
      <c r="B160" s="21">
        <f>IFERROR(__xludf.DUMMYFUNCTION("""COMPUTED_VALUE"""),-0.471186676965971)</f>
        <v>-0.471186677</v>
      </c>
      <c r="C160" s="21">
        <f>IFERROR(__xludf.DUMMYFUNCTION("""COMPUTED_VALUE"""),0.0248500259954771)</f>
        <v>0.024850026</v>
      </c>
      <c r="D160" s="21">
        <f>IFERROR(__xludf.DUMMYFUNCTION("""COMPUTED_VALUE"""),0.786279110502779)</f>
        <v>0.7862791105</v>
      </c>
      <c r="E160" s="21">
        <f>IFERROR(__xludf.DUMMYFUNCTION("""COMPUTED_VALUE"""),0.39891196026786)</f>
        <v>0.3989119603</v>
      </c>
      <c r="F160" s="21"/>
      <c r="G160" s="23">
        <v>-0.471186677</v>
      </c>
      <c r="H160" s="23">
        <v>0.0248500259</v>
      </c>
      <c r="I160" s="23">
        <v>0.7862791105</v>
      </c>
      <c r="J160" s="23">
        <v>0.3989119602</v>
      </c>
    </row>
    <row r="161">
      <c r="A161" s="12"/>
      <c r="B161" s="21">
        <f>IFERROR(__xludf.DUMMYFUNCTION("""COMPUTED_VALUE"""),-0.471186676965971)</f>
        <v>-0.471186677</v>
      </c>
      <c r="C161" s="21">
        <f>IFERROR(__xludf.DUMMYFUNCTION("""COMPUTED_VALUE"""),0.0248500259954771)</f>
        <v>0.024850026</v>
      </c>
      <c r="D161" s="21">
        <f>IFERROR(__xludf.DUMMYFUNCTION("""COMPUTED_VALUE"""),0.786279110502779)</f>
        <v>0.7862791105</v>
      </c>
      <c r="E161" s="21">
        <f>IFERROR(__xludf.DUMMYFUNCTION("""COMPUTED_VALUE"""),0.39891196026786)</f>
        <v>0.3989119603</v>
      </c>
      <c r="F161" s="21"/>
      <c r="G161" s="23">
        <v>-0.471186677</v>
      </c>
      <c r="H161" s="23">
        <v>0.0248500259</v>
      </c>
      <c r="I161" s="23">
        <v>0.7862791105</v>
      </c>
      <c r="J161" s="23">
        <v>0.3989119602</v>
      </c>
    </row>
    <row r="162">
      <c r="A162" s="12"/>
      <c r="B162" s="21">
        <f>IFERROR(__xludf.DUMMYFUNCTION("""COMPUTED_VALUE"""),-0.471186676965971)</f>
        <v>-0.471186677</v>
      </c>
      <c r="C162" s="21">
        <f>IFERROR(__xludf.DUMMYFUNCTION("""COMPUTED_VALUE"""),0.0248500259954771)</f>
        <v>0.024850026</v>
      </c>
      <c r="D162" s="21">
        <f>IFERROR(__xludf.DUMMYFUNCTION("""COMPUTED_VALUE"""),0.786279110502779)</f>
        <v>0.7862791105</v>
      </c>
      <c r="E162" s="21">
        <f>IFERROR(__xludf.DUMMYFUNCTION("""COMPUTED_VALUE"""),0.39891196026786)</f>
        <v>0.3989119603</v>
      </c>
      <c r="F162" s="21"/>
      <c r="G162" s="23">
        <v>-0.471186677</v>
      </c>
      <c r="H162" s="23">
        <v>0.0248500259</v>
      </c>
      <c r="I162" s="23">
        <v>0.7862791105</v>
      </c>
      <c r="J162" s="23">
        <v>0.3989119602</v>
      </c>
    </row>
    <row r="163">
      <c r="A163" s="12"/>
      <c r="B163" s="21">
        <f>IFERROR(__xludf.DUMMYFUNCTION("""COMPUTED_VALUE"""),-0.471186676965971)</f>
        <v>-0.471186677</v>
      </c>
      <c r="C163" s="21">
        <f>IFERROR(__xludf.DUMMYFUNCTION("""COMPUTED_VALUE"""),0.0248500259954771)</f>
        <v>0.024850026</v>
      </c>
      <c r="D163" s="21">
        <f>IFERROR(__xludf.DUMMYFUNCTION("""COMPUTED_VALUE"""),0.786279110502779)</f>
        <v>0.7862791105</v>
      </c>
      <c r="E163" s="21">
        <f>IFERROR(__xludf.DUMMYFUNCTION("""COMPUTED_VALUE"""),0.39891196026786)</f>
        <v>0.3989119603</v>
      </c>
      <c r="F163" s="21"/>
      <c r="G163" s="23">
        <v>-0.471186677</v>
      </c>
      <c r="H163" s="23">
        <v>0.0248500259</v>
      </c>
      <c r="I163" s="23">
        <v>0.7862791105</v>
      </c>
      <c r="J163" s="23">
        <v>0.3989119602</v>
      </c>
    </row>
    <row r="164">
      <c r="A164" s="12"/>
      <c r="B164" s="21"/>
      <c r="C164" s="21"/>
      <c r="D164" s="21"/>
      <c r="E164" s="21"/>
      <c r="F164" s="12"/>
      <c r="G164" s="12"/>
      <c r="H164" s="12"/>
      <c r="I164" s="12"/>
      <c r="J164" s="12"/>
    </row>
  </sheetData>
  <mergeCells count="2">
    <mergeCell ref="B1:E1"/>
    <mergeCell ref="G1:J1"/>
  </mergeCells>
  <conditionalFormatting sqref="B5:J163">
    <cfRule type="expression" dxfId="0" priority="1">
      <formula>B5&lt;&gt;B4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175</v>
      </c>
      <c r="B1" s="25" t="s">
        <v>41</v>
      </c>
      <c r="C1" s="25" t="s">
        <v>42</v>
      </c>
      <c r="D1" s="25" t="s">
        <v>43</v>
      </c>
      <c r="E1" s="25" t="s">
        <v>44</v>
      </c>
      <c r="F1" s="3" t="s">
        <v>55</v>
      </c>
      <c r="G1" s="2" t="s">
        <v>56</v>
      </c>
      <c r="H1" s="2"/>
    </row>
    <row r="2">
      <c r="A2" s="19" t="s">
        <v>177</v>
      </c>
      <c r="B2" s="21">
        <f>IFERROR(__xludf.DUMMYFUNCTION("transpose(split(B1,"",""))"),0.624883987936306)</f>
        <v>0.6248839879</v>
      </c>
      <c r="C2" s="21">
        <f>IFERROR(__xludf.DUMMYFUNCTION("transpose(split(C1,"",""))"),-0.0365923055998737)</f>
        <v>-0.0365923056</v>
      </c>
      <c r="D2" s="21">
        <f>IFERROR(__xludf.DUMMYFUNCTION("transpose(split(D1,"",""))"),-0.699006863382204)</f>
        <v>-0.6990068634</v>
      </c>
      <c r="E2" s="21">
        <f>IFERROR(__xludf.DUMMYFUNCTION("transpose(split(E1,"",""))"),-0.345789545440976)</f>
        <v>-0.3457895454</v>
      </c>
      <c r="F2" s="21">
        <f>IFERROR(__xludf.DUMMYFUNCTION("transpose(split(F1,"",""))"),0.0)</f>
        <v>0</v>
      </c>
      <c r="G2" s="21">
        <f>IFERROR(__xludf.DUMMYFUNCTION("transpose(split(G1,"",""))"),1.67767619771E12)</f>
        <v>1677676197710</v>
      </c>
      <c r="H2" s="21" t="str">
        <f>IFERROR(__xludf.DUMMYFUNCTION("transpose(split(H1,"",""))"),"#VALUE!")</f>
        <v>#VALUE!</v>
      </c>
    </row>
    <row r="3">
      <c r="B3" s="26">
        <f>IFERROR(__xludf.DUMMYFUNCTION("""COMPUTED_VALUE"""),0.624883987936306)</f>
        <v>0.6248839879</v>
      </c>
      <c r="C3" s="26">
        <f>IFERROR(__xludf.DUMMYFUNCTION("""COMPUTED_VALUE"""),-0.0365923055998737)</f>
        <v>-0.0365923056</v>
      </c>
      <c r="D3" s="26">
        <f>IFERROR(__xludf.DUMMYFUNCTION("""COMPUTED_VALUE"""),-0.699006863382204)</f>
        <v>-0.6990068634</v>
      </c>
      <c r="E3" s="26">
        <f>IFERROR(__xludf.DUMMYFUNCTION("""COMPUTED_VALUE"""),-0.345789545440976)</f>
        <v>-0.3457895454</v>
      </c>
      <c r="F3" s="26">
        <f>IFERROR(__xludf.DUMMYFUNCTION("""COMPUTED_VALUE"""),0.1)</f>
        <v>0.1</v>
      </c>
      <c r="G3" s="26">
        <f>IFERROR(__xludf.DUMMYFUNCTION("""COMPUTED_VALUE"""),1.677676197799E12)</f>
        <v>1677676197799</v>
      </c>
      <c r="H3" s="26">
        <f t="shared" ref="H3:H1615" si="1">G3-$G$3</f>
        <v>0</v>
      </c>
    </row>
    <row r="4">
      <c r="B4" s="26">
        <f>IFERROR(__xludf.DUMMYFUNCTION("""COMPUTED_VALUE"""),0.624883987936306)</f>
        <v>0.6248839879</v>
      </c>
      <c r="C4" s="20">
        <f>IFERROR(__xludf.DUMMYFUNCTION("""COMPUTED_VALUE"""),-0.0365923055998737)</f>
        <v>-0.0365923056</v>
      </c>
      <c r="D4" s="20">
        <f>IFERROR(__xludf.DUMMYFUNCTION("""COMPUTED_VALUE"""),-0.699006863382204)</f>
        <v>-0.6990068634</v>
      </c>
      <c r="E4" s="20">
        <f>IFERROR(__xludf.DUMMYFUNCTION("""COMPUTED_VALUE"""),-0.345789545440976)</f>
        <v>-0.3457895454</v>
      </c>
      <c r="F4" s="20">
        <f>IFERROR(__xludf.DUMMYFUNCTION("""COMPUTED_VALUE"""),0.2)</f>
        <v>0.2</v>
      </c>
      <c r="G4" s="20">
        <f>IFERROR(__xludf.DUMMYFUNCTION("""COMPUTED_VALUE"""),1.6776761979E12)</f>
        <v>1677676197900</v>
      </c>
      <c r="H4" s="27">
        <f t="shared" si="1"/>
        <v>101</v>
      </c>
    </row>
    <row r="5">
      <c r="B5" s="26">
        <f>IFERROR(__xludf.DUMMYFUNCTION("""COMPUTED_VALUE"""),0.624883987936306)</f>
        <v>0.6248839879</v>
      </c>
      <c r="C5" s="26">
        <f>IFERROR(__xludf.DUMMYFUNCTION("""COMPUTED_VALUE"""),-0.0365923055998737)</f>
        <v>-0.0365923056</v>
      </c>
      <c r="D5" s="26">
        <f>IFERROR(__xludf.DUMMYFUNCTION("""COMPUTED_VALUE"""),-0.699006863382204)</f>
        <v>-0.6990068634</v>
      </c>
      <c r="E5" s="26">
        <f>IFERROR(__xludf.DUMMYFUNCTION("""COMPUTED_VALUE"""),-0.345789545440976)</f>
        <v>-0.3457895454</v>
      </c>
      <c r="F5" s="26">
        <f>IFERROR(__xludf.DUMMYFUNCTION("""COMPUTED_VALUE"""),0.3)</f>
        <v>0.3</v>
      </c>
      <c r="G5" s="26">
        <f>IFERROR(__xludf.DUMMYFUNCTION("""COMPUTED_VALUE"""),1.677676197997E12)</f>
        <v>1677676197997</v>
      </c>
      <c r="H5" s="26">
        <f t="shared" si="1"/>
        <v>198</v>
      </c>
    </row>
    <row r="6">
      <c r="B6" s="26">
        <f>IFERROR(__xludf.DUMMYFUNCTION("""COMPUTED_VALUE"""),0.624883987936306)</f>
        <v>0.6248839879</v>
      </c>
      <c r="C6" s="26">
        <f>IFERROR(__xludf.DUMMYFUNCTION("""COMPUTED_VALUE"""),-0.0365923055998737)</f>
        <v>-0.0365923056</v>
      </c>
      <c r="D6" s="26">
        <f>IFERROR(__xludf.DUMMYFUNCTION("""COMPUTED_VALUE"""),-0.699006863382204)</f>
        <v>-0.6990068634</v>
      </c>
      <c r="E6" s="26">
        <f>IFERROR(__xludf.DUMMYFUNCTION("""COMPUTED_VALUE"""),-0.345789545440976)</f>
        <v>-0.3457895454</v>
      </c>
      <c r="F6" s="26">
        <f>IFERROR(__xludf.DUMMYFUNCTION("""COMPUTED_VALUE"""),0.4)</f>
        <v>0.4</v>
      </c>
      <c r="G6" s="26">
        <f>IFERROR(__xludf.DUMMYFUNCTION("""COMPUTED_VALUE"""),1.677676198098E12)</f>
        <v>1677676198098</v>
      </c>
      <c r="H6" s="26">
        <f t="shared" si="1"/>
        <v>299</v>
      </c>
    </row>
    <row r="7">
      <c r="B7" s="26">
        <f>IFERROR(__xludf.DUMMYFUNCTION("""COMPUTED_VALUE"""),0.624883987936306)</f>
        <v>0.6248839879</v>
      </c>
      <c r="C7" s="26">
        <f>IFERROR(__xludf.DUMMYFUNCTION("""COMPUTED_VALUE"""),-0.0365923055998737)</f>
        <v>-0.0365923056</v>
      </c>
      <c r="D7" s="26">
        <f>IFERROR(__xludf.DUMMYFUNCTION("""COMPUTED_VALUE"""),-0.699006863382204)</f>
        <v>-0.6990068634</v>
      </c>
      <c r="E7" s="26">
        <f>IFERROR(__xludf.DUMMYFUNCTION("""COMPUTED_VALUE"""),-0.345789545440976)</f>
        <v>-0.3457895454</v>
      </c>
      <c r="F7" s="26">
        <f>IFERROR(__xludf.DUMMYFUNCTION("""COMPUTED_VALUE"""),0.5)</f>
        <v>0.5</v>
      </c>
      <c r="G7" s="26">
        <f>IFERROR(__xludf.DUMMYFUNCTION("""COMPUTED_VALUE"""),1.677676198199E12)</f>
        <v>1677676198199</v>
      </c>
      <c r="H7" s="26">
        <f t="shared" si="1"/>
        <v>400</v>
      </c>
    </row>
    <row r="8">
      <c r="B8" s="26">
        <f>IFERROR(__xludf.DUMMYFUNCTION("""COMPUTED_VALUE"""),0.624883987936306)</f>
        <v>0.6248839879</v>
      </c>
      <c r="C8" s="26">
        <f>IFERROR(__xludf.DUMMYFUNCTION("""COMPUTED_VALUE"""),-0.0365923055998737)</f>
        <v>-0.0365923056</v>
      </c>
      <c r="D8" s="26">
        <f>IFERROR(__xludf.DUMMYFUNCTION("""COMPUTED_VALUE"""),-0.699006863382204)</f>
        <v>-0.6990068634</v>
      </c>
      <c r="E8" s="26">
        <f>IFERROR(__xludf.DUMMYFUNCTION("""COMPUTED_VALUE"""),-0.345789545440976)</f>
        <v>-0.3457895454</v>
      </c>
      <c r="F8" s="26">
        <f>IFERROR(__xludf.DUMMYFUNCTION("""COMPUTED_VALUE"""),0.6)</f>
        <v>0.6</v>
      </c>
      <c r="G8" s="26">
        <f>IFERROR(__xludf.DUMMYFUNCTION("""COMPUTED_VALUE"""),1.677676198297E12)</f>
        <v>1677676198297</v>
      </c>
      <c r="H8" s="26">
        <f t="shared" si="1"/>
        <v>498</v>
      </c>
    </row>
    <row r="9">
      <c r="B9" s="26">
        <f>IFERROR(__xludf.DUMMYFUNCTION("""COMPUTED_VALUE"""),0.624883987936306)</f>
        <v>0.6248839879</v>
      </c>
      <c r="C9" s="26">
        <f>IFERROR(__xludf.DUMMYFUNCTION("""COMPUTED_VALUE"""),-0.0365923055998737)</f>
        <v>-0.0365923056</v>
      </c>
      <c r="D9" s="26">
        <f>IFERROR(__xludf.DUMMYFUNCTION("""COMPUTED_VALUE"""),-0.699006863382204)</f>
        <v>-0.6990068634</v>
      </c>
      <c r="E9" s="26">
        <f>IFERROR(__xludf.DUMMYFUNCTION("""COMPUTED_VALUE"""),-0.345789545440976)</f>
        <v>-0.3457895454</v>
      </c>
      <c r="F9" s="26">
        <f>IFERROR(__xludf.DUMMYFUNCTION("""COMPUTED_VALUE"""),0.7)</f>
        <v>0.7</v>
      </c>
      <c r="G9" s="26">
        <f>IFERROR(__xludf.DUMMYFUNCTION("""COMPUTED_VALUE"""),1.677676198397E12)</f>
        <v>1677676198397</v>
      </c>
      <c r="H9" s="26">
        <f t="shared" si="1"/>
        <v>598</v>
      </c>
    </row>
    <row r="10">
      <c r="B10" s="26">
        <f>IFERROR(__xludf.DUMMYFUNCTION("""COMPUTED_VALUE"""),0.624883987936306)</f>
        <v>0.6248839879</v>
      </c>
      <c r="C10" s="26">
        <f>IFERROR(__xludf.DUMMYFUNCTION("""COMPUTED_VALUE"""),-0.0365923055998737)</f>
        <v>-0.0365923056</v>
      </c>
      <c r="D10" s="26">
        <f>IFERROR(__xludf.DUMMYFUNCTION("""COMPUTED_VALUE"""),-0.699006863382204)</f>
        <v>-0.6990068634</v>
      </c>
      <c r="E10" s="26">
        <f>IFERROR(__xludf.DUMMYFUNCTION("""COMPUTED_VALUE"""),-0.345789545440976)</f>
        <v>-0.3457895454</v>
      </c>
      <c r="F10" s="26">
        <f>IFERROR(__xludf.DUMMYFUNCTION("""COMPUTED_VALUE"""),0.8)</f>
        <v>0.8</v>
      </c>
      <c r="G10" s="26">
        <f>IFERROR(__xludf.DUMMYFUNCTION("""COMPUTED_VALUE"""),1.677676198498E12)</f>
        <v>1677676198498</v>
      </c>
      <c r="H10" s="26">
        <f t="shared" si="1"/>
        <v>699</v>
      </c>
    </row>
    <row r="11">
      <c r="B11" s="26">
        <f>IFERROR(__xludf.DUMMYFUNCTION("""COMPUTED_VALUE"""),0.624883987936306)</f>
        <v>0.6248839879</v>
      </c>
      <c r="C11" s="26">
        <f>IFERROR(__xludf.DUMMYFUNCTION("""COMPUTED_VALUE"""),-0.0365923055998737)</f>
        <v>-0.0365923056</v>
      </c>
      <c r="D11" s="26">
        <f>IFERROR(__xludf.DUMMYFUNCTION("""COMPUTED_VALUE"""),-0.699006863382204)</f>
        <v>-0.6990068634</v>
      </c>
      <c r="E11" s="26">
        <f>IFERROR(__xludf.DUMMYFUNCTION("""COMPUTED_VALUE"""),-0.345789545440976)</f>
        <v>-0.3457895454</v>
      </c>
      <c r="F11" s="26">
        <f>IFERROR(__xludf.DUMMYFUNCTION("""COMPUTED_VALUE"""),0.9)</f>
        <v>0.9</v>
      </c>
      <c r="G11" s="26">
        <f>IFERROR(__xludf.DUMMYFUNCTION("""COMPUTED_VALUE"""),1.677676198596E12)</f>
        <v>1677676198596</v>
      </c>
      <c r="H11" s="26">
        <f t="shared" si="1"/>
        <v>797</v>
      </c>
    </row>
    <row r="12">
      <c r="B12" s="26">
        <f>IFERROR(__xludf.DUMMYFUNCTION("""COMPUTED_VALUE"""),0.624883987936306)</f>
        <v>0.6248839879</v>
      </c>
      <c r="C12" s="26">
        <f>IFERROR(__xludf.DUMMYFUNCTION("""COMPUTED_VALUE"""),-0.0365923055998737)</f>
        <v>-0.0365923056</v>
      </c>
      <c r="D12" s="26">
        <f>IFERROR(__xludf.DUMMYFUNCTION("""COMPUTED_VALUE"""),-0.699006863382204)</f>
        <v>-0.6990068634</v>
      </c>
      <c r="E12" s="26">
        <f>IFERROR(__xludf.DUMMYFUNCTION("""COMPUTED_VALUE"""),-0.345789545440976)</f>
        <v>-0.3457895454</v>
      </c>
      <c r="F12" s="26">
        <f>IFERROR(__xludf.DUMMYFUNCTION("""COMPUTED_VALUE"""),1.0)</f>
        <v>1</v>
      </c>
      <c r="G12" s="26">
        <f>IFERROR(__xludf.DUMMYFUNCTION("""COMPUTED_VALUE"""),1.677676198701E12)</f>
        <v>1677676198701</v>
      </c>
      <c r="H12" s="26">
        <f t="shared" si="1"/>
        <v>902</v>
      </c>
    </row>
    <row r="13">
      <c r="B13" s="26">
        <f>IFERROR(__xludf.DUMMYFUNCTION("""COMPUTED_VALUE"""),0.624883987936306)</f>
        <v>0.6248839879</v>
      </c>
      <c r="C13" s="26">
        <f>IFERROR(__xludf.DUMMYFUNCTION("""COMPUTED_VALUE"""),-0.0365923055998737)</f>
        <v>-0.0365923056</v>
      </c>
      <c r="D13" s="26">
        <f>IFERROR(__xludf.DUMMYFUNCTION("""COMPUTED_VALUE"""),-0.699006863382204)</f>
        <v>-0.6990068634</v>
      </c>
      <c r="E13" s="26">
        <f>IFERROR(__xludf.DUMMYFUNCTION("""COMPUTED_VALUE"""),-0.345789545440976)</f>
        <v>-0.3457895454</v>
      </c>
      <c r="F13" s="26">
        <f>IFERROR(__xludf.DUMMYFUNCTION("""COMPUTED_VALUE"""),1.1)</f>
        <v>1.1</v>
      </c>
      <c r="G13" s="26">
        <f>IFERROR(__xludf.DUMMYFUNCTION("""COMPUTED_VALUE"""),1.677676198798E12)</f>
        <v>1677676198798</v>
      </c>
      <c r="H13" s="26">
        <f t="shared" si="1"/>
        <v>999</v>
      </c>
    </row>
    <row r="14">
      <c r="B14" s="26">
        <f>IFERROR(__xludf.DUMMYFUNCTION("""COMPUTED_VALUE"""),0.624883987936306)</f>
        <v>0.6248839879</v>
      </c>
      <c r="C14" s="26">
        <f>IFERROR(__xludf.DUMMYFUNCTION("""COMPUTED_VALUE"""),-0.0365923055998737)</f>
        <v>-0.0365923056</v>
      </c>
      <c r="D14" s="26">
        <f>IFERROR(__xludf.DUMMYFUNCTION("""COMPUTED_VALUE"""),-0.699006863382204)</f>
        <v>-0.6990068634</v>
      </c>
      <c r="E14" s="26">
        <f>IFERROR(__xludf.DUMMYFUNCTION("""COMPUTED_VALUE"""),-0.345789545440976)</f>
        <v>-0.3457895454</v>
      </c>
      <c r="F14" s="26">
        <f>IFERROR(__xludf.DUMMYFUNCTION("""COMPUTED_VALUE"""),1.2)</f>
        <v>1.2</v>
      </c>
      <c r="G14" s="26">
        <f>IFERROR(__xludf.DUMMYFUNCTION("""COMPUTED_VALUE"""),1.677676198897E12)</f>
        <v>1677676198897</v>
      </c>
      <c r="H14" s="26">
        <f t="shared" si="1"/>
        <v>1098</v>
      </c>
    </row>
    <row r="15">
      <c r="B15" s="26">
        <f>IFERROR(__xludf.DUMMYFUNCTION("""COMPUTED_VALUE"""),0.624883987936306)</f>
        <v>0.6248839879</v>
      </c>
      <c r="C15" s="26">
        <f>IFERROR(__xludf.DUMMYFUNCTION("""COMPUTED_VALUE"""),-0.0365923055998737)</f>
        <v>-0.0365923056</v>
      </c>
      <c r="D15" s="26">
        <f>IFERROR(__xludf.DUMMYFUNCTION("""COMPUTED_VALUE"""),-0.699006863382204)</f>
        <v>-0.6990068634</v>
      </c>
      <c r="E15" s="26">
        <f>IFERROR(__xludf.DUMMYFUNCTION("""COMPUTED_VALUE"""),-0.345789545440976)</f>
        <v>-0.3457895454</v>
      </c>
      <c r="F15" s="26">
        <f>IFERROR(__xludf.DUMMYFUNCTION("""COMPUTED_VALUE"""),1.3)</f>
        <v>1.3</v>
      </c>
      <c r="G15" s="26">
        <f>IFERROR(__xludf.DUMMYFUNCTION("""COMPUTED_VALUE"""),1.677676198997E12)</f>
        <v>1677676198997</v>
      </c>
      <c r="H15" s="26">
        <f t="shared" si="1"/>
        <v>1198</v>
      </c>
    </row>
    <row r="16">
      <c r="B16" s="26">
        <f>IFERROR(__xludf.DUMMYFUNCTION("""COMPUTED_VALUE"""),0.624883987936306)</f>
        <v>0.6248839879</v>
      </c>
      <c r="C16" s="26">
        <f>IFERROR(__xludf.DUMMYFUNCTION("""COMPUTED_VALUE"""),-0.0365923055998737)</f>
        <v>-0.0365923056</v>
      </c>
      <c r="D16" s="26">
        <f>IFERROR(__xludf.DUMMYFUNCTION("""COMPUTED_VALUE"""),-0.699006863382204)</f>
        <v>-0.6990068634</v>
      </c>
      <c r="E16" s="26">
        <f>IFERROR(__xludf.DUMMYFUNCTION("""COMPUTED_VALUE"""),-0.345789545440976)</f>
        <v>-0.3457895454</v>
      </c>
      <c r="F16" s="26">
        <f>IFERROR(__xludf.DUMMYFUNCTION("""COMPUTED_VALUE"""),1.4)</f>
        <v>1.4</v>
      </c>
      <c r="G16" s="26">
        <f>IFERROR(__xludf.DUMMYFUNCTION("""COMPUTED_VALUE"""),1.677676199101E12)</f>
        <v>1677676199101</v>
      </c>
      <c r="H16" s="26">
        <f t="shared" si="1"/>
        <v>1302</v>
      </c>
    </row>
    <row r="17">
      <c r="B17" s="26">
        <f>IFERROR(__xludf.DUMMYFUNCTION("""COMPUTED_VALUE"""),0.624883987936306)</f>
        <v>0.6248839879</v>
      </c>
      <c r="C17" s="26">
        <f>IFERROR(__xludf.DUMMYFUNCTION("""COMPUTED_VALUE"""),-0.0365923055998737)</f>
        <v>-0.0365923056</v>
      </c>
      <c r="D17" s="26">
        <f>IFERROR(__xludf.DUMMYFUNCTION("""COMPUTED_VALUE"""),-0.699006863382204)</f>
        <v>-0.6990068634</v>
      </c>
      <c r="E17" s="26">
        <f>IFERROR(__xludf.DUMMYFUNCTION("""COMPUTED_VALUE"""),-0.345789545440976)</f>
        <v>-0.3457895454</v>
      </c>
      <c r="F17" s="26">
        <f>IFERROR(__xludf.DUMMYFUNCTION("""COMPUTED_VALUE"""),1.5)</f>
        <v>1.5</v>
      </c>
      <c r="G17" s="26">
        <f>IFERROR(__xludf.DUMMYFUNCTION("""COMPUTED_VALUE"""),1.677676199198E12)</f>
        <v>1677676199198</v>
      </c>
      <c r="H17" s="26">
        <f t="shared" si="1"/>
        <v>1399</v>
      </c>
    </row>
    <row r="18">
      <c r="B18" s="26">
        <f>IFERROR(__xludf.DUMMYFUNCTION("""COMPUTED_VALUE"""),0.624883987936306)</f>
        <v>0.6248839879</v>
      </c>
      <c r="C18" s="26">
        <f>IFERROR(__xludf.DUMMYFUNCTION("""COMPUTED_VALUE"""),-0.0365923055998737)</f>
        <v>-0.0365923056</v>
      </c>
      <c r="D18" s="26">
        <f>IFERROR(__xludf.DUMMYFUNCTION("""COMPUTED_VALUE"""),-0.699006863382204)</f>
        <v>-0.6990068634</v>
      </c>
      <c r="E18" s="26">
        <f>IFERROR(__xludf.DUMMYFUNCTION("""COMPUTED_VALUE"""),-0.345789545440976)</f>
        <v>-0.3457895454</v>
      </c>
      <c r="F18" s="26">
        <f>IFERROR(__xludf.DUMMYFUNCTION("""COMPUTED_VALUE"""),1.6)</f>
        <v>1.6</v>
      </c>
      <c r="G18" s="26">
        <f>IFERROR(__xludf.DUMMYFUNCTION("""COMPUTED_VALUE"""),1.677676199296E12)</f>
        <v>1677676199296</v>
      </c>
      <c r="H18" s="26">
        <f t="shared" si="1"/>
        <v>1497</v>
      </c>
    </row>
    <row r="19">
      <c r="B19" s="26">
        <f>IFERROR(__xludf.DUMMYFUNCTION("""COMPUTED_VALUE"""),0.624883987936306)</f>
        <v>0.6248839879</v>
      </c>
      <c r="C19" s="26">
        <f>IFERROR(__xludf.DUMMYFUNCTION("""COMPUTED_VALUE"""),-0.0365923055998737)</f>
        <v>-0.0365923056</v>
      </c>
      <c r="D19" s="26">
        <f>IFERROR(__xludf.DUMMYFUNCTION("""COMPUTED_VALUE"""),-0.699006863382204)</f>
        <v>-0.6990068634</v>
      </c>
      <c r="E19" s="26">
        <f>IFERROR(__xludf.DUMMYFUNCTION("""COMPUTED_VALUE"""),-0.345789545440976)</f>
        <v>-0.3457895454</v>
      </c>
      <c r="F19" s="26">
        <f>IFERROR(__xludf.DUMMYFUNCTION("""COMPUTED_VALUE"""),1.7)</f>
        <v>1.7</v>
      </c>
      <c r="G19" s="26">
        <f>IFERROR(__xludf.DUMMYFUNCTION("""COMPUTED_VALUE"""),1.677676199472E12)</f>
        <v>1677676199472</v>
      </c>
      <c r="H19" s="26">
        <f t="shared" si="1"/>
        <v>1673</v>
      </c>
    </row>
    <row r="20">
      <c r="B20" s="26">
        <f>IFERROR(__xludf.DUMMYFUNCTION("""COMPUTED_VALUE"""),0.624883987936306)</f>
        <v>0.6248839879</v>
      </c>
      <c r="C20" s="26">
        <f>IFERROR(__xludf.DUMMYFUNCTION("""COMPUTED_VALUE"""),-0.0365923055998737)</f>
        <v>-0.0365923056</v>
      </c>
      <c r="D20" s="26">
        <f>IFERROR(__xludf.DUMMYFUNCTION("""COMPUTED_VALUE"""),-0.699006863382204)</f>
        <v>-0.6990068634</v>
      </c>
      <c r="E20" s="26">
        <f>IFERROR(__xludf.DUMMYFUNCTION("""COMPUTED_VALUE"""),-0.345789545440976)</f>
        <v>-0.3457895454</v>
      </c>
      <c r="F20" s="26">
        <f>IFERROR(__xludf.DUMMYFUNCTION("""COMPUTED_VALUE"""),1.8)</f>
        <v>1.8</v>
      </c>
      <c r="G20" s="26">
        <f>IFERROR(__xludf.DUMMYFUNCTION("""COMPUTED_VALUE"""),1.677676199498E12)</f>
        <v>1677676199498</v>
      </c>
      <c r="H20" s="26">
        <f t="shared" si="1"/>
        <v>1699</v>
      </c>
    </row>
    <row r="21">
      <c r="B21" s="26">
        <f>IFERROR(__xludf.DUMMYFUNCTION("""COMPUTED_VALUE"""),0.624883987936306)</f>
        <v>0.6248839879</v>
      </c>
      <c r="C21" s="26">
        <f>IFERROR(__xludf.DUMMYFUNCTION("""COMPUTED_VALUE"""),-0.0365923055998737)</f>
        <v>-0.0365923056</v>
      </c>
      <c r="D21" s="26">
        <f>IFERROR(__xludf.DUMMYFUNCTION("""COMPUTED_VALUE"""),-0.699006863382204)</f>
        <v>-0.6990068634</v>
      </c>
      <c r="E21" s="26">
        <f>IFERROR(__xludf.DUMMYFUNCTION("""COMPUTED_VALUE"""),-0.345789545440976)</f>
        <v>-0.3457895454</v>
      </c>
      <c r="F21" s="26">
        <f>IFERROR(__xludf.DUMMYFUNCTION("""COMPUTED_VALUE"""),1.9)</f>
        <v>1.9</v>
      </c>
      <c r="G21" s="26">
        <f>IFERROR(__xludf.DUMMYFUNCTION("""COMPUTED_VALUE"""),1.677676199597E12)</f>
        <v>1677676199597</v>
      </c>
      <c r="H21" s="26">
        <f t="shared" si="1"/>
        <v>1798</v>
      </c>
    </row>
    <row r="22">
      <c r="B22" s="26">
        <f>IFERROR(__xludf.DUMMYFUNCTION("""COMPUTED_VALUE"""),0.624883987936306)</f>
        <v>0.6248839879</v>
      </c>
      <c r="C22" s="26">
        <f>IFERROR(__xludf.DUMMYFUNCTION("""COMPUTED_VALUE"""),-0.0365923055998737)</f>
        <v>-0.0365923056</v>
      </c>
      <c r="D22" s="26">
        <f>IFERROR(__xludf.DUMMYFUNCTION("""COMPUTED_VALUE"""),-0.699006863382204)</f>
        <v>-0.6990068634</v>
      </c>
      <c r="E22" s="26">
        <f>IFERROR(__xludf.DUMMYFUNCTION("""COMPUTED_VALUE"""),-0.345789545440976)</f>
        <v>-0.3457895454</v>
      </c>
      <c r="F22" s="26">
        <f>IFERROR(__xludf.DUMMYFUNCTION("""COMPUTED_VALUE"""),2.0)</f>
        <v>2</v>
      </c>
      <c r="G22" s="26">
        <f>IFERROR(__xludf.DUMMYFUNCTION("""COMPUTED_VALUE"""),1.677676199714E12)</f>
        <v>1677676199714</v>
      </c>
      <c r="H22" s="26">
        <f t="shared" si="1"/>
        <v>1915</v>
      </c>
    </row>
    <row r="23">
      <c r="B23" s="26">
        <f>IFERROR(__xludf.DUMMYFUNCTION("""COMPUTED_VALUE"""),0.624883987936306)</f>
        <v>0.6248839879</v>
      </c>
      <c r="C23" s="26">
        <f>IFERROR(__xludf.DUMMYFUNCTION("""COMPUTED_VALUE"""),-0.0365923055998737)</f>
        <v>-0.0365923056</v>
      </c>
      <c r="D23" s="26">
        <f>IFERROR(__xludf.DUMMYFUNCTION("""COMPUTED_VALUE"""),-0.699006863382204)</f>
        <v>-0.6990068634</v>
      </c>
      <c r="E23" s="26">
        <f>IFERROR(__xludf.DUMMYFUNCTION("""COMPUTED_VALUE"""),-0.345789545440976)</f>
        <v>-0.3457895454</v>
      </c>
      <c r="F23" s="26">
        <f>IFERROR(__xludf.DUMMYFUNCTION("""COMPUTED_VALUE"""),2.1)</f>
        <v>2.1</v>
      </c>
      <c r="G23" s="26">
        <f>IFERROR(__xludf.DUMMYFUNCTION("""COMPUTED_VALUE"""),1.677676199795E12)</f>
        <v>1677676199795</v>
      </c>
      <c r="H23" s="26">
        <f t="shared" si="1"/>
        <v>1996</v>
      </c>
    </row>
    <row r="24">
      <c r="B24" s="26">
        <f>IFERROR(__xludf.DUMMYFUNCTION("""COMPUTED_VALUE"""),0.624883987936306)</f>
        <v>0.6248839879</v>
      </c>
      <c r="C24" s="26">
        <f>IFERROR(__xludf.DUMMYFUNCTION("""COMPUTED_VALUE"""),-0.0365923055998737)</f>
        <v>-0.0365923056</v>
      </c>
      <c r="D24" s="26">
        <f>IFERROR(__xludf.DUMMYFUNCTION("""COMPUTED_VALUE"""),-0.699006863382204)</f>
        <v>-0.6990068634</v>
      </c>
      <c r="E24" s="26">
        <f>IFERROR(__xludf.DUMMYFUNCTION("""COMPUTED_VALUE"""),-0.345789545440976)</f>
        <v>-0.3457895454</v>
      </c>
      <c r="F24" s="26">
        <f>IFERROR(__xludf.DUMMYFUNCTION("""COMPUTED_VALUE"""),2.2)</f>
        <v>2.2</v>
      </c>
      <c r="G24" s="26">
        <f>IFERROR(__xludf.DUMMYFUNCTION("""COMPUTED_VALUE"""),1.677676199897E12)</f>
        <v>1677676199897</v>
      </c>
      <c r="H24" s="26">
        <f t="shared" si="1"/>
        <v>2098</v>
      </c>
    </row>
    <row r="25">
      <c r="B25" s="26">
        <f>IFERROR(__xludf.DUMMYFUNCTION("""COMPUTED_VALUE"""),0.624883987936306)</f>
        <v>0.6248839879</v>
      </c>
      <c r="C25" s="26">
        <f>IFERROR(__xludf.DUMMYFUNCTION("""COMPUTED_VALUE"""),-0.0365923055998737)</f>
        <v>-0.0365923056</v>
      </c>
      <c r="D25" s="26">
        <f>IFERROR(__xludf.DUMMYFUNCTION("""COMPUTED_VALUE"""),-0.699006863382204)</f>
        <v>-0.6990068634</v>
      </c>
      <c r="E25" s="26">
        <f>IFERROR(__xludf.DUMMYFUNCTION("""COMPUTED_VALUE"""),-0.345789545440976)</f>
        <v>-0.3457895454</v>
      </c>
      <c r="F25" s="26">
        <f>IFERROR(__xludf.DUMMYFUNCTION("""COMPUTED_VALUE"""),2.3)</f>
        <v>2.3</v>
      </c>
      <c r="G25" s="26">
        <f>IFERROR(__xludf.DUMMYFUNCTION("""COMPUTED_VALUE"""),1.677676200025E12)</f>
        <v>1677676200025</v>
      </c>
      <c r="H25" s="26">
        <f t="shared" si="1"/>
        <v>2226</v>
      </c>
    </row>
    <row r="26">
      <c r="B26" s="26">
        <f>IFERROR(__xludf.DUMMYFUNCTION("""COMPUTED_VALUE"""),0.624883987936306)</f>
        <v>0.6248839879</v>
      </c>
      <c r="C26" s="26">
        <f>IFERROR(__xludf.DUMMYFUNCTION("""COMPUTED_VALUE"""),-0.0365923055998737)</f>
        <v>-0.0365923056</v>
      </c>
      <c r="D26" s="26">
        <f>IFERROR(__xludf.DUMMYFUNCTION("""COMPUTED_VALUE"""),-0.699006863382204)</f>
        <v>-0.6990068634</v>
      </c>
      <c r="E26" s="26">
        <f>IFERROR(__xludf.DUMMYFUNCTION("""COMPUTED_VALUE"""),-0.345789545440976)</f>
        <v>-0.3457895454</v>
      </c>
      <c r="F26" s="26">
        <f>IFERROR(__xludf.DUMMYFUNCTION("""COMPUTED_VALUE"""),2.4)</f>
        <v>2.4</v>
      </c>
      <c r="G26" s="26">
        <f>IFERROR(__xludf.DUMMYFUNCTION("""COMPUTED_VALUE"""),1.677676200097E12)</f>
        <v>1677676200097</v>
      </c>
      <c r="H26" s="26">
        <f t="shared" si="1"/>
        <v>2298</v>
      </c>
    </row>
    <row r="27">
      <c r="B27" s="26">
        <f>IFERROR(__xludf.DUMMYFUNCTION("""COMPUTED_VALUE"""),0.624883987936306)</f>
        <v>0.6248839879</v>
      </c>
      <c r="C27" s="26">
        <f>IFERROR(__xludf.DUMMYFUNCTION("""COMPUTED_VALUE"""),-0.0365923055998737)</f>
        <v>-0.0365923056</v>
      </c>
      <c r="D27" s="26">
        <f>IFERROR(__xludf.DUMMYFUNCTION("""COMPUTED_VALUE"""),-0.699006863382204)</f>
        <v>-0.6990068634</v>
      </c>
      <c r="E27" s="26">
        <f>IFERROR(__xludf.DUMMYFUNCTION("""COMPUTED_VALUE"""),-0.345789545440976)</f>
        <v>-0.3457895454</v>
      </c>
      <c r="F27" s="26">
        <f>IFERROR(__xludf.DUMMYFUNCTION("""COMPUTED_VALUE"""),2.5)</f>
        <v>2.5</v>
      </c>
      <c r="G27" s="26">
        <f>IFERROR(__xludf.DUMMYFUNCTION("""COMPUTED_VALUE"""),1.677676200196E12)</f>
        <v>1677676200196</v>
      </c>
      <c r="H27" s="26">
        <f t="shared" si="1"/>
        <v>2397</v>
      </c>
    </row>
    <row r="28">
      <c r="B28" s="26">
        <f>IFERROR(__xludf.DUMMYFUNCTION("""COMPUTED_VALUE"""),0.624883987936306)</f>
        <v>0.6248839879</v>
      </c>
      <c r="C28" s="26">
        <f>IFERROR(__xludf.DUMMYFUNCTION("""COMPUTED_VALUE"""),-0.0365923055998737)</f>
        <v>-0.0365923056</v>
      </c>
      <c r="D28" s="26">
        <f>IFERROR(__xludf.DUMMYFUNCTION("""COMPUTED_VALUE"""),-0.699006863382204)</f>
        <v>-0.6990068634</v>
      </c>
      <c r="E28" s="26">
        <f>IFERROR(__xludf.DUMMYFUNCTION("""COMPUTED_VALUE"""),-0.345789545440976)</f>
        <v>-0.3457895454</v>
      </c>
      <c r="F28" s="26">
        <f>IFERROR(__xludf.DUMMYFUNCTION("""COMPUTED_VALUE"""),2.6)</f>
        <v>2.6</v>
      </c>
      <c r="G28" s="26">
        <f>IFERROR(__xludf.DUMMYFUNCTION("""COMPUTED_VALUE"""),1.677676200295E12)</f>
        <v>1677676200295</v>
      </c>
      <c r="H28" s="26">
        <f t="shared" si="1"/>
        <v>2496</v>
      </c>
    </row>
    <row r="29">
      <c r="B29" s="26">
        <f>IFERROR(__xludf.DUMMYFUNCTION("""COMPUTED_VALUE"""),0.624883987936306)</f>
        <v>0.6248839879</v>
      </c>
      <c r="C29" s="26">
        <f>IFERROR(__xludf.DUMMYFUNCTION("""COMPUTED_VALUE"""),-0.0365923055998737)</f>
        <v>-0.0365923056</v>
      </c>
      <c r="D29" s="26">
        <f>IFERROR(__xludf.DUMMYFUNCTION("""COMPUTED_VALUE"""),-0.699006863382204)</f>
        <v>-0.6990068634</v>
      </c>
      <c r="E29" s="26">
        <f>IFERROR(__xludf.DUMMYFUNCTION("""COMPUTED_VALUE"""),-0.345789545440976)</f>
        <v>-0.3457895454</v>
      </c>
      <c r="F29" s="26">
        <f>IFERROR(__xludf.DUMMYFUNCTION("""COMPUTED_VALUE"""),2.7)</f>
        <v>2.7</v>
      </c>
      <c r="G29" s="26">
        <f>IFERROR(__xludf.DUMMYFUNCTION("""COMPUTED_VALUE"""),1.677676200396E12)</f>
        <v>1677676200396</v>
      </c>
      <c r="H29" s="26">
        <f t="shared" si="1"/>
        <v>2597</v>
      </c>
    </row>
    <row r="30">
      <c r="B30" s="26">
        <f>IFERROR(__xludf.DUMMYFUNCTION("""COMPUTED_VALUE"""),0.624883987936306)</f>
        <v>0.6248839879</v>
      </c>
      <c r="C30" s="26">
        <f>IFERROR(__xludf.DUMMYFUNCTION("""COMPUTED_VALUE"""),-0.0365923055998737)</f>
        <v>-0.0365923056</v>
      </c>
      <c r="D30" s="26">
        <f>IFERROR(__xludf.DUMMYFUNCTION("""COMPUTED_VALUE"""),-0.699006863382204)</f>
        <v>-0.6990068634</v>
      </c>
      <c r="E30" s="26">
        <f>IFERROR(__xludf.DUMMYFUNCTION("""COMPUTED_VALUE"""),-0.345789545440976)</f>
        <v>-0.3457895454</v>
      </c>
      <c r="F30" s="26">
        <f>IFERROR(__xludf.DUMMYFUNCTION("""COMPUTED_VALUE"""),2.8)</f>
        <v>2.8</v>
      </c>
      <c r="G30" s="26">
        <f>IFERROR(__xludf.DUMMYFUNCTION("""COMPUTED_VALUE"""),1.677676200514E12)</f>
        <v>1677676200514</v>
      </c>
      <c r="H30" s="26">
        <f t="shared" si="1"/>
        <v>2715</v>
      </c>
    </row>
    <row r="31">
      <c r="B31" s="26">
        <f>IFERROR(__xludf.DUMMYFUNCTION("""COMPUTED_VALUE"""),0.624883987936306)</f>
        <v>0.6248839879</v>
      </c>
      <c r="C31" s="26">
        <f>IFERROR(__xludf.DUMMYFUNCTION("""COMPUTED_VALUE"""),-0.0365923055998737)</f>
        <v>-0.0365923056</v>
      </c>
      <c r="D31" s="26">
        <f>IFERROR(__xludf.DUMMYFUNCTION("""COMPUTED_VALUE"""),-0.699006863382204)</f>
        <v>-0.6990068634</v>
      </c>
      <c r="E31" s="26">
        <f>IFERROR(__xludf.DUMMYFUNCTION("""COMPUTED_VALUE"""),-0.345789545440976)</f>
        <v>-0.3457895454</v>
      </c>
      <c r="F31" s="26">
        <f>IFERROR(__xludf.DUMMYFUNCTION("""COMPUTED_VALUE"""),2.9)</f>
        <v>2.9</v>
      </c>
      <c r="G31" s="26">
        <f>IFERROR(__xludf.DUMMYFUNCTION("""COMPUTED_VALUE"""),1.677676200627E12)</f>
        <v>1677676200627</v>
      </c>
      <c r="H31" s="26">
        <f t="shared" si="1"/>
        <v>2828</v>
      </c>
    </row>
    <row r="32">
      <c r="B32" s="26">
        <f>IFERROR(__xludf.DUMMYFUNCTION("""COMPUTED_VALUE"""),0.624883987936306)</f>
        <v>0.6248839879</v>
      </c>
      <c r="C32" s="26">
        <f>IFERROR(__xludf.DUMMYFUNCTION("""COMPUTED_VALUE"""),-0.0365923055998737)</f>
        <v>-0.0365923056</v>
      </c>
      <c r="D32" s="26">
        <f>IFERROR(__xludf.DUMMYFUNCTION("""COMPUTED_VALUE"""),-0.699006863382204)</f>
        <v>-0.6990068634</v>
      </c>
      <c r="E32" s="26">
        <f>IFERROR(__xludf.DUMMYFUNCTION("""COMPUTED_VALUE"""),-0.345789545440976)</f>
        <v>-0.3457895454</v>
      </c>
      <c r="F32" s="26">
        <f>IFERROR(__xludf.DUMMYFUNCTION("""COMPUTED_VALUE"""),3.0)</f>
        <v>3</v>
      </c>
      <c r="G32" s="26">
        <f>IFERROR(__xludf.DUMMYFUNCTION("""COMPUTED_VALUE"""),1.677676200733E12)</f>
        <v>1677676200733</v>
      </c>
      <c r="H32" s="26">
        <f t="shared" si="1"/>
        <v>2934</v>
      </c>
    </row>
    <row r="33">
      <c r="B33" s="26">
        <f>IFERROR(__xludf.DUMMYFUNCTION("""COMPUTED_VALUE"""),0.624883987936306)</f>
        <v>0.6248839879</v>
      </c>
      <c r="C33" s="26">
        <f>IFERROR(__xludf.DUMMYFUNCTION("""COMPUTED_VALUE"""),-0.0365923055998737)</f>
        <v>-0.0365923056</v>
      </c>
      <c r="D33" s="26">
        <f>IFERROR(__xludf.DUMMYFUNCTION("""COMPUTED_VALUE"""),-0.699006863382204)</f>
        <v>-0.6990068634</v>
      </c>
      <c r="E33" s="26">
        <f>IFERROR(__xludf.DUMMYFUNCTION("""COMPUTED_VALUE"""),-0.345789545440976)</f>
        <v>-0.3457895454</v>
      </c>
      <c r="F33" s="26">
        <f>IFERROR(__xludf.DUMMYFUNCTION("""COMPUTED_VALUE"""),3.1)</f>
        <v>3.1</v>
      </c>
      <c r="G33" s="26">
        <f>IFERROR(__xludf.DUMMYFUNCTION("""COMPUTED_VALUE"""),1.677676200797E12)</f>
        <v>1677676200797</v>
      </c>
      <c r="H33" s="26">
        <f t="shared" si="1"/>
        <v>2998</v>
      </c>
    </row>
    <row r="34">
      <c r="B34" s="26">
        <f>IFERROR(__xludf.DUMMYFUNCTION("""COMPUTED_VALUE"""),-0.574685208077922)</f>
        <v>-0.5746852081</v>
      </c>
      <c r="C34" s="26">
        <f>IFERROR(__xludf.DUMMYFUNCTION("""COMPUTED_VALUE"""),-0.071539133519983)</f>
        <v>-0.07153913352</v>
      </c>
      <c r="D34" s="26">
        <f>IFERROR(__xludf.DUMMYFUNCTION("""COMPUTED_VALUE"""),0.689145509445365)</f>
        <v>0.6891455094</v>
      </c>
      <c r="E34" s="26">
        <f>IFERROR(__xludf.DUMMYFUNCTION("""COMPUTED_VALUE"""),0.435542800196412)</f>
        <v>0.4355428002</v>
      </c>
      <c r="F34" s="26">
        <f>IFERROR(__xludf.DUMMYFUNCTION("""COMPUTED_VALUE"""),3.2)</f>
        <v>3.2</v>
      </c>
      <c r="G34" s="26">
        <f>IFERROR(__xludf.DUMMYFUNCTION("""COMPUTED_VALUE"""),1.677676200897E12)</f>
        <v>1677676200897</v>
      </c>
      <c r="H34" s="26">
        <f t="shared" si="1"/>
        <v>3098</v>
      </c>
    </row>
    <row r="35">
      <c r="B35" s="26">
        <f>IFERROR(__xludf.DUMMYFUNCTION("""COMPUTED_VALUE"""),-0.539570524364124)</f>
        <v>-0.5395705244</v>
      </c>
      <c r="C35" s="26">
        <f>IFERROR(__xludf.DUMMYFUNCTION("""COMPUTED_VALUE"""),-0.129599649507689)</f>
        <v>-0.1295996495</v>
      </c>
      <c r="D35" s="26">
        <f>IFERROR(__xludf.DUMMYFUNCTION("""COMPUTED_VALUE"""),0.678527330129914)</f>
        <v>0.6785273301</v>
      </c>
      <c r="E35" s="26">
        <f>IFERROR(__xludf.DUMMYFUNCTION("""COMPUTED_VALUE"""),0.481319272782295)</f>
        <v>0.4813192728</v>
      </c>
      <c r="F35" s="26">
        <f>IFERROR(__xludf.DUMMYFUNCTION("""COMPUTED_VALUE"""),3.3)</f>
        <v>3.3</v>
      </c>
      <c r="G35" s="26">
        <f>IFERROR(__xludf.DUMMYFUNCTION("""COMPUTED_VALUE"""),1.677676200994E12)</f>
        <v>1677676200994</v>
      </c>
      <c r="H35" s="26">
        <f t="shared" si="1"/>
        <v>3195</v>
      </c>
    </row>
    <row r="36">
      <c r="B36" s="26">
        <f>IFERROR(__xludf.DUMMYFUNCTION("""COMPUTED_VALUE"""),-0.5136494253154)</f>
        <v>-0.5136494253</v>
      </c>
      <c r="C36" s="26">
        <f>IFERROR(__xludf.DUMMYFUNCTION("""COMPUTED_VALUE"""),-0.159453809515922)</f>
        <v>-0.1594538095</v>
      </c>
      <c r="D36" s="26">
        <f>IFERROR(__xludf.DUMMYFUNCTION("""COMPUTED_VALUE"""),0.673714635620026)</f>
        <v>0.6737146356</v>
      </c>
      <c r="E36" s="26">
        <f>IFERROR(__xludf.DUMMYFUNCTION("""COMPUTED_VALUE"""),0.506801085491531)</f>
        <v>0.5068010855</v>
      </c>
      <c r="F36" s="26">
        <f>IFERROR(__xludf.DUMMYFUNCTION("""COMPUTED_VALUE"""),3.4)</f>
        <v>3.4</v>
      </c>
      <c r="G36" s="26">
        <f>IFERROR(__xludf.DUMMYFUNCTION("""COMPUTED_VALUE"""),1.677676201095E12)</f>
        <v>1677676201095</v>
      </c>
      <c r="H36" s="26">
        <f t="shared" si="1"/>
        <v>3296</v>
      </c>
    </row>
    <row r="37">
      <c r="B37" s="26">
        <f>IFERROR(__xludf.DUMMYFUNCTION("""COMPUTED_VALUE"""),-0.494827470036138)</f>
        <v>-0.49482747</v>
      </c>
      <c r="C37" s="26">
        <f>IFERROR(__xludf.DUMMYFUNCTION("""COMPUTED_VALUE"""),-0.178545473554783)</f>
        <v>-0.1785454736</v>
      </c>
      <c r="D37" s="26">
        <f>IFERROR(__xludf.DUMMYFUNCTION("""COMPUTED_VALUE"""),0.670385542928844)</f>
        <v>0.6703855429</v>
      </c>
      <c r="E37" s="26">
        <f>IFERROR(__xludf.DUMMYFUNCTION("""COMPUTED_VALUE"""),0.523307283154679)</f>
        <v>0.5233072832</v>
      </c>
      <c r="F37" s="26">
        <f>IFERROR(__xludf.DUMMYFUNCTION("""COMPUTED_VALUE"""),3.5)</f>
        <v>3.5</v>
      </c>
      <c r="G37" s="26">
        <f>IFERROR(__xludf.DUMMYFUNCTION("""COMPUTED_VALUE"""),1.677676201208E12)</f>
        <v>1677676201208</v>
      </c>
      <c r="H37" s="26">
        <f t="shared" si="1"/>
        <v>3409</v>
      </c>
    </row>
    <row r="38">
      <c r="B38" s="26">
        <f>IFERROR(__xludf.DUMMYFUNCTION("""COMPUTED_VALUE"""),-0.459053508629929)</f>
        <v>-0.4590535086</v>
      </c>
      <c r="C38" s="26">
        <f>IFERROR(__xludf.DUMMYFUNCTION("""COMPUTED_VALUE"""),-0.201658168231155)</f>
        <v>-0.2016581682</v>
      </c>
      <c r="D38" s="26">
        <f>IFERROR(__xludf.DUMMYFUNCTION("""COMPUTED_VALUE"""),0.668884093280961)</f>
        <v>0.6688840933</v>
      </c>
      <c r="E38" s="26">
        <f>IFERROR(__xludf.DUMMYFUNCTION("""COMPUTED_VALUE"""),0.548815022713402)</f>
        <v>0.5488150227</v>
      </c>
      <c r="F38" s="26">
        <f>IFERROR(__xludf.DUMMYFUNCTION("""COMPUTED_VALUE"""),3.6)</f>
        <v>3.6</v>
      </c>
      <c r="G38" s="26">
        <f>IFERROR(__xludf.DUMMYFUNCTION("""COMPUTED_VALUE"""),1.6776762013E12)</f>
        <v>1677676201300</v>
      </c>
      <c r="H38" s="26">
        <f t="shared" si="1"/>
        <v>3501</v>
      </c>
    </row>
    <row r="39">
      <c r="B39" s="26">
        <f>IFERROR(__xludf.DUMMYFUNCTION("""COMPUTED_VALUE"""),-0.297579859435297)</f>
        <v>-0.2975798594</v>
      </c>
      <c r="C39" s="26">
        <f>IFERROR(__xludf.DUMMYFUNCTION("""COMPUTED_VALUE"""),-0.1768029634375)</f>
        <v>-0.1768029634</v>
      </c>
      <c r="D39" s="26">
        <f>IFERROR(__xludf.DUMMYFUNCTION("""COMPUTED_VALUE"""),0.704199479174643)</f>
        <v>0.7041994792</v>
      </c>
      <c r="E39" s="26">
        <f>IFERROR(__xludf.DUMMYFUNCTION("""COMPUTED_VALUE"""),0.619911310518164)</f>
        <v>0.6199113105</v>
      </c>
      <c r="F39" s="26">
        <f>IFERROR(__xludf.DUMMYFUNCTION("""COMPUTED_VALUE"""),3.7)</f>
        <v>3.7</v>
      </c>
      <c r="G39" s="26">
        <f>IFERROR(__xludf.DUMMYFUNCTION("""COMPUTED_VALUE"""),1.677676201395E12)</f>
        <v>1677676201395</v>
      </c>
      <c r="H39" s="26">
        <f t="shared" si="1"/>
        <v>3596</v>
      </c>
    </row>
    <row r="40">
      <c r="B40" s="26">
        <f>IFERROR(__xludf.DUMMYFUNCTION("""COMPUTED_VALUE"""),-0.289263246413188)</f>
        <v>-0.2892632464</v>
      </c>
      <c r="C40" s="26">
        <f>IFERROR(__xludf.DUMMYFUNCTION("""COMPUTED_VALUE"""),-0.169487705303454)</f>
        <v>-0.1694877053</v>
      </c>
      <c r="D40" s="26">
        <f>IFERROR(__xludf.DUMMYFUNCTION("""COMPUTED_VALUE"""),0.707656310284782)</f>
        <v>0.7076563103</v>
      </c>
      <c r="E40" s="26">
        <f>IFERROR(__xludf.DUMMYFUNCTION("""COMPUTED_VALUE"""),0.621951154464399)</f>
        <v>0.6219511545</v>
      </c>
      <c r="F40" s="26">
        <f>IFERROR(__xludf.DUMMYFUNCTION("""COMPUTED_VALUE"""),3.8)</f>
        <v>3.8</v>
      </c>
      <c r="G40" s="26">
        <f>IFERROR(__xludf.DUMMYFUNCTION("""COMPUTED_VALUE"""),1.677676201494E12)</f>
        <v>1677676201494</v>
      </c>
      <c r="H40" s="26">
        <f t="shared" si="1"/>
        <v>3695</v>
      </c>
    </row>
    <row r="41">
      <c r="B41" s="26">
        <f>IFERROR(__xludf.DUMMYFUNCTION("""COMPUTED_VALUE"""),-0.278112178844209)</f>
        <v>-0.2781121788</v>
      </c>
      <c r="C41" s="26">
        <f>IFERROR(__xludf.DUMMYFUNCTION("""COMPUTED_VALUE"""),-0.159697612182488)</f>
        <v>-0.1596976122</v>
      </c>
      <c r="D41" s="26">
        <f>IFERROR(__xludf.DUMMYFUNCTION("""COMPUTED_VALUE"""),0.712112557949862)</f>
        <v>0.7121125579</v>
      </c>
      <c r="E41" s="26">
        <f>IFERROR(__xludf.DUMMYFUNCTION("""COMPUTED_VALUE"""),0.624536622986868)</f>
        <v>0.624536623</v>
      </c>
      <c r="F41" s="26">
        <f>IFERROR(__xludf.DUMMYFUNCTION("""COMPUTED_VALUE"""),3.9)</f>
        <v>3.9</v>
      </c>
      <c r="G41" s="26">
        <f>IFERROR(__xludf.DUMMYFUNCTION("""COMPUTED_VALUE"""),1.677676201614E12)</f>
        <v>1677676201614</v>
      </c>
      <c r="H41" s="26">
        <f t="shared" si="1"/>
        <v>3815</v>
      </c>
    </row>
    <row r="42">
      <c r="B42" s="26">
        <f>IFERROR(__xludf.DUMMYFUNCTION("""COMPUTED_VALUE"""),-0.246315648458942)</f>
        <v>-0.2463156485</v>
      </c>
      <c r="C42" s="26">
        <f>IFERROR(__xludf.DUMMYFUNCTION("""COMPUTED_VALUE"""),-0.122008693179455)</f>
        <v>-0.1220086932</v>
      </c>
      <c r="D42" s="26">
        <f>IFERROR(__xludf.DUMMYFUNCTION("""COMPUTED_VALUE"""),0.726569485839733)</f>
        <v>0.7265694858</v>
      </c>
      <c r="E42" s="26">
        <f>IFERROR(__xludf.DUMMYFUNCTION("""COMPUTED_VALUE"""),0.629713635202127)</f>
        <v>0.6297136352</v>
      </c>
      <c r="F42" s="26">
        <f>IFERROR(__xludf.DUMMYFUNCTION("""COMPUTED_VALUE"""),4.0)</f>
        <v>4</v>
      </c>
      <c r="G42" s="26">
        <f>IFERROR(__xludf.DUMMYFUNCTION("""COMPUTED_VALUE"""),1.677676201697E12)</f>
        <v>1677676201697</v>
      </c>
      <c r="H42" s="26">
        <f t="shared" si="1"/>
        <v>3898</v>
      </c>
    </row>
    <row r="43">
      <c r="B43" s="26">
        <f>IFERROR(__xludf.DUMMYFUNCTION("""COMPUTED_VALUE"""),-0.226181881770678)</f>
        <v>-0.2261818818</v>
      </c>
      <c r="C43" s="26">
        <f>IFERROR(__xludf.DUMMYFUNCTION("""COMPUTED_VALUE"""),-0.0696121712993555)</f>
        <v>-0.0696121713</v>
      </c>
      <c r="D43" s="26">
        <f>IFERROR(__xludf.DUMMYFUNCTION("""COMPUTED_VALUE"""),0.74100551271637)</f>
        <v>0.7410055127</v>
      </c>
      <c r="E43" s="26">
        <f>IFERROR(__xludf.DUMMYFUNCTION("""COMPUTED_VALUE"""),0.628416050152773)</f>
        <v>0.6284160502</v>
      </c>
      <c r="F43" s="26">
        <f>IFERROR(__xludf.DUMMYFUNCTION("""COMPUTED_VALUE"""),4.1)</f>
        <v>4.1</v>
      </c>
      <c r="G43" s="26">
        <f>IFERROR(__xludf.DUMMYFUNCTION("""COMPUTED_VALUE"""),1.677676201799E12)</f>
        <v>1677676201799</v>
      </c>
      <c r="H43" s="26">
        <f t="shared" si="1"/>
        <v>4000</v>
      </c>
    </row>
    <row r="44">
      <c r="B44" s="26">
        <f>IFERROR(__xludf.DUMMYFUNCTION("""COMPUTED_VALUE"""),-0.231218218174706)</f>
        <v>-0.2312182182</v>
      </c>
      <c r="C44" s="26">
        <f>IFERROR(__xludf.DUMMYFUNCTION("""COMPUTED_VALUE"""),-0.0339543112321243)</f>
        <v>-0.03395431123</v>
      </c>
      <c r="D44" s="26">
        <f>IFERROR(__xludf.DUMMYFUNCTION("""COMPUTED_VALUE"""),0.747123531772072)</f>
        <v>0.7471235318</v>
      </c>
      <c r="E44" s="26">
        <f>IFERROR(__xludf.DUMMYFUNCTION("""COMPUTED_VALUE"""),0.622247272878949)</f>
        <v>0.6222472729</v>
      </c>
      <c r="F44" s="26">
        <f>IFERROR(__xludf.DUMMYFUNCTION("""COMPUTED_VALUE"""),4.2)</f>
        <v>4.2</v>
      </c>
      <c r="G44" s="26">
        <f>IFERROR(__xludf.DUMMYFUNCTION("""COMPUTED_VALUE"""),1.677676201899E12)</f>
        <v>1677676201899</v>
      </c>
      <c r="H44" s="26">
        <f t="shared" si="1"/>
        <v>4100</v>
      </c>
    </row>
    <row r="45">
      <c r="B45" s="26">
        <f>IFERROR(__xludf.DUMMYFUNCTION("""COMPUTED_VALUE"""),-0.261093672246525)</f>
        <v>-0.2610936722</v>
      </c>
      <c r="C45" s="26">
        <f>IFERROR(__xludf.DUMMYFUNCTION("""COMPUTED_VALUE"""),0.0448890456761888)</f>
        <v>0.04488904568</v>
      </c>
      <c r="D45" s="26">
        <f>IFERROR(__xludf.DUMMYFUNCTION("""COMPUTED_VALUE"""),0.753188856174442)</f>
        <v>0.7531888562</v>
      </c>
      <c r="E45" s="26">
        <f>IFERROR(__xludf.DUMMYFUNCTION("""COMPUTED_VALUE"""),0.602097678807799)</f>
        <v>0.6020976788</v>
      </c>
      <c r="F45" s="26">
        <f>IFERROR(__xludf.DUMMYFUNCTION("""COMPUTED_VALUE"""),4.3)</f>
        <v>4.3</v>
      </c>
      <c r="G45" s="26">
        <f>IFERROR(__xludf.DUMMYFUNCTION("""COMPUTED_VALUE"""),1.677676202025E12)</f>
        <v>1677676202025</v>
      </c>
      <c r="H45" s="26">
        <f t="shared" si="1"/>
        <v>4226</v>
      </c>
    </row>
    <row r="46">
      <c r="B46" s="26">
        <f>IFERROR(__xludf.DUMMYFUNCTION("""COMPUTED_VALUE"""),-0.301596463912457)</f>
        <v>-0.3015964639</v>
      </c>
      <c r="C46" s="26">
        <f>IFERROR(__xludf.DUMMYFUNCTION("""COMPUTED_VALUE"""),0.108657641736031)</f>
        <v>0.1086576417</v>
      </c>
      <c r="D46" s="26">
        <f>IFERROR(__xludf.DUMMYFUNCTION("""COMPUTED_VALUE"""),0.749156368383214)</f>
        <v>0.7491563684</v>
      </c>
      <c r="E46" s="26">
        <f>IFERROR(__xludf.DUMMYFUNCTION("""COMPUTED_VALUE"""),0.579653194210762)</f>
        <v>0.5796531942</v>
      </c>
      <c r="F46" s="26">
        <f>IFERROR(__xludf.DUMMYFUNCTION("""COMPUTED_VALUE"""),4.4)</f>
        <v>4.4</v>
      </c>
      <c r="G46" s="26">
        <f>IFERROR(__xludf.DUMMYFUNCTION("""COMPUTED_VALUE"""),1.677676202134E12)</f>
        <v>1677676202134</v>
      </c>
      <c r="H46" s="26">
        <f t="shared" si="1"/>
        <v>4335</v>
      </c>
    </row>
    <row r="47">
      <c r="B47" s="26">
        <f>IFERROR(__xludf.DUMMYFUNCTION("""COMPUTED_VALUE"""),-0.381861815832698)</f>
        <v>-0.3818618158</v>
      </c>
      <c r="C47" s="26">
        <f>IFERROR(__xludf.DUMMYFUNCTION("""COMPUTED_VALUE"""),0.203062563099237)</f>
        <v>0.2030625631</v>
      </c>
      <c r="D47" s="26">
        <f>IFERROR(__xludf.DUMMYFUNCTION("""COMPUTED_VALUE"""),0.725283845508804)</f>
        <v>0.7252838455</v>
      </c>
      <c r="E47" s="26">
        <f>IFERROR(__xludf.DUMMYFUNCTION("""COMPUTED_VALUE"""),0.535640264095674)</f>
        <v>0.5356402641</v>
      </c>
      <c r="F47" s="26">
        <f>IFERROR(__xludf.DUMMYFUNCTION("""COMPUTED_VALUE"""),4.5)</f>
        <v>4.5</v>
      </c>
      <c r="G47" s="26">
        <f>IFERROR(__xludf.DUMMYFUNCTION("""COMPUTED_VALUE"""),1.677676202202E12)</f>
        <v>1677676202202</v>
      </c>
      <c r="H47" s="26">
        <f t="shared" si="1"/>
        <v>4403</v>
      </c>
    </row>
    <row r="48">
      <c r="B48" s="26">
        <f>IFERROR(__xludf.DUMMYFUNCTION("""COMPUTED_VALUE"""),-0.445894139247751)</f>
        <v>-0.4458941392</v>
      </c>
      <c r="C48" s="26">
        <f>IFERROR(__xludf.DUMMYFUNCTION("""COMPUTED_VALUE"""),0.280031626897185)</f>
        <v>0.2800316269</v>
      </c>
      <c r="D48" s="26">
        <f>IFERROR(__xludf.DUMMYFUNCTION("""COMPUTED_VALUE"""),0.694384848865718)</f>
        <v>0.6943848489</v>
      </c>
      <c r="E48" s="26">
        <f>IFERROR(__xludf.DUMMYFUNCTION("""COMPUTED_VALUE"""),0.490500138825214)</f>
        <v>0.4905001388</v>
      </c>
      <c r="F48" s="26">
        <f>IFERROR(__xludf.DUMMYFUNCTION("""COMPUTED_VALUE"""),4.6)</f>
        <v>4.6</v>
      </c>
      <c r="G48" s="26">
        <f>IFERROR(__xludf.DUMMYFUNCTION("""COMPUTED_VALUE"""),1.677676202293E12)</f>
        <v>1677676202293</v>
      </c>
      <c r="H48" s="26">
        <f t="shared" si="1"/>
        <v>4494</v>
      </c>
    </row>
    <row r="49">
      <c r="B49" s="26">
        <f>IFERROR(__xludf.DUMMYFUNCTION("""COMPUTED_VALUE"""),-0.486674217608203)</f>
        <v>-0.4866742176</v>
      </c>
      <c r="C49" s="26">
        <f>IFERROR(__xludf.DUMMYFUNCTION("""COMPUTED_VALUE"""),0.315316101836529)</f>
        <v>0.3153161018</v>
      </c>
      <c r="D49" s="26">
        <f>IFERROR(__xludf.DUMMYFUNCTION("""COMPUTED_VALUE"""),0.668377204304433)</f>
        <v>0.6683772043</v>
      </c>
      <c r="E49" s="26">
        <f>IFERROR(__xludf.DUMMYFUNCTION("""COMPUTED_VALUE"""),0.46582815995198)</f>
        <v>0.46582816</v>
      </c>
      <c r="F49" s="26">
        <f>IFERROR(__xludf.DUMMYFUNCTION("""COMPUTED_VALUE"""),4.7)</f>
        <v>4.7</v>
      </c>
      <c r="G49" s="26">
        <f>IFERROR(__xludf.DUMMYFUNCTION("""COMPUTED_VALUE"""),1.677676202395E12)</f>
        <v>1677676202395</v>
      </c>
      <c r="H49" s="26">
        <f t="shared" si="1"/>
        <v>4596</v>
      </c>
    </row>
    <row r="50">
      <c r="B50" s="26">
        <f>IFERROR(__xludf.DUMMYFUNCTION("""COMPUTED_VALUE"""),-0.563010362362527)</f>
        <v>-0.5630103624</v>
      </c>
      <c r="C50" s="26">
        <f>IFERROR(__xludf.DUMMYFUNCTION("""COMPUTED_VALUE"""),0.366635960414403)</f>
        <v>0.3666359604</v>
      </c>
      <c r="D50" s="26">
        <f>IFERROR(__xludf.DUMMYFUNCTION("""COMPUTED_VALUE"""),0.607887661222318)</f>
        <v>0.6078876612</v>
      </c>
      <c r="E50" s="26">
        <f>IFERROR(__xludf.DUMMYFUNCTION("""COMPUTED_VALUE"""),0.423166628808419)</f>
        <v>0.4231666288</v>
      </c>
      <c r="F50" s="26">
        <f>IFERROR(__xludf.DUMMYFUNCTION("""COMPUTED_VALUE"""),4.8)</f>
        <v>4.8</v>
      </c>
      <c r="G50" s="26">
        <f>IFERROR(__xludf.DUMMYFUNCTION("""COMPUTED_VALUE"""),1.677676202529E12)</f>
        <v>1677676202529</v>
      </c>
      <c r="H50" s="26">
        <f t="shared" si="1"/>
        <v>4730</v>
      </c>
    </row>
    <row r="51">
      <c r="B51" s="26">
        <f>IFERROR(__xludf.DUMMYFUNCTION("""COMPUTED_VALUE"""),0.620794918545882)</f>
        <v>0.6207949185</v>
      </c>
      <c r="C51" s="26">
        <f>IFERROR(__xludf.DUMMYFUNCTION("""COMPUTED_VALUE"""),-0.344992140822408)</f>
        <v>-0.3449921408</v>
      </c>
      <c r="D51" s="26">
        <f>IFERROR(__xludf.DUMMYFUNCTION("""COMPUTED_VALUE"""),-0.550460278311802)</f>
        <v>-0.5504602783</v>
      </c>
      <c r="E51" s="26">
        <f>IFERROR(__xludf.DUMMYFUNCTION("""COMPUTED_VALUE"""),-0.438848007719387)</f>
        <v>-0.4388480077</v>
      </c>
      <c r="F51" s="26">
        <f>IFERROR(__xludf.DUMMYFUNCTION("""COMPUTED_VALUE"""),4.9)</f>
        <v>4.9</v>
      </c>
      <c r="G51" s="26">
        <f>IFERROR(__xludf.DUMMYFUNCTION("""COMPUTED_VALUE"""),1.677676202595E12)</f>
        <v>1677676202595</v>
      </c>
      <c r="H51" s="26">
        <f t="shared" si="1"/>
        <v>4796</v>
      </c>
    </row>
    <row r="52">
      <c r="B52" s="26">
        <f>IFERROR(__xludf.DUMMYFUNCTION("""COMPUTED_VALUE"""),0.69523733523759)</f>
        <v>0.6952373352</v>
      </c>
      <c r="C52" s="26">
        <f>IFERROR(__xludf.DUMMYFUNCTION("""COMPUTED_VALUE"""),-0.296011155012668)</f>
        <v>-0.296011155</v>
      </c>
      <c r="D52" s="26">
        <f>IFERROR(__xludf.DUMMYFUNCTION("""COMPUTED_VALUE"""),-0.458828375535467)</f>
        <v>-0.4588283755</v>
      </c>
      <c r="E52" s="26">
        <f>IFERROR(__xludf.DUMMYFUNCTION("""COMPUTED_VALUE"""),-0.467438729250459)</f>
        <v>-0.4674387293</v>
      </c>
      <c r="F52" s="26">
        <f>IFERROR(__xludf.DUMMYFUNCTION("""COMPUTED_VALUE"""),5.0)</f>
        <v>5</v>
      </c>
      <c r="G52" s="26">
        <f>IFERROR(__xludf.DUMMYFUNCTION("""COMPUTED_VALUE"""),1.677676202701E12)</f>
        <v>1677676202701</v>
      </c>
      <c r="H52" s="26">
        <f t="shared" si="1"/>
        <v>4902</v>
      </c>
    </row>
    <row r="53">
      <c r="B53" s="26">
        <f>IFERROR(__xludf.DUMMYFUNCTION("""COMPUTED_VALUE"""),0.72282123097584)</f>
        <v>0.722821231</v>
      </c>
      <c r="C53" s="26">
        <f>IFERROR(__xludf.DUMMYFUNCTION("""COMPUTED_VALUE"""),-0.269895107522247)</f>
        <v>-0.2698951075</v>
      </c>
      <c r="D53" s="26">
        <f>IFERROR(__xludf.DUMMYFUNCTION("""COMPUTED_VALUE"""),-0.41585957156789)</f>
        <v>-0.4158595716</v>
      </c>
      <c r="E53" s="26">
        <f>IFERROR(__xludf.DUMMYFUNCTION("""COMPUTED_VALUE"""),-0.481400992646976)</f>
        <v>-0.4814009926</v>
      </c>
      <c r="F53" s="26">
        <f>IFERROR(__xludf.DUMMYFUNCTION("""COMPUTED_VALUE"""),5.1)</f>
        <v>5.1</v>
      </c>
      <c r="G53" s="26">
        <f>IFERROR(__xludf.DUMMYFUNCTION("""COMPUTED_VALUE"""),1.677676202793E12)</f>
        <v>1677676202793</v>
      </c>
      <c r="H53" s="26">
        <f t="shared" si="1"/>
        <v>4994</v>
      </c>
    </row>
    <row r="54">
      <c r="B54" s="26">
        <f>IFERROR(__xludf.DUMMYFUNCTION("""COMPUTED_VALUE"""),0.779278134746159)</f>
        <v>0.7792781347</v>
      </c>
      <c r="C54" s="26">
        <f>IFERROR(__xludf.DUMMYFUNCTION("""COMPUTED_VALUE"""),-0.209621485008213)</f>
        <v>-0.209621485</v>
      </c>
      <c r="D54" s="26">
        <f>IFERROR(__xludf.DUMMYFUNCTION("""COMPUTED_VALUE"""),-0.31183803841557)</f>
        <v>-0.3118380384</v>
      </c>
      <c r="E54" s="26">
        <f>IFERROR(__xludf.DUMMYFUNCTION("""COMPUTED_VALUE"""),-0.501539090726362)</f>
        <v>-0.5015390907</v>
      </c>
      <c r="F54" s="26">
        <f>IFERROR(__xludf.DUMMYFUNCTION("""COMPUTED_VALUE"""),5.2)</f>
        <v>5.2</v>
      </c>
      <c r="G54" s="26">
        <f>IFERROR(__xludf.DUMMYFUNCTION("""COMPUTED_VALUE"""),1.677676202892E12)</f>
        <v>1677676202892</v>
      </c>
      <c r="H54" s="26">
        <f t="shared" si="1"/>
        <v>5093</v>
      </c>
    </row>
    <row r="55">
      <c r="B55" s="26">
        <f>IFERROR(__xludf.DUMMYFUNCTION("""COMPUTED_VALUE"""),0.781703244948637)</f>
        <v>0.7817032449</v>
      </c>
      <c r="C55" s="26">
        <f>IFERROR(__xludf.DUMMYFUNCTION("""COMPUTED_VALUE"""),-0.205675981595263)</f>
        <v>-0.2056759816</v>
      </c>
      <c r="D55" s="26">
        <f>IFERROR(__xludf.DUMMYFUNCTION("""COMPUTED_VALUE"""),-0.305708047543884)</f>
        <v>-0.3057080475</v>
      </c>
      <c r="E55" s="26">
        <f>IFERROR(__xludf.DUMMYFUNCTION("""COMPUTED_VALUE"""),-0.50316996839885)</f>
        <v>-0.5031699684</v>
      </c>
      <c r="F55" s="26">
        <f>IFERROR(__xludf.DUMMYFUNCTION("""COMPUTED_VALUE"""),5.3)</f>
        <v>5.3</v>
      </c>
      <c r="G55" s="26">
        <f>IFERROR(__xludf.DUMMYFUNCTION("""COMPUTED_VALUE"""),1.677676203002E12)</f>
        <v>1677676203002</v>
      </c>
      <c r="H55" s="26">
        <f t="shared" si="1"/>
        <v>5203</v>
      </c>
    </row>
    <row r="56">
      <c r="B56" s="26">
        <f>IFERROR(__xludf.DUMMYFUNCTION("""COMPUTED_VALUE"""),0.785250453438924)</f>
        <v>0.7852504534</v>
      </c>
      <c r="C56" s="26">
        <f>IFERROR(__xludf.DUMMYFUNCTION("""COMPUTED_VALUE"""),-0.199734014503229)</f>
        <v>-0.1997340145</v>
      </c>
      <c r="D56" s="26">
        <f>IFERROR(__xludf.DUMMYFUNCTION("""COMPUTED_VALUE"""),-0.296477821886035)</f>
        <v>-0.2964778219</v>
      </c>
      <c r="E56" s="26">
        <f>IFERROR(__xludf.DUMMYFUNCTION("""COMPUTED_VALUE"""),-0.505558057945968)</f>
        <v>-0.5055580579</v>
      </c>
      <c r="F56" s="26">
        <f>IFERROR(__xludf.DUMMYFUNCTION("""COMPUTED_VALUE"""),5.4)</f>
        <v>5.4</v>
      </c>
      <c r="G56" s="26">
        <f>IFERROR(__xludf.DUMMYFUNCTION("""COMPUTED_VALUE"""),1.677676203101E12)</f>
        <v>1677676203101</v>
      </c>
      <c r="H56" s="26">
        <f t="shared" si="1"/>
        <v>5302</v>
      </c>
    </row>
    <row r="57">
      <c r="B57" s="26">
        <f>IFERROR(__xludf.DUMMYFUNCTION("""COMPUTED_VALUE"""),0.785250453438924)</f>
        <v>0.7852504534</v>
      </c>
      <c r="C57" s="26">
        <f>IFERROR(__xludf.DUMMYFUNCTION("""COMPUTED_VALUE"""),-0.199734014503229)</f>
        <v>-0.1997340145</v>
      </c>
      <c r="D57" s="26">
        <f>IFERROR(__xludf.DUMMYFUNCTION("""COMPUTED_VALUE"""),-0.296477821886035)</f>
        <v>-0.2964778219</v>
      </c>
      <c r="E57" s="26">
        <f>IFERROR(__xludf.DUMMYFUNCTION("""COMPUTED_VALUE"""),-0.505558057945968)</f>
        <v>-0.5055580579</v>
      </c>
      <c r="F57" s="26">
        <f>IFERROR(__xludf.DUMMYFUNCTION("""COMPUTED_VALUE"""),5.5)</f>
        <v>5.5</v>
      </c>
      <c r="G57" s="26">
        <f>IFERROR(__xludf.DUMMYFUNCTION("""COMPUTED_VALUE"""),1.677676203192E12)</f>
        <v>1677676203192</v>
      </c>
      <c r="H57" s="26">
        <f t="shared" si="1"/>
        <v>5393</v>
      </c>
    </row>
    <row r="58">
      <c r="B58" s="26">
        <f>IFERROR(__xludf.DUMMYFUNCTION("""COMPUTED_VALUE"""),0.785250453438924)</f>
        <v>0.7852504534</v>
      </c>
      <c r="C58" s="26">
        <f>IFERROR(__xludf.DUMMYFUNCTION("""COMPUTED_VALUE"""),-0.199734014503229)</f>
        <v>-0.1997340145</v>
      </c>
      <c r="D58" s="26">
        <f>IFERROR(__xludf.DUMMYFUNCTION("""COMPUTED_VALUE"""),-0.296477821886035)</f>
        <v>-0.2964778219</v>
      </c>
      <c r="E58" s="26">
        <f>IFERROR(__xludf.DUMMYFUNCTION("""COMPUTED_VALUE"""),-0.505558057945968)</f>
        <v>-0.5055580579</v>
      </c>
      <c r="F58" s="26">
        <f>IFERROR(__xludf.DUMMYFUNCTION("""COMPUTED_VALUE"""),5.6)</f>
        <v>5.6</v>
      </c>
      <c r="G58" s="26">
        <f>IFERROR(__xludf.DUMMYFUNCTION("""COMPUTED_VALUE"""),1.677676203295E12)</f>
        <v>1677676203295</v>
      </c>
      <c r="H58" s="26">
        <f t="shared" si="1"/>
        <v>5496</v>
      </c>
    </row>
    <row r="59">
      <c r="B59" s="26">
        <f>IFERROR(__xludf.DUMMYFUNCTION("""COMPUTED_VALUE"""),0.746519060118824)</f>
        <v>0.7465190601</v>
      </c>
      <c r="C59" s="26">
        <f>IFERROR(__xludf.DUMMYFUNCTION("""COMPUTED_VALUE"""),-0.17516449393662)</f>
        <v>-0.1751644939</v>
      </c>
      <c r="D59" s="26">
        <f>IFERROR(__xludf.DUMMYFUNCTION("""COMPUTED_VALUE"""),-0.307410287244397)</f>
        <v>-0.3074102872</v>
      </c>
      <c r="E59" s="26">
        <f>IFERROR(__xludf.DUMMYFUNCTION("""COMPUTED_VALUE"""),-0.563494106659112)</f>
        <v>-0.5634941067</v>
      </c>
      <c r="F59" s="26">
        <f>IFERROR(__xludf.DUMMYFUNCTION("""COMPUTED_VALUE"""),5.7)</f>
        <v>5.7</v>
      </c>
      <c r="G59" s="26">
        <f>IFERROR(__xludf.DUMMYFUNCTION("""COMPUTED_VALUE"""),1.677676203395E12)</f>
        <v>1677676203395</v>
      </c>
      <c r="H59" s="26">
        <f t="shared" si="1"/>
        <v>5596</v>
      </c>
    </row>
    <row r="60">
      <c r="B60" s="26">
        <f>IFERROR(__xludf.DUMMYFUNCTION("""COMPUTED_VALUE"""),-0.700006554389585)</f>
        <v>-0.7000065544</v>
      </c>
      <c r="C60" s="26">
        <f>IFERROR(__xludf.DUMMYFUNCTION("""COMPUTED_VALUE"""),0.150505387854576)</f>
        <v>0.1505053879</v>
      </c>
      <c r="D60" s="26">
        <f>IFERROR(__xludf.DUMMYFUNCTION("""COMPUTED_VALUE"""),0.320205891367568)</f>
        <v>0.3202058914</v>
      </c>
      <c r="E60" s="26">
        <f>IFERROR(__xludf.DUMMYFUNCTION("""COMPUTED_VALUE"""),0.62032825114762)</f>
        <v>0.6203282511</v>
      </c>
      <c r="F60" s="26">
        <f>IFERROR(__xludf.DUMMYFUNCTION("""COMPUTED_VALUE"""),5.8)</f>
        <v>5.8</v>
      </c>
      <c r="G60" s="26">
        <f>IFERROR(__xludf.DUMMYFUNCTION("""COMPUTED_VALUE"""),1.677676203497E12)</f>
        <v>1677676203497</v>
      </c>
      <c r="H60" s="26">
        <f t="shared" si="1"/>
        <v>5698</v>
      </c>
    </row>
    <row r="61">
      <c r="B61" s="26">
        <f>IFERROR(__xludf.DUMMYFUNCTION("""COMPUTED_VALUE"""),-0.631726665012888)</f>
        <v>-0.631726665</v>
      </c>
      <c r="C61" s="26">
        <f>IFERROR(__xludf.DUMMYFUNCTION("""COMPUTED_VALUE"""),0.11309788625269)</f>
        <v>0.1130978863</v>
      </c>
      <c r="D61" s="26">
        <f>IFERROR(__xludf.DUMMYFUNCTION("""COMPUTED_VALUE"""),0.331815251000486)</f>
        <v>0.331815251</v>
      </c>
      <c r="E61" s="26">
        <f>IFERROR(__xludf.DUMMYFUNCTION("""COMPUTED_VALUE"""),0.691396361026257)</f>
        <v>0.691396361</v>
      </c>
      <c r="F61" s="26">
        <f>IFERROR(__xludf.DUMMYFUNCTION("""COMPUTED_VALUE"""),5.9)</f>
        <v>5.9</v>
      </c>
      <c r="G61" s="26">
        <f>IFERROR(__xludf.DUMMYFUNCTION("""COMPUTED_VALUE"""),1.677676203612E12)</f>
        <v>1677676203612</v>
      </c>
      <c r="H61" s="26">
        <f t="shared" si="1"/>
        <v>5813</v>
      </c>
    </row>
    <row r="62">
      <c r="B62" s="26">
        <f>IFERROR(__xludf.DUMMYFUNCTION("""COMPUTED_VALUE"""),-0.551930745214334)</f>
        <v>-0.5519307452</v>
      </c>
      <c r="C62" s="26">
        <f>IFERROR(__xludf.DUMMYFUNCTION("""COMPUTED_VALUE"""),0.0531544241415027)</f>
        <v>0.05315442414</v>
      </c>
      <c r="D62" s="26">
        <f>IFERROR(__xludf.DUMMYFUNCTION("""COMPUTED_VALUE"""),0.32544075755168)</f>
        <v>0.3254407576</v>
      </c>
      <c r="E62" s="26">
        <f>IFERROR(__xludf.DUMMYFUNCTION("""COMPUTED_VALUE"""),0.765921257705726)</f>
        <v>0.7659212577</v>
      </c>
      <c r="F62" s="26">
        <f>IFERROR(__xludf.DUMMYFUNCTION("""COMPUTED_VALUE"""),6.0)</f>
        <v>6</v>
      </c>
      <c r="G62" s="26">
        <f>IFERROR(__xludf.DUMMYFUNCTION("""COMPUTED_VALUE"""),1.677676203697E12)</f>
        <v>1677676203697</v>
      </c>
      <c r="H62" s="26">
        <f t="shared" si="1"/>
        <v>5898</v>
      </c>
    </row>
    <row r="63">
      <c r="B63" s="26">
        <f>IFERROR(__xludf.DUMMYFUNCTION("""COMPUTED_VALUE"""),-0.437685819320345)</f>
        <v>-0.4376858193</v>
      </c>
      <c r="C63" s="26">
        <f>IFERROR(__xludf.DUMMYFUNCTION("""COMPUTED_VALUE"""),2.31505338531652E-4)</f>
        <v>0.0002315053385</v>
      </c>
      <c r="D63" s="26">
        <f>IFERROR(__xludf.DUMMYFUNCTION("""COMPUTED_VALUE"""),0.324324612849003)</f>
        <v>0.3243246128</v>
      </c>
      <c r="E63" s="26">
        <f>IFERROR(__xludf.DUMMYFUNCTION("""COMPUTED_VALUE"""),0.838596813416017)</f>
        <v>0.8385968134</v>
      </c>
      <c r="F63" s="26">
        <f>IFERROR(__xludf.DUMMYFUNCTION("""COMPUTED_VALUE"""),6.1)</f>
        <v>6.1</v>
      </c>
      <c r="G63" s="26">
        <f>IFERROR(__xludf.DUMMYFUNCTION("""COMPUTED_VALUE"""),1.677676203797E12)</f>
        <v>1677676203797</v>
      </c>
      <c r="H63" s="26">
        <f t="shared" si="1"/>
        <v>5998</v>
      </c>
    </row>
    <row r="64">
      <c r="B64" s="26">
        <f>IFERROR(__xludf.DUMMYFUNCTION("""COMPUTED_VALUE"""),-0.305934291923951)</f>
        <v>-0.3059342919</v>
      </c>
      <c r="C64" s="26">
        <f>IFERROR(__xludf.DUMMYFUNCTION("""COMPUTED_VALUE"""),0.00864376188160809)</f>
        <v>0.008643761882</v>
      </c>
      <c r="D64" s="26">
        <f>IFERROR(__xludf.DUMMYFUNCTION("""COMPUTED_VALUE"""),0.344649626718688)</f>
        <v>0.3446496267</v>
      </c>
      <c r="E64" s="26">
        <f>IFERROR(__xludf.DUMMYFUNCTION("""COMPUTED_VALUE"""),0.887437957948719)</f>
        <v>0.8874379579</v>
      </c>
      <c r="F64" s="26">
        <f>IFERROR(__xludf.DUMMYFUNCTION("""COMPUTED_VALUE"""),6.2)</f>
        <v>6.2</v>
      </c>
      <c r="G64" s="26">
        <f>IFERROR(__xludf.DUMMYFUNCTION("""COMPUTED_VALUE"""),1.677676203896E12)</f>
        <v>1677676203896</v>
      </c>
      <c r="H64" s="26">
        <f t="shared" si="1"/>
        <v>6097</v>
      </c>
    </row>
    <row r="65">
      <c r="B65" s="26">
        <f>IFERROR(__xludf.DUMMYFUNCTION("""COMPUTED_VALUE"""),-0.170034501520503)</f>
        <v>-0.1700345015</v>
      </c>
      <c r="C65" s="26">
        <f>IFERROR(__xludf.DUMMYFUNCTION("""COMPUTED_VALUE"""),0.130419309390239)</f>
        <v>0.1304193094</v>
      </c>
      <c r="D65" s="26">
        <f>IFERROR(__xludf.DUMMYFUNCTION("""COMPUTED_VALUE"""),0.387339721251876)</f>
        <v>0.3873397213</v>
      </c>
      <c r="E65" s="26">
        <f>IFERROR(__xludf.DUMMYFUNCTION("""COMPUTED_VALUE"""),0.896686685733297)</f>
        <v>0.8966866857</v>
      </c>
      <c r="F65" s="26">
        <f>IFERROR(__xludf.DUMMYFUNCTION("""COMPUTED_VALUE"""),6.3)</f>
        <v>6.3</v>
      </c>
      <c r="G65" s="26">
        <f>IFERROR(__xludf.DUMMYFUNCTION("""COMPUTED_VALUE"""),1.677676203996E12)</f>
        <v>1677676203996</v>
      </c>
      <c r="H65" s="26">
        <f t="shared" si="1"/>
        <v>6197</v>
      </c>
    </row>
    <row r="66">
      <c r="B66" s="26">
        <f>IFERROR(__xludf.DUMMYFUNCTION("""COMPUTED_VALUE"""),-0.0181806698590207)</f>
        <v>-0.01818066986</v>
      </c>
      <c r="C66" s="26">
        <f>IFERROR(__xludf.DUMMYFUNCTION("""COMPUTED_VALUE"""),0.422541545489419)</f>
        <v>0.4225415455</v>
      </c>
      <c r="D66" s="26">
        <f>IFERROR(__xludf.DUMMYFUNCTION("""COMPUTED_VALUE"""),0.420745628356457)</f>
        <v>0.4207456284</v>
      </c>
      <c r="E66" s="26">
        <f>IFERROR(__xludf.DUMMYFUNCTION("""COMPUTED_VALUE"""),0.802559170278316)</f>
        <v>0.8025591703</v>
      </c>
      <c r="F66" s="26">
        <f>IFERROR(__xludf.DUMMYFUNCTION("""COMPUTED_VALUE"""),6.4)</f>
        <v>6.4</v>
      </c>
      <c r="G66" s="26">
        <f>IFERROR(__xludf.DUMMYFUNCTION("""COMPUTED_VALUE"""),1.677676204116E12)</f>
        <v>1677676204116</v>
      </c>
      <c r="H66" s="26">
        <f t="shared" si="1"/>
        <v>6317</v>
      </c>
    </row>
    <row r="67">
      <c r="B67" s="26">
        <f>IFERROR(__xludf.DUMMYFUNCTION("""COMPUTED_VALUE"""),0.0165393489957212)</f>
        <v>0.016539349</v>
      </c>
      <c r="C67" s="26">
        <f>IFERROR(__xludf.DUMMYFUNCTION("""COMPUTED_VALUE"""),0.487215053069307)</f>
        <v>0.4872150531</v>
      </c>
      <c r="D67" s="26">
        <f>IFERROR(__xludf.DUMMYFUNCTION("""COMPUTED_VALUE"""),0.420813343980903)</f>
        <v>0.420813344</v>
      </c>
      <c r="E67" s="26">
        <f>IFERROR(__xludf.DUMMYFUNCTION("""COMPUTED_VALUE"""),0.765025536518277)</f>
        <v>0.7650255365</v>
      </c>
      <c r="F67" s="26">
        <f>IFERROR(__xludf.DUMMYFUNCTION("""COMPUTED_VALUE"""),6.5)</f>
        <v>6.5</v>
      </c>
      <c r="G67" s="26">
        <f>IFERROR(__xludf.DUMMYFUNCTION("""COMPUTED_VALUE"""),1.677676204207E12)</f>
        <v>1677676204207</v>
      </c>
      <c r="H67" s="26">
        <f t="shared" si="1"/>
        <v>6408</v>
      </c>
    </row>
    <row r="68">
      <c r="B68" s="26">
        <f>IFERROR(__xludf.DUMMYFUNCTION("""COMPUTED_VALUE"""),0.0979594182205333)</f>
        <v>0.09795941822</v>
      </c>
      <c r="C68" s="26">
        <f>IFERROR(__xludf.DUMMYFUNCTION("""COMPUTED_VALUE"""),0.620288393101014)</f>
        <v>0.6202883931</v>
      </c>
      <c r="D68" s="26">
        <f>IFERROR(__xludf.DUMMYFUNCTION("""COMPUTED_VALUE"""),0.412377578454854)</f>
        <v>0.4123775785</v>
      </c>
      <c r="E68" s="26">
        <f>IFERROR(__xludf.DUMMYFUNCTION("""COMPUTED_VALUE"""),0.659993177656986)</f>
        <v>0.6599931777</v>
      </c>
      <c r="F68" s="26">
        <f>IFERROR(__xludf.DUMMYFUNCTION("""COMPUTED_VALUE"""),6.6)</f>
        <v>6.6</v>
      </c>
      <c r="G68" s="26">
        <f>IFERROR(__xludf.DUMMYFUNCTION("""COMPUTED_VALUE"""),1.677676204323E12)</f>
        <v>1677676204323</v>
      </c>
      <c r="H68" s="26">
        <f t="shared" si="1"/>
        <v>6524</v>
      </c>
    </row>
    <row r="69">
      <c r="B69" s="26">
        <f>IFERROR(__xludf.DUMMYFUNCTION("""COMPUTED_VALUE"""),0.101195169454968)</f>
        <v>0.1011951695</v>
      </c>
      <c r="C69" s="26">
        <f>IFERROR(__xludf.DUMMYFUNCTION("""COMPUTED_VALUE"""),0.625452782797328)</f>
        <v>0.6254527828</v>
      </c>
      <c r="D69" s="26">
        <f>IFERROR(__xludf.DUMMYFUNCTION("""COMPUTED_VALUE"""),0.411595496220956)</f>
        <v>0.4115954962</v>
      </c>
      <c r="E69" s="26">
        <f>IFERROR(__xludf.DUMMYFUNCTION("""COMPUTED_VALUE"""),0.655101138497471)</f>
        <v>0.6551011385</v>
      </c>
      <c r="F69" s="26">
        <f>IFERROR(__xludf.DUMMYFUNCTION("""COMPUTED_VALUE"""),6.7)</f>
        <v>6.7</v>
      </c>
      <c r="G69" s="26">
        <f>IFERROR(__xludf.DUMMYFUNCTION("""COMPUTED_VALUE"""),1.677676204406E12)</f>
        <v>1677676204406</v>
      </c>
      <c r="H69" s="26">
        <f t="shared" si="1"/>
        <v>6607</v>
      </c>
    </row>
    <row r="70">
      <c r="B70" s="26">
        <f>IFERROR(__xludf.DUMMYFUNCTION("""COMPUTED_VALUE"""),0.124394997053518)</f>
        <v>0.1243949971</v>
      </c>
      <c r="C70" s="26">
        <f>IFERROR(__xludf.DUMMYFUNCTION("""COMPUTED_VALUE"""),0.66694154796817)</f>
        <v>0.666941548</v>
      </c>
      <c r="D70" s="26">
        <f>IFERROR(__xludf.DUMMYFUNCTION("""COMPUTED_VALUE"""),0.401841927394128)</f>
        <v>0.4018419274</v>
      </c>
      <c r="E70" s="26">
        <f>IFERROR(__xludf.DUMMYFUNCTION("""COMPUTED_VALUE"""),0.615010505349337)</f>
        <v>0.6150105053</v>
      </c>
      <c r="F70" s="26">
        <f>IFERROR(__xludf.DUMMYFUNCTION("""COMPUTED_VALUE"""),6.8)</f>
        <v>6.8</v>
      </c>
      <c r="G70" s="26">
        <f>IFERROR(__xludf.DUMMYFUNCTION("""COMPUTED_VALUE"""),1.677676204505E12)</f>
        <v>1677676204505</v>
      </c>
      <c r="H70" s="26">
        <f t="shared" si="1"/>
        <v>6706</v>
      </c>
    </row>
    <row r="71">
      <c r="B71" s="26">
        <f>IFERROR(__xludf.DUMMYFUNCTION("""COMPUTED_VALUE"""),0.133028525667434)</f>
        <v>0.1330285257</v>
      </c>
      <c r="C71" s="26">
        <f>IFERROR(__xludf.DUMMYFUNCTION("""COMPUTED_VALUE"""),0.685156293500377)</f>
        <v>0.6851562935</v>
      </c>
      <c r="D71" s="26">
        <f>IFERROR(__xludf.DUMMYFUNCTION("""COMPUTED_VALUE"""),0.395602006792226)</f>
        <v>0.3956020068</v>
      </c>
      <c r="E71" s="26">
        <f>IFERROR(__xludf.DUMMYFUNCTION("""COMPUTED_VALUE"""),0.596961738353083)</f>
        <v>0.5969617384</v>
      </c>
      <c r="F71" s="26">
        <f>IFERROR(__xludf.DUMMYFUNCTION("""COMPUTED_VALUE"""),6.9)</f>
        <v>6.9</v>
      </c>
      <c r="G71" s="26">
        <f>IFERROR(__xludf.DUMMYFUNCTION("""COMPUTED_VALUE"""),1.67767620459E12)</f>
        <v>1677676204590</v>
      </c>
      <c r="H71" s="26">
        <f t="shared" si="1"/>
        <v>6791</v>
      </c>
    </row>
    <row r="72">
      <c r="B72" s="26">
        <f>IFERROR(__xludf.DUMMYFUNCTION("""COMPUTED_VALUE"""),0.0152431231922124)</f>
        <v>0.01524312319</v>
      </c>
      <c r="C72" s="26">
        <f>IFERROR(__xludf.DUMMYFUNCTION("""COMPUTED_VALUE"""),0.655701588470158)</f>
        <v>0.6557015885</v>
      </c>
      <c r="D72" s="26">
        <f>IFERROR(__xludf.DUMMYFUNCTION("""COMPUTED_VALUE"""),0.321095122071204)</f>
        <v>0.3210951221</v>
      </c>
      <c r="E72" s="26">
        <f>IFERROR(__xludf.DUMMYFUNCTION("""COMPUTED_VALUE"""),0.683169815386435)</f>
        <v>0.6831698154</v>
      </c>
      <c r="F72" s="26">
        <f>IFERROR(__xludf.DUMMYFUNCTION("""COMPUTED_VALUE"""),7.0)</f>
        <v>7</v>
      </c>
      <c r="G72" s="26">
        <f>IFERROR(__xludf.DUMMYFUNCTION("""COMPUTED_VALUE"""),1.677676204723E12)</f>
        <v>1677676204723</v>
      </c>
      <c r="H72" s="26">
        <f t="shared" si="1"/>
        <v>6924</v>
      </c>
    </row>
    <row r="73">
      <c r="B73" s="26">
        <f>IFERROR(__xludf.DUMMYFUNCTION("""COMPUTED_VALUE"""),-0.0867044795443546)</f>
        <v>-0.08670447954</v>
      </c>
      <c r="C73" s="26">
        <f>IFERROR(__xludf.DUMMYFUNCTION("""COMPUTED_VALUE"""),0.581190765161998)</f>
        <v>0.5811907652</v>
      </c>
      <c r="D73" s="26">
        <f>IFERROR(__xludf.DUMMYFUNCTION("""COMPUTED_VALUE"""),0.261577036523051)</f>
        <v>0.2615770365</v>
      </c>
      <c r="E73" s="26">
        <f>IFERROR(__xludf.DUMMYFUNCTION("""COMPUTED_VALUE"""),0.765687326316147)</f>
        <v>0.7656873263</v>
      </c>
      <c r="F73" s="26">
        <f>IFERROR(__xludf.DUMMYFUNCTION("""COMPUTED_VALUE"""),7.1)</f>
        <v>7.1</v>
      </c>
      <c r="G73" s="26">
        <f>IFERROR(__xludf.DUMMYFUNCTION("""COMPUTED_VALUE"""),1.6776762048E12)</f>
        <v>1677676204800</v>
      </c>
      <c r="H73" s="26">
        <f t="shared" si="1"/>
        <v>7001</v>
      </c>
    </row>
    <row r="74">
      <c r="B74" s="26">
        <f>IFERROR(__xludf.DUMMYFUNCTION("""COMPUTED_VALUE"""),-0.379171620491787)</f>
        <v>-0.3791716205</v>
      </c>
      <c r="C74" s="26">
        <f>IFERROR(__xludf.DUMMYFUNCTION("""COMPUTED_VALUE"""),0.154586328368959)</f>
        <v>0.1545863284</v>
      </c>
      <c r="D74" s="26">
        <f>IFERROR(__xludf.DUMMYFUNCTION("""COMPUTED_VALUE"""),0.0381850752749693)</f>
        <v>0.03818507527</v>
      </c>
      <c r="E74" s="26">
        <f>IFERROR(__xludf.DUMMYFUNCTION("""COMPUTED_VALUE"""),0.911522818870312)</f>
        <v>0.9115228189</v>
      </c>
      <c r="F74" s="26">
        <f>IFERROR(__xludf.DUMMYFUNCTION("""COMPUTED_VALUE"""),7.2)</f>
        <v>7.2</v>
      </c>
      <c r="G74" s="26">
        <f>IFERROR(__xludf.DUMMYFUNCTION("""COMPUTED_VALUE"""),1.677676204933E12)</f>
        <v>1677676204933</v>
      </c>
      <c r="H74" s="26">
        <f t="shared" si="1"/>
        <v>7134</v>
      </c>
    </row>
    <row r="75">
      <c r="B75" s="26">
        <f>IFERROR(__xludf.DUMMYFUNCTION("""COMPUTED_VALUE"""),-0.42688357013347)</f>
        <v>-0.4268835701</v>
      </c>
      <c r="C75" s="26">
        <f>IFERROR(__xludf.DUMMYFUNCTION("""COMPUTED_VALUE"""),0.0446281846217202)</f>
        <v>0.04462818462</v>
      </c>
      <c r="D75" s="26">
        <f>IFERROR(__xludf.DUMMYFUNCTION("""COMPUTED_VALUE"""),-0.0162373583068869)</f>
        <v>-0.01623735831</v>
      </c>
      <c r="E75" s="26">
        <f>IFERROR(__xludf.DUMMYFUNCTION("""COMPUTED_VALUE"""),0.903058741656756)</f>
        <v>0.9030587417</v>
      </c>
      <c r="F75" s="26">
        <f>IFERROR(__xludf.DUMMYFUNCTION("""COMPUTED_VALUE"""),7.3)</f>
        <v>7.3</v>
      </c>
      <c r="G75" s="26">
        <f>IFERROR(__xludf.DUMMYFUNCTION("""COMPUTED_VALUE"""),1.677676204997E12)</f>
        <v>1677676204997</v>
      </c>
      <c r="H75" s="26">
        <f t="shared" si="1"/>
        <v>7198</v>
      </c>
    </row>
    <row r="76">
      <c r="B76" s="26">
        <f>IFERROR(__xludf.DUMMYFUNCTION("""COMPUTED_VALUE"""),-0.476633683014872)</f>
        <v>-0.476633683</v>
      </c>
      <c r="C76" s="26">
        <f>IFERROR(__xludf.DUMMYFUNCTION("""COMPUTED_VALUE"""),-0.0770176649937792)</f>
        <v>-0.07701766499</v>
      </c>
      <c r="D76" s="26">
        <f>IFERROR(__xludf.DUMMYFUNCTION("""COMPUTED_VALUE"""),-0.0756147415306623)</f>
        <v>-0.07561474153</v>
      </c>
      <c r="E76" s="26">
        <f>IFERROR(__xludf.DUMMYFUNCTION("""COMPUTED_VALUE"""),0.872451157577221)</f>
        <v>0.8724511576</v>
      </c>
      <c r="F76" s="26">
        <f>IFERROR(__xludf.DUMMYFUNCTION("""COMPUTED_VALUE"""),7.4)</f>
        <v>7.4</v>
      </c>
      <c r="G76" s="26">
        <f>IFERROR(__xludf.DUMMYFUNCTION("""COMPUTED_VALUE"""),1.677676205085E12)</f>
        <v>1677676205085</v>
      </c>
      <c r="H76" s="26">
        <f t="shared" si="1"/>
        <v>7286</v>
      </c>
    </row>
    <row r="77">
      <c r="B77" s="26">
        <f>IFERROR(__xludf.DUMMYFUNCTION("""COMPUTED_VALUE"""),-0.507720696263148)</f>
        <v>-0.5077206963</v>
      </c>
      <c r="C77" s="26">
        <f>IFERROR(__xludf.DUMMYFUNCTION("""COMPUTED_VALUE"""),-0.206501919724858)</f>
        <v>-0.2065019197</v>
      </c>
      <c r="D77" s="26">
        <f>IFERROR(__xludf.DUMMYFUNCTION("""COMPUTED_VALUE"""),-0.139436526707406)</f>
        <v>-0.1394365267</v>
      </c>
      <c r="E77" s="26">
        <f>IFERROR(__xludf.DUMMYFUNCTION("""COMPUTED_VALUE"""),0.824702435279407)</f>
        <v>0.8247024353</v>
      </c>
      <c r="F77" s="26">
        <f>IFERROR(__xludf.DUMMYFUNCTION("""COMPUTED_VALUE"""),7.5)</f>
        <v>7.5</v>
      </c>
      <c r="G77" s="26">
        <f>IFERROR(__xludf.DUMMYFUNCTION("""COMPUTED_VALUE"""),1.677676205184E12)</f>
        <v>1677676205184</v>
      </c>
      <c r="H77" s="26">
        <f t="shared" si="1"/>
        <v>7385</v>
      </c>
    </row>
    <row r="78">
      <c r="B78" s="26">
        <f>IFERROR(__xludf.DUMMYFUNCTION("""COMPUTED_VALUE"""),-0.516563430493165)</f>
        <v>-0.5165634305</v>
      </c>
      <c r="C78" s="26">
        <f>IFERROR(__xludf.DUMMYFUNCTION("""COMPUTED_VALUE"""),-0.231309429079661)</f>
        <v>-0.2313094291</v>
      </c>
      <c r="D78" s="26">
        <f>IFERROR(__xludf.DUMMYFUNCTION("""COMPUTED_VALUE"""),-0.149988908800264)</f>
        <v>-0.1499889088</v>
      </c>
      <c r="E78" s="26">
        <f>IFERROR(__xludf.DUMMYFUNCTION("""COMPUTED_VALUE"""),0.810654980576125)</f>
        <v>0.8106549806</v>
      </c>
      <c r="F78" s="26">
        <f>IFERROR(__xludf.DUMMYFUNCTION("""COMPUTED_VALUE"""),7.6)</f>
        <v>7.6</v>
      </c>
      <c r="G78" s="26">
        <f>IFERROR(__xludf.DUMMYFUNCTION("""COMPUTED_VALUE"""),1.677676205286E12)</f>
        <v>1677676205286</v>
      </c>
      <c r="H78" s="26">
        <f t="shared" si="1"/>
        <v>7487</v>
      </c>
    </row>
    <row r="79">
      <c r="B79" s="26">
        <f>IFERROR(__xludf.DUMMYFUNCTION("""COMPUTED_VALUE"""),-0.628992180889623)</f>
        <v>-0.6289921809</v>
      </c>
      <c r="C79" s="26">
        <f>IFERROR(__xludf.DUMMYFUNCTION("""COMPUTED_VALUE"""),-0.277230494764293)</f>
        <v>-0.2772304948</v>
      </c>
      <c r="D79" s="26">
        <f>IFERROR(__xludf.DUMMYFUNCTION("""COMPUTED_VALUE"""),-0.128292282698727)</f>
        <v>-0.1282922827</v>
      </c>
      <c r="E79" s="26">
        <f>IFERROR(__xludf.DUMMYFUNCTION("""COMPUTED_VALUE"""),0.714879835603445)</f>
        <v>0.7148798356</v>
      </c>
      <c r="F79" s="26">
        <f>IFERROR(__xludf.DUMMYFUNCTION("""COMPUTED_VALUE"""),7.7)</f>
        <v>7.7</v>
      </c>
      <c r="G79" s="26">
        <f>IFERROR(__xludf.DUMMYFUNCTION("""COMPUTED_VALUE"""),1.677676205425E12)</f>
        <v>1677676205425</v>
      </c>
      <c r="H79" s="26">
        <f t="shared" si="1"/>
        <v>7626</v>
      </c>
    </row>
    <row r="80">
      <c r="B80" s="26">
        <f>IFERROR(__xludf.DUMMYFUNCTION("""COMPUTED_VALUE"""),-0.724227006948095)</f>
        <v>-0.7242270069</v>
      </c>
      <c r="C80" s="26">
        <f>IFERROR(__xludf.DUMMYFUNCTION("""COMPUTED_VALUE"""),-0.270739717540991)</f>
        <v>-0.2707397175</v>
      </c>
      <c r="D80" s="26">
        <f>IFERROR(__xludf.DUMMYFUNCTION("""COMPUTED_VALUE"""),-0.0681635705890916)</f>
        <v>-0.06816357059</v>
      </c>
      <c r="E80" s="26">
        <f>IFERROR(__xludf.DUMMYFUNCTION("""COMPUTED_VALUE"""),0.630514849466189)</f>
        <v>0.6305148495</v>
      </c>
      <c r="F80" s="26">
        <f>IFERROR(__xludf.DUMMYFUNCTION("""COMPUTED_VALUE"""),7.8)</f>
        <v>7.8</v>
      </c>
      <c r="G80" s="26">
        <f>IFERROR(__xludf.DUMMYFUNCTION("""COMPUTED_VALUE"""),1.677676205488E12)</f>
        <v>1677676205488</v>
      </c>
      <c r="H80" s="26">
        <f t="shared" si="1"/>
        <v>7689</v>
      </c>
    </row>
    <row r="81">
      <c r="B81" s="26">
        <f>IFERROR(__xludf.DUMMYFUNCTION("""COMPUTED_VALUE"""),0.785299152550107)</f>
        <v>0.7852991526</v>
      </c>
      <c r="C81" s="26">
        <f>IFERROR(__xludf.DUMMYFUNCTION("""COMPUTED_VALUE"""),0.231475643598638)</f>
        <v>0.2314756436</v>
      </c>
      <c r="D81" s="26">
        <f>IFERROR(__xludf.DUMMYFUNCTION("""COMPUTED_VALUE"""),-0.0103557378763371)</f>
        <v>-0.01035573788</v>
      </c>
      <c r="E81" s="26">
        <f>IFERROR(__xludf.DUMMYFUNCTION("""COMPUTED_VALUE"""),-0.574122831907698)</f>
        <v>-0.5741228319</v>
      </c>
      <c r="F81" s="26">
        <f>IFERROR(__xludf.DUMMYFUNCTION("""COMPUTED_VALUE"""),7.9)</f>
        <v>7.9</v>
      </c>
      <c r="G81" s="26">
        <f>IFERROR(__xludf.DUMMYFUNCTION("""COMPUTED_VALUE"""),1.677676205589E12)</f>
        <v>1677676205589</v>
      </c>
      <c r="H81" s="26">
        <f t="shared" si="1"/>
        <v>7790</v>
      </c>
    </row>
    <row r="82">
      <c r="B82" s="26">
        <f>IFERROR(__xludf.DUMMYFUNCTION("""COMPUTED_VALUE"""),0.82134905147766)</f>
        <v>0.8213490515</v>
      </c>
      <c r="C82" s="26">
        <f>IFERROR(__xludf.DUMMYFUNCTION("""COMPUTED_VALUE"""),0.191628640325649)</f>
        <v>0.1916286403</v>
      </c>
      <c r="D82" s="26">
        <f>IFERROR(__xludf.DUMMYFUNCTION("""COMPUTED_VALUE"""),-0.0791603837846508)</f>
        <v>-0.07916038378</v>
      </c>
      <c r="E82" s="26">
        <f>IFERROR(__xludf.DUMMYFUNCTION("""COMPUTED_VALUE"""),-0.531411171770744)</f>
        <v>-0.5314111718</v>
      </c>
      <c r="F82" s="26">
        <f>IFERROR(__xludf.DUMMYFUNCTION("""COMPUTED_VALUE"""),8.0)</f>
        <v>8</v>
      </c>
      <c r="G82" s="26">
        <f>IFERROR(__xludf.DUMMYFUNCTION("""COMPUTED_VALUE"""),1.677676205689E12)</f>
        <v>1677676205689</v>
      </c>
      <c r="H82" s="26">
        <f t="shared" si="1"/>
        <v>7890</v>
      </c>
    </row>
    <row r="83">
      <c r="B83" s="26">
        <f>IFERROR(__xludf.DUMMYFUNCTION("""COMPUTED_VALUE"""),0.82134905147766)</f>
        <v>0.8213490515</v>
      </c>
      <c r="C83" s="26">
        <f>IFERROR(__xludf.DUMMYFUNCTION("""COMPUTED_VALUE"""),0.191628640325649)</f>
        <v>0.1916286403</v>
      </c>
      <c r="D83" s="26">
        <f>IFERROR(__xludf.DUMMYFUNCTION("""COMPUTED_VALUE"""),-0.0791603837846508)</f>
        <v>-0.07916038378</v>
      </c>
      <c r="E83" s="26">
        <f>IFERROR(__xludf.DUMMYFUNCTION("""COMPUTED_VALUE"""),-0.531411171770744)</f>
        <v>-0.5314111718</v>
      </c>
      <c r="F83" s="26">
        <f>IFERROR(__xludf.DUMMYFUNCTION("""COMPUTED_VALUE"""),8.1)</f>
        <v>8.1</v>
      </c>
      <c r="G83" s="26">
        <f>IFERROR(__xludf.DUMMYFUNCTION("""COMPUTED_VALUE"""),1.67767620581E12)</f>
        <v>1677676205810</v>
      </c>
      <c r="H83" s="26">
        <f t="shared" si="1"/>
        <v>8011</v>
      </c>
    </row>
    <row r="84">
      <c r="B84" s="26">
        <f>IFERROR(__xludf.DUMMYFUNCTION("""COMPUTED_VALUE"""),0.82134905147766)</f>
        <v>0.8213490515</v>
      </c>
      <c r="C84" s="26">
        <f>IFERROR(__xludf.DUMMYFUNCTION("""COMPUTED_VALUE"""),0.191628640325649)</f>
        <v>0.1916286403</v>
      </c>
      <c r="D84" s="26">
        <f>IFERROR(__xludf.DUMMYFUNCTION("""COMPUTED_VALUE"""),-0.0791603837846508)</f>
        <v>-0.07916038378</v>
      </c>
      <c r="E84" s="26">
        <f>IFERROR(__xludf.DUMMYFUNCTION("""COMPUTED_VALUE"""),-0.531411171770744)</f>
        <v>-0.5314111718</v>
      </c>
      <c r="F84" s="26">
        <f>IFERROR(__xludf.DUMMYFUNCTION("""COMPUTED_VALUE"""),8.2)</f>
        <v>8.2</v>
      </c>
      <c r="G84" s="26">
        <f>IFERROR(__xludf.DUMMYFUNCTION("""COMPUTED_VALUE"""),1.677676205908E12)</f>
        <v>1677676205908</v>
      </c>
      <c r="H84" s="26">
        <f t="shared" si="1"/>
        <v>8109</v>
      </c>
    </row>
    <row r="85">
      <c r="B85" s="26">
        <f>IFERROR(__xludf.DUMMYFUNCTION("""COMPUTED_VALUE"""),-0.511285441413035)</f>
        <v>-0.5112854414</v>
      </c>
      <c r="C85" s="26">
        <f>IFERROR(__xludf.DUMMYFUNCTION("""COMPUTED_VALUE"""),0.186744628110254)</f>
        <v>0.1867446281</v>
      </c>
      <c r="D85" s="26">
        <f>IFERROR(__xludf.DUMMYFUNCTION("""COMPUTED_VALUE"""),0.631312582367783)</f>
        <v>0.6313125824</v>
      </c>
      <c r="E85" s="26">
        <f>IFERROR(__xludf.DUMMYFUNCTION("""COMPUTED_VALUE"""),0.552411137301882)</f>
        <v>0.5524111373</v>
      </c>
      <c r="F85" s="26">
        <f>IFERROR(__xludf.DUMMYFUNCTION("""COMPUTED_VALUE"""),8.3)</f>
        <v>8.3</v>
      </c>
      <c r="G85" s="26">
        <f>IFERROR(__xludf.DUMMYFUNCTION("""COMPUTED_VALUE"""),1.677676205995E12)</f>
        <v>1677676205995</v>
      </c>
      <c r="H85" s="26">
        <f t="shared" si="1"/>
        <v>8196</v>
      </c>
    </row>
    <row r="86">
      <c r="B86" s="26">
        <f>IFERROR(__xludf.DUMMYFUNCTION("""COMPUTED_VALUE"""),-0.286922059948476)</f>
        <v>-0.2869220599</v>
      </c>
      <c r="C86" s="26">
        <f>IFERROR(__xludf.DUMMYFUNCTION("""COMPUTED_VALUE"""),0.162027936303675)</f>
        <v>0.1620279363</v>
      </c>
      <c r="D86" s="26">
        <f>IFERROR(__xludf.DUMMYFUNCTION("""COMPUTED_VALUE"""),0.736765599948163)</f>
        <v>0.7367655999</v>
      </c>
      <c r="E86" s="26">
        <f>IFERROR(__xludf.DUMMYFUNCTION("""COMPUTED_VALUE"""),0.590422840094382)</f>
        <v>0.5904228401</v>
      </c>
      <c r="F86" s="26">
        <f>IFERROR(__xludf.DUMMYFUNCTION("""COMPUTED_VALUE"""),8.4)</f>
        <v>8.4</v>
      </c>
      <c r="G86" s="26">
        <f>IFERROR(__xludf.DUMMYFUNCTION("""COMPUTED_VALUE"""),1.677676206096E12)</f>
        <v>1677676206096</v>
      </c>
      <c r="H86" s="26">
        <f t="shared" si="1"/>
        <v>8297</v>
      </c>
    </row>
    <row r="87">
      <c r="B87" s="26">
        <f>IFERROR(__xludf.DUMMYFUNCTION("""COMPUTED_VALUE"""),-0.125697591830031)</f>
        <v>-0.1256975918</v>
      </c>
      <c r="C87" s="26">
        <f>IFERROR(__xludf.DUMMYFUNCTION("""COMPUTED_VALUE"""),0.0809738229581878)</f>
        <v>0.08097382296</v>
      </c>
      <c r="D87" s="26">
        <f>IFERROR(__xludf.DUMMYFUNCTION("""COMPUTED_VALUE"""),0.774967363732419)</f>
        <v>0.7749673637</v>
      </c>
      <c r="E87" s="26">
        <f>IFERROR(__xludf.DUMMYFUNCTION("""COMPUTED_VALUE"""),0.614059394971926)</f>
        <v>0.614059395</v>
      </c>
      <c r="F87" s="26">
        <f>IFERROR(__xludf.DUMMYFUNCTION("""COMPUTED_VALUE"""),8.5)</f>
        <v>8.5</v>
      </c>
      <c r="G87" s="26">
        <f>IFERROR(__xludf.DUMMYFUNCTION("""COMPUTED_VALUE"""),1.677676206196E12)</f>
        <v>1677676206196</v>
      </c>
      <c r="H87" s="26">
        <f t="shared" si="1"/>
        <v>8397</v>
      </c>
    </row>
    <row r="88">
      <c r="B88" s="26">
        <f>IFERROR(__xludf.DUMMYFUNCTION("""COMPUTED_VALUE"""),-0.00744874632780142)</f>
        <v>-0.007448746328</v>
      </c>
      <c r="C88" s="26">
        <f>IFERROR(__xludf.DUMMYFUNCTION("""COMPUTED_VALUE"""),-0.0299564800187497)</f>
        <v>-0.02995648002</v>
      </c>
      <c r="D88" s="26">
        <f>IFERROR(__xludf.DUMMYFUNCTION("""COMPUTED_VALUE"""),0.780934673535266)</f>
        <v>0.7809346735</v>
      </c>
      <c r="E88" s="26">
        <f>IFERROR(__xludf.DUMMYFUNCTION("""COMPUTED_VALUE"""),0.623849469947194)</f>
        <v>0.6238494699</v>
      </c>
      <c r="F88" s="26">
        <f>IFERROR(__xludf.DUMMYFUNCTION("""COMPUTED_VALUE"""),8.6)</f>
        <v>8.6</v>
      </c>
      <c r="G88" s="26">
        <f>IFERROR(__xludf.DUMMYFUNCTION("""COMPUTED_VALUE"""),1.677676206301E12)</f>
        <v>1677676206301</v>
      </c>
      <c r="H88" s="26">
        <f t="shared" si="1"/>
        <v>8502</v>
      </c>
    </row>
    <row r="89">
      <c r="B89" s="26">
        <f>IFERROR(__xludf.DUMMYFUNCTION("""COMPUTED_VALUE"""),0.109088151491527)</f>
        <v>0.1090881515</v>
      </c>
      <c r="C89" s="26">
        <f>IFERROR(__xludf.DUMMYFUNCTION("""COMPUTED_VALUE"""),-0.156478556380408)</f>
        <v>-0.1564785564</v>
      </c>
      <c r="D89" s="26">
        <f>IFERROR(__xludf.DUMMYFUNCTION("""COMPUTED_VALUE"""),0.76494678160184)</f>
        <v>0.7649467816</v>
      </c>
      <c r="E89" s="26">
        <f>IFERROR(__xludf.DUMMYFUNCTION("""COMPUTED_VALUE"""),0.615199689462087)</f>
        <v>0.6151996895</v>
      </c>
      <c r="F89" s="26">
        <f>IFERROR(__xludf.DUMMYFUNCTION("""COMPUTED_VALUE"""),8.7)</f>
        <v>8.7</v>
      </c>
      <c r="G89" s="26">
        <f>IFERROR(__xludf.DUMMYFUNCTION("""COMPUTED_VALUE"""),1.677676206397E12)</f>
        <v>1677676206397</v>
      </c>
      <c r="H89" s="26">
        <f t="shared" si="1"/>
        <v>8598</v>
      </c>
    </row>
    <row r="90">
      <c r="B90" s="26">
        <f>IFERROR(__xludf.DUMMYFUNCTION("""COMPUTED_VALUE"""),0.154528770238907)</f>
        <v>0.1545287702</v>
      </c>
      <c r="C90" s="26">
        <f>IFERROR(__xludf.DUMMYFUNCTION("""COMPUTED_VALUE"""),-0.261369322103433)</f>
        <v>-0.2613693221</v>
      </c>
      <c r="D90" s="26">
        <f>IFERROR(__xludf.DUMMYFUNCTION("""COMPUTED_VALUE"""),0.746355833701677)</f>
        <v>0.7463558337</v>
      </c>
      <c r="E90" s="26">
        <f>IFERROR(__xludf.DUMMYFUNCTION("""COMPUTED_VALUE"""),0.592249867987419)</f>
        <v>0.592249868</v>
      </c>
      <c r="F90" s="26">
        <f>IFERROR(__xludf.DUMMYFUNCTION("""COMPUTED_VALUE"""),8.8)</f>
        <v>8.8</v>
      </c>
      <c r="G90" s="26">
        <f>IFERROR(__xludf.DUMMYFUNCTION("""COMPUTED_VALUE"""),1.677676206504E12)</f>
        <v>1677676206504</v>
      </c>
      <c r="H90" s="26">
        <f t="shared" si="1"/>
        <v>8705</v>
      </c>
    </row>
    <row r="91">
      <c r="B91" s="26">
        <f>IFERROR(__xludf.DUMMYFUNCTION("""COMPUTED_VALUE"""),0.0682957445859635)</f>
        <v>0.06829574459</v>
      </c>
      <c r="C91" s="26">
        <f>IFERROR(__xludf.DUMMYFUNCTION("""COMPUTED_VALUE"""),-0.448343735463962)</f>
        <v>-0.4483437355</v>
      </c>
      <c r="D91" s="26">
        <f>IFERROR(__xludf.DUMMYFUNCTION("""COMPUTED_VALUE"""),0.731813126279813)</f>
        <v>0.7318131263</v>
      </c>
      <c r="E91" s="26">
        <f>IFERROR(__xludf.DUMMYFUNCTION("""COMPUTED_VALUE"""),0.50869748804789)</f>
        <v>0.508697488</v>
      </c>
      <c r="F91" s="26">
        <f>IFERROR(__xludf.DUMMYFUNCTION("""COMPUTED_VALUE"""),8.9)</f>
        <v>8.9</v>
      </c>
      <c r="G91" s="26">
        <f>IFERROR(__xludf.DUMMYFUNCTION("""COMPUTED_VALUE"""),1.677676206596E12)</f>
        <v>1677676206596</v>
      </c>
      <c r="H91" s="26">
        <f t="shared" si="1"/>
        <v>8797</v>
      </c>
    </row>
    <row r="92">
      <c r="B92" s="26">
        <f>IFERROR(__xludf.DUMMYFUNCTION("""COMPUTED_VALUE"""),0.0355329850995919)</f>
        <v>0.0355329851</v>
      </c>
      <c r="C92" s="26">
        <f>IFERROR(__xludf.DUMMYFUNCTION("""COMPUTED_VALUE"""),-0.516144868218407)</f>
        <v>-0.5161448682</v>
      </c>
      <c r="D92" s="26">
        <f>IFERROR(__xludf.DUMMYFUNCTION("""COMPUTED_VALUE"""),0.714937675216315)</f>
        <v>0.7149376752</v>
      </c>
      <c r="E92" s="26">
        <f>IFERROR(__xludf.DUMMYFUNCTION("""COMPUTED_VALUE"""),0.470314790898611)</f>
        <v>0.4703147909</v>
      </c>
      <c r="F92" s="26">
        <f>IFERROR(__xludf.DUMMYFUNCTION("""COMPUTED_VALUE"""),9.0)</f>
        <v>9</v>
      </c>
      <c r="G92" s="26">
        <f>IFERROR(__xludf.DUMMYFUNCTION("""COMPUTED_VALUE"""),1.677676206696E12)</f>
        <v>1677676206696</v>
      </c>
      <c r="H92" s="26">
        <f t="shared" si="1"/>
        <v>8897</v>
      </c>
    </row>
    <row r="93">
      <c r="B93" s="26">
        <f>IFERROR(__xludf.DUMMYFUNCTION("""COMPUTED_VALUE"""),0.0105452426547996)</f>
        <v>0.01054524265</v>
      </c>
      <c r="C93" s="26">
        <f>IFERROR(__xludf.DUMMYFUNCTION("""COMPUTED_VALUE"""),0.624813882799859)</f>
        <v>0.6248138828</v>
      </c>
      <c r="D93" s="26">
        <f>IFERROR(__xludf.DUMMYFUNCTION("""COMPUTED_VALUE"""),-0.668932404314152)</f>
        <v>-0.6689324043</v>
      </c>
      <c r="E93" s="26">
        <f>IFERROR(__xludf.DUMMYFUNCTION("""COMPUTED_VALUE"""),-0.402524344824509)</f>
        <v>-0.4025243448</v>
      </c>
      <c r="F93" s="26">
        <f>IFERROR(__xludf.DUMMYFUNCTION("""COMPUTED_VALUE"""),9.1)</f>
        <v>9.1</v>
      </c>
      <c r="G93" s="26">
        <f>IFERROR(__xludf.DUMMYFUNCTION("""COMPUTED_VALUE"""),1.677676206808E12)</f>
        <v>1677676206808</v>
      </c>
      <c r="H93" s="26">
        <f t="shared" si="1"/>
        <v>9009</v>
      </c>
    </row>
    <row r="94">
      <c r="B94" s="26">
        <f>IFERROR(__xludf.DUMMYFUNCTION("""COMPUTED_VALUE"""),0.037028265618544)</f>
        <v>0.03702826562</v>
      </c>
      <c r="C94" s="26">
        <f>IFERROR(__xludf.DUMMYFUNCTION("""COMPUTED_VALUE"""),0.701457084328436)</f>
        <v>0.7014570843</v>
      </c>
      <c r="D94" s="26">
        <f>IFERROR(__xludf.DUMMYFUNCTION("""COMPUTED_VALUE"""),-0.620106913925024)</f>
        <v>-0.6201069139</v>
      </c>
      <c r="E94" s="26">
        <f>IFERROR(__xludf.DUMMYFUNCTION("""COMPUTED_VALUE"""),-0.349362679307781)</f>
        <v>-0.3493626793</v>
      </c>
      <c r="F94" s="26">
        <f>IFERROR(__xludf.DUMMYFUNCTION("""COMPUTED_VALUE"""),9.2)</f>
        <v>9.2</v>
      </c>
      <c r="G94" s="26">
        <f>IFERROR(__xludf.DUMMYFUNCTION("""COMPUTED_VALUE"""),1.677676206898E12)</f>
        <v>1677676206898</v>
      </c>
      <c r="H94" s="26">
        <f t="shared" si="1"/>
        <v>9099</v>
      </c>
    </row>
    <row r="95">
      <c r="B95" s="26">
        <f>IFERROR(__xludf.DUMMYFUNCTION("""COMPUTED_VALUE"""),0.0586591367344194)</f>
        <v>0.05865913673</v>
      </c>
      <c r="C95" s="26">
        <f>IFERROR(__xludf.DUMMYFUNCTION("""COMPUTED_VALUE"""),0.761887336857332)</f>
        <v>0.7618873369</v>
      </c>
      <c r="D95" s="26">
        <f>IFERROR(__xludf.DUMMYFUNCTION("""COMPUTED_VALUE"""),-0.570742054244652)</f>
        <v>-0.5707420542</v>
      </c>
      <c r="E95" s="26">
        <f>IFERROR(__xludf.DUMMYFUNCTION("""COMPUTED_VALUE"""),-0.300566630101558)</f>
        <v>-0.3005666301</v>
      </c>
      <c r="F95" s="26">
        <f>IFERROR(__xludf.DUMMYFUNCTION("""COMPUTED_VALUE"""),9.3)</f>
        <v>9.3</v>
      </c>
      <c r="G95" s="26">
        <f>IFERROR(__xludf.DUMMYFUNCTION("""COMPUTED_VALUE"""),1.677676206998E12)</f>
        <v>1677676206998</v>
      </c>
      <c r="H95" s="26">
        <f t="shared" si="1"/>
        <v>9199</v>
      </c>
    </row>
    <row r="96">
      <c r="B96" s="26">
        <f>IFERROR(__xludf.DUMMYFUNCTION("""COMPUTED_VALUE"""),0.0586591367344194)</f>
        <v>0.05865913673</v>
      </c>
      <c r="C96" s="26">
        <f>IFERROR(__xludf.DUMMYFUNCTION("""COMPUTED_VALUE"""),0.761887336857332)</f>
        <v>0.7618873369</v>
      </c>
      <c r="D96" s="26">
        <f>IFERROR(__xludf.DUMMYFUNCTION("""COMPUTED_VALUE"""),-0.570742054244652)</f>
        <v>-0.5707420542</v>
      </c>
      <c r="E96" s="26">
        <f>IFERROR(__xludf.DUMMYFUNCTION("""COMPUTED_VALUE"""),-0.300566630101558)</f>
        <v>-0.3005666301</v>
      </c>
      <c r="F96" s="26">
        <f>IFERROR(__xludf.DUMMYFUNCTION("""COMPUTED_VALUE"""),9.4)</f>
        <v>9.4</v>
      </c>
      <c r="G96" s="26">
        <f>IFERROR(__xludf.DUMMYFUNCTION("""COMPUTED_VALUE"""),1.677676207098E12)</f>
        <v>1677676207098</v>
      </c>
      <c r="H96" s="26">
        <f t="shared" si="1"/>
        <v>9299</v>
      </c>
    </row>
    <row r="97">
      <c r="B97" s="26">
        <f>IFERROR(__xludf.DUMMYFUNCTION("""COMPUTED_VALUE"""),0.0631398789421178)</f>
        <v>0.06313987894</v>
      </c>
      <c r="C97" s="26">
        <f>IFERROR(__xludf.DUMMYFUNCTION("""COMPUTED_VALUE"""),0.764224458911807)</f>
        <v>0.7642244589</v>
      </c>
      <c r="D97" s="26">
        <f>IFERROR(__xludf.DUMMYFUNCTION("""COMPUTED_VALUE"""),-0.570263748184126)</f>
        <v>-0.5702637482</v>
      </c>
      <c r="E97" s="26">
        <f>IFERROR(__xludf.DUMMYFUNCTION("""COMPUTED_VALUE"""),-0.294573572465555)</f>
        <v>-0.2945735725</v>
      </c>
      <c r="F97" s="26">
        <f>IFERROR(__xludf.DUMMYFUNCTION("""COMPUTED_VALUE"""),9.5)</f>
        <v>9.5</v>
      </c>
      <c r="G97" s="26">
        <f>IFERROR(__xludf.DUMMYFUNCTION("""COMPUTED_VALUE"""),1.677676207198E12)</f>
        <v>1677676207198</v>
      </c>
      <c r="H97" s="26">
        <f t="shared" si="1"/>
        <v>9399</v>
      </c>
    </row>
    <row r="98">
      <c r="B98" s="26">
        <f>IFERROR(__xludf.DUMMYFUNCTION("""COMPUTED_VALUE"""),0.202879459646845)</f>
        <v>0.2028794596</v>
      </c>
      <c r="C98" s="26">
        <f>IFERROR(__xludf.DUMMYFUNCTION("""COMPUTED_VALUE"""),0.724749781172947)</f>
        <v>0.7247497812</v>
      </c>
      <c r="D98" s="26">
        <f>IFERROR(__xludf.DUMMYFUNCTION("""COMPUTED_VALUE"""),-0.642688834017452)</f>
        <v>-0.642688834</v>
      </c>
      <c r="E98" s="26">
        <f>IFERROR(__xludf.DUMMYFUNCTION("""COMPUTED_VALUE"""),-0.143278547495617)</f>
        <v>-0.1432785475</v>
      </c>
      <c r="F98" s="26">
        <f>IFERROR(__xludf.DUMMYFUNCTION("""COMPUTED_VALUE"""),9.6)</f>
        <v>9.6</v>
      </c>
      <c r="G98" s="26">
        <f>IFERROR(__xludf.DUMMYFUNCTION("""COMPUTED_VALUE"""),1.677676207298E12)</f>
        <v>1677676207298</v>
      </c>
      <c r="H98" s="26">
        <f t="shared" si="1"/>
        <v>9499</v>
      </c>
    </row>
    <row r="99">
      <c r="B99" s="26">
        <f>IFERROR(__xludf.DUMMYFUNCTION("""COMPUTED_VALUE"""),0.244284421225746)</f>
        <v>0.2442844212</v>
      </c>
      <c r="C99" s="26">
        <f>IFERROR(__xludf.DUMMYFUNCTION("""COMPUTED_VALUE"""),0.713979051778875)</f>
        <v>0.7139790518</v>
      </c>
      <c r="D99" s="26">
        <f>IFERROR(__xludf.DUMMYFUNCTION("""COMPUTED_VALUE"""),-0.649285558688834)</f>
        <v>-0.6492855587</v>
      </c>
      <c r="E99" s="26">
        <f>IFERROR(__xludf.DUMMYFUNCTION("""COMPUTED_VALUE"""),-0.0948013630992044)</f>
        <v>-0.0948013631</v>
      </c>
      <c r="F99" s="26">
        <f>IFERROR(__xludf.DUMMYFUNCTION("""COMPUTED_VALUE"""),9.7)</f>
        <v>9.7</v>
      </c>
      <c r="G99" s="26">
        <f>IFERROR(__xludf.DUMMYFUNCTION("""COMPUTED_VALUE"""),1.677676207395E12)</f>
        <v>1677676207395</v>
      </c>
      <c r="H99" s="26">
        <f t="shared" si="1"/>
        <v>9596</v>
      </c>
    </row>
    <row r="100">
      <c r="B100" s="26">
        <f>IFERROR(__xludf.DUMMYFUNCTION("""COMPUTED_VALUE"""),0.289781490592875)</f>
        <v>0.2897814906</v>
      </c>
      <c r="C100" s="26">
        <f>IFERROR(__xludf.DUMMYFUNCTION("""COMPUTED_VALUE"""),0.676450152797521)</f>
        <v>0.6764501528</v>
      </c>
      <c r="D100" s="26">
        <f>IFERROR(__xludf.DUMMYFUNCTION("""COMPUTED_VALUE"""),-0.676224817841789)</f>
        <v>-0.6762248178</v>
      </c>
      <c r="E100" s="26">
        <f>IFERROR(__xludf.DUMMYFUNCTION("""COMPUTED_VALUE"""),-0.0340862761946577)</f>
        <v>-0.03408627619</v>
      </c>
      <c r="F100" s="26">
        <f>IFERROR(__xludf.DUMMYFUNCTION("""COMPUTED_VALUE"""),9.8)</f>
        <v>9.8</v>
      </c>
      <c r="G100" s="26">
        <f>IFERROR(__xludf.DUMMYFUNCTION("""COMPUTED_VALUE"""),1.677676207497E12)</f>
        <v>1677676207497</v>
      </c>
      <c r="H100" s="26">
        <f t="shared" si="1"/>
        <v>9698</v>
      </c>
    </row>
    <row r="101">
      <c r="B101" s="26">
        <f>IFERROR(__xludf.DUMMYFUNCTION("""COMPUTED_VALUE"""),-0.310874179317098)</f>
        <v>-0.3108741793</v>
      </c>
      <c r="C101" s="26">
        <f>IFERROR(__xludf.DUMMYFUNCTION("""COMPUTED_VALUE"""),-0.557673657499576)</f>
        <v>-0.5576736575</v>
      </c>
      <c r="D101" s="26">
        <f>IFERROR(__xludf.DUMMYFUNCTION("""COMPUTED_VALUE"""),0.768774038021685)</f>
        <v>0.768774038</v>
      </c>
      <c r="E101" s="26">
        <f>IFERROR(__xludf.DUMMYFUNCTION("""COMPUTED_VALUE"""),-0.0366580799933117)</f>
        <v>-0.03665807999</v>
      </c>
      <c r="F101" s="26">
        <f>IFERROR(__xludf.DUMMYFUNCTION("""COMPUTED_VALUE"""),9.9)</f>
        <v>9.9</v>
      </c>
      <c r="G101" s="26">
        <f>IFERROR(__xludf.DUMMYFUNCTION("""COMPUTED_VALUE"""),1.6776762076E12)</f>
        <v>1677676207600</v>
      </c>
      <c r="H101" s="26">
        <f t="shared" si="1"/>
        <v>9801</v>
      </c>
    </row>
    <row r="102">
      <c r="B102" s="26">
        <f>IFERROR(__xludf.DUMMYFUNCTION("""COMPUTED_VALUE"""),-0.266875777256493)</f>
        <v>-0.2668757773</v>
      </c>
      <c r="C102" s="26">
        <f>IFERROR(__xludf.DUMMYFUNCTION("""COMPUTED_VALUE"""),-0.461768950876075)</f>
        <v>-0.4617689509</v>
      </c>
      <c r="D102" s="26">
        <f>IFERROR(__xludf.DUMMYFUNCTION("""COMPUTED_VALUE"""),0.84448451003242)</f>
        <v>0.84448451</v>
      </c>
      <c r="E102" s="26">
        <f>IFERROR(__xludf.DUMMYFUNCTION("""COMPUTED_VALUE"""),-0.0489149040258025)</f>
        <v>-0.04891490403</v>
      </c>
      <c r="F102" s="26">
        <f>IFERROR(__xludf.DUMMYFUNCTION("""COMPUTED_VALUE"""),10.0)</f>
        <v>10</v>
      </c>
      <c r="G102" s="26">
        <f>IFERROR(__xludf.DUMMYFUNCTION("""COMPUTED_VALUE"""),1.677676207698E12)</f>
        <v>1677676207698</v>
      </c>
      <c r="H102" s="26">
        <f t="shared" si="1"/>
        <v>9899</v>
      </c>
    </row>
    <row r="103">
      <c r="B103" s="26">
        <f>IFERROR(__xludf.DUMMYFUNCTION("""COMPUTED_VALUE"""),-0.193781633624226)</f>
        <v>-0.1937816336</v>
      </c>
      <c r="C103" s="26">
        <f>IFERROR(__xludf.DUMMYFUNCTION("""COMPUTED_VALUE"""),-0.379293509127915)</f>
        <v>-0.3792935091</v>
      </c>
      <c r="D103" s="26">
        <f>IFERROR(__xludf.DUMMYFUNCTION("""COMPUTED_VALUE"""),0.903933932863381)</f>
        <v>0.9039339329</v>
      </c>
      <c r="E103" s="26">
        <f>IFERROR(__xludf.DUMMYFUNCTION("""COMPUTED_VALUE"""),-0.0385818276070162)</f>
        <v>-0.03858182761</v>
      </c>
      <c r="F103" s="26">
        <f>IFERROR(__xludf.DUMMYFUNCTION("""COMPUTED_VALUE"""),10.1)</f>
        <v>10.1</v>
      </c>
      <c r="G103" s="26">
        <f>IFERROR(__xludf.DUMMYFUNCTION("""COMPUTED_VALUE"""),1.677676207795E12)</f>
        <v>1677676207795</v>
      </c>
      <c r="H103" s="26">
        <f t="shared" si="1"/>
        <v>9996</v>
      </c>
    </row>
    <row r="104">
      <c r="B104" s="26">
        <f>IFERROR(__xludf.DUMMYFUNCTION("""COMPUTED_VALUE"""),-0.140680486712158)</f>
        <v>-0.1406804867</v>
      </c>
      <c r="C104" s="26">
        <f>IFERROR(__xludf.DUMMYFUNCTION("""COMPUTED_VALUE"""),-0.316067610148042)</f>
        <v>-0.3160676101</v>
      </c>
      <c r="D104" s="26">
        <f>IFERROR(__xludf.DUMMYFUNCTION("""COMPUTED_VALUE"""),0.93772922321934)</f>
        <v>0.9377292232</v>
      </c>
      <c r="E104" s="26">
        <f>IFERROR(__xludf.DUMMYFUNCTION("""COMPUTED_VALUE"""),-0.0312117028402128)</f>
        <v>-0.03121170284</v>
      </c>
      <c r="F104" s="26">
        <f>IFERROR(__xludf.DUMMYFUNCTION("""COMPUTED_VALUE"""),10.2)</f>
        <v>10.2</v>
      </c>
      <c r="G104" s="26">
        <f>IFERROR(__xludf.DUMMYFUNCTION("""COMPUTED_VALUE"""),1.677676207896E12)</f>
        <v>1677676207896</v>
      </c>
      <c r="H104" s="26">
        <f t="shared" si="1"/>
        <v>10097</v>
      </c>
    </row>
    <row r="105">
      <c r="B105" s="26">
        <f>IFERROR(__xludf.DUMMYFUNCTION("""COMPUTED_VALUE"""),-0.089856207696376)</f>
        <v>-0.0898562077</v>
      </c>
      <c r="C105" s="26">
        <f>IFERROR(__xludf.DUMMYFUNCTION("""COMPUTED_VALUE"""),-0.242713453029968)</f>
        <v>-0.242713453</v>
      </c>
      <c r="D105" s="26">
        <f>IFERROR(__xludf.DUMMYFUNCTION("""COMPUTED_VALUE"""),0.965581196041801)</f>
        <v>0.965581196</v>
      </c>
      <c r="E105" s="26">
        <f>IFERROR(__xludf.DUMMYFUNCTION("""COMPUTED_VALUE"""),-0.0258649474613224)</f>
        <v>-0.02586494746</v>
      </c>
      <c r="F105" s="26">
        <f>IFERROR(__xludf.DUMMYFUNCTION("""COMPUTED_VALUE"""),10.3)</f>
        <v>10.3</v>
      </c>
      <c r="G105" s="26">
        <f>IFERROR(__xludf.DUMMYFUNCTION("""COMPUTED_VALUE"""),1.677676207996E12)</f>
        <v>1677676207996</v>
      </c>
      <c r="H105" s="26">
        <f t="shared" si="1"/>
        <v>10197</v>
      </c>
    </row>
    <row r="106">
      <c r="B106" s="26">
        <f>IFERROR(__xludf.DUMMYFUNCTION("""COMPUTED_VALUE"""),-0.0577618603791244)</f>
        <v>-0.05776186038</v>
      </c>
      <c r="C106" s="26">
        <f>IFERROR(__xludf.DUMMYFUNCTION("""COMPUTED_VALUE"""),-0.186172202323763)</f>
        <v>-0.1861722023</v>
      </c>
      <c r="D106" s="26">
        <f>IFERROR(__xludf.DUMMYFUNCTION("""COMPUTED_VALUE"""),0.980531015712724)</f>
        <v>0.9805310157</v>
      </c>
      <c r="E106" s="26">
        <f>IFERROR(__xludf.DUMMYFUNCTION("""COMPUTED_VALUE"""),-0.0237150963066344)</f>
        <v>-0.02371509631</v>
      </c>
      <c r="F106" s="26">
        <f>IFERROR(__xludf.DUMMYFUNCTION("""COMPUTED_VALUE"""),10.4)</f>
        <v>10.4</v>
      </c>
      <c r="G106" s="26">
        <f>IFERROR(__xludf.DUMMYFUNCTION("""COMPUTED_VALUE"""),1.677676208096E12)</f>
        <v>1677676208096</v>
      </c>
      <c r="H106" s="26">
        <f t="shared" si="1"/>
        <v>10297</v>
      </c>
    </row>
    <row r="107">
      <c r="B107" s="26">
        <f>IFERROR(__xludf.DUMMYFUNCTION("""COMPUTED_VALUE"""),5.35305708280406E-4)</f>
        <v>0.0005353057083</v>
      </c>
      <c r="C107" s="26">
        <f>IFERROR(__xludf.DUMMYFUNCTION("""COMPUTED_VALUE"""),-0.171862298377186)</f>
        <v>-0.1718622984</v>
      </c>
      <c r="D107" s="26">
        <f>IFERROR(__xludf.DUMMYFUNCTION("""COMPUTED_VALUE"""),0.985019461977882)</f>
        <v>0.985019462</v>
      </c>
      <c r="E107" s="26">
        <f>IFERROR(__xludf.DUMMYFUNCTION("""COMPUTED_VALUE"""),-0.0141323518606126)</f>
        <v>-0.01413235186</v>
      </c>
      <c r="F107" s="26">
        <f>IFERROR(__xludf.DUMMYFUNCTION("""COMPUTED_VALUE"""),10.5)</f>
        <v>10.5</v>
      </c>
      <c r="G107" s="26">
        <f>IFERROR(__xludf.DUMMYFUNCTION("""COMPUTED_VALUE"""),1.677676208197E12)</f>
        <v>1677676208197</v>
      </c>
      <c r="H107" s="26">
        <f t="shared" si="1"/>
        <v>10398</v>
      </c>
    </row>
    <row r="108">
      <c r="B108" s="26">
        <f>IFERROR(__xludf.DUMMYFUNCTION("""COMPUTED_VALUE"""),0.150437130776287)</f>
        <v>0.1504371308</v>
      </c>
      <c r="C108" s="26">
        <f>IFERROR(__xludf.DUMMYFUNCTION("""COMPUTED_VALUE"""),-0.214238814849223)</f>
        <v>-0.2142388148</v>
      </c>
      <c r="D108" s="26">
        <f>IFERROR(__xludf.DUMMYFUNCTION("""COMPUTED_VALUE"""),0.965070818326768)</f>
        <v>0.9650708183</v>
      </c>
      <c r="E108" s="26">
        <f>IFERROR(__xludf.DUMMYFUNCTION("""COMPUTED_VALUE"""),0.0104266730024134)</f>
        <v>0.010426673</v>
      </c>
      <c r="F108" s="26">
        <f>IFERROR(__xludf.DUMMYFUNCTION("""COMPUTED_VALUE"""),10.6)</f>
        <v>10.6</v>
      </c>
      <c r="G108" s="26">
        <f>IFERROR(__xludf.DUMMYFUNCTION("""COMPUTED_VALUE"""),1.677676208296E12)</f>
        <v>1677676208296</v>
      </c>
      <c r="H108" s="26">
        <f t="shared" si="1"/>
        <v>10497</v>
      </c>
    </row>
    <row r="109">
      <c r="B109" s="26">
        <f>IFERROR(__xludf.DUMMYFUNCTION("""COMPUTED_VALUE"""),0.20342555784523)</f>
        <v>0.2034255578</v>
      </c>
      <c r="C109" s="26">
        <f>IFERROR(__xludf.DUMMYFUNCTION("""COMPUTED_VALUE"""),-0.236019023216483)</f>
        <v>-0.2360190232</v>
      </c>
      <c r="D109" s="26">
        <f>IFERROR(__xludf.DUMMYFUNCTION("""COMPUTED_VALUE"""),0.950033432022898)</f>
        <v>0.950033432</v>
      </c>
      <c r="E109" s="26">
        <f>IFERROR(__xludf.DUMMYFUNCTION("""COMPUTED_VALUE"""),0.0186960192042186)</f>
        <v>0.0186960192</v>
      </c>
      <c r="F109" s="26">
        <f>IFERROR(__xludf.DUMMYFUNCTION("""COMPUTED_VALUE"""),10.7)</f>
        <v>10.7</v>
      </c>
      <c r="G109" s="26">
        <f>IFERROR(__xludf.DUMMYFUNCTION("""COMPUTED_VALUE"""),1.677676208397E12)</f>
        <v>1677676208397</v>
      </c>
      <c r="H109" s="26">
        <f t="shared" si="1"/>
        <v>10598</v>
      </c>
    </row>
    <row r="110">
      <c r="B110" s="26">
        <f>IFERROR(__xludf.DUMMYFUNCTION("""COMPUTED_VALUE"""),0.278195789338228)</f>
        <v>0.2781957893</v>
      </c>
      <c r="C110" s="26">
        <f>IFERROR(__xludf.DUMMYFUNCTION("""COMPUTED_VALUE"""),-0.292832400659835)</f>
        <v>-0.2928324007</v>
      </c>
      <c r="D110" s="26">
        <f>IFERROR(__xludf.DUMMYFUNCTION("""COMPUTED_VALUE"""),0.914489094439774)</f>
        <v>0.9144890944</v>
      </c>
      <c r="E110" s="26">
        <f>IFERROR(__xludf.DUMMYFUNCTION("""COMPUTED_VALUE"""),0.0237904196894065)</f>
        <v>0.02379041969</v>
      </c>
      <c r="F110" s="26">
        <f>IFERROR(__xludf.DUMMYFUNCTION("""COMPUTED_VALUE"""),10.8)</f>
        <v>10.8</v>
      </c>
      <c r="G110" s="26">
        <f>IFERROR(__xludf.DUMMYFUNCTION("""COMPUTED_VALUE"""),1.677676208496E12)</f>
        <v>1677676208496</v>
      </c>
      <c r="H110" s="26">
        <f t="shared" si="1"/>
        <v>10697</v>
      </c>
    </row>
    <row r="111">
      <c r="B111" s="26">
        <f>IFERROR(__xludf.DUMMYFUNCTION("""COMPUTED_VALUE"""),0.356884291485927)</f>
        <v>0.3568842915</v>
      </c>
      <c r="C111" s="26">
        <f>IFERROR(__xludf.DUMMYFUNCTION("""COMPUTED_VALUE"""),-0.404983905352734)</f>
        <v>-0.4049839054</v>
      </c>
      <c r="D111" s="26">
        <f>IFERROR(__xludf.DUMMYFUNCTION("""COMPUTED_VALUE"""),0.841713031598163)</f>
        <v>0.8417130316</v>
      </c>
      <c r="E111" s="26">
        <f>IFERROR(__xludf.DUMMYFUNCTION("""COMPUTED_VALUE"""),0.0118663951418919)</f>
        <v>0.01186639514</v>
      </c>
      <c r="F111" s="26">
        <f>IFERROR(__xludf.DUMMYFUNCTION("""COMPUTED_VALUE"""),10.9)</f>
        <v>10.9</v>
      </c>
      <c r="G111" s="26">
        <f>IFERROR(__xludf.DUMMYFUNCTION("""COMPUTED_VALUE"""),1.677676208597E12)</f>
        <v>1677676208597</v>
      </c>
      <c r="H111" s="26">
        <f t="shared" si="1"/>
        <v>10798</v>
      </c>
    </row>
    <row r="112">
      <c r="B112" s="26">
        <f>IFERROR(__xludf.DUMMYFUNCTION("""COMPUTED_VALUE"""),0.370089123439076)</f>
        <v>0.3700891234</v>
      </c>
      <c r="C112" s="26">
        <f>IFERROR(__xludf.DUMMYFUNCTION("""COMPUTED_VALUE"""),-0.459959294781027)</f>
        <v>-0.4599592948</v>
      </c>
      <c r="D112" s="26">
        <f>IFERROR(__xludf.DUMMYFUNCTION("""COMPUTED_VALUE"""),0.807117800319103)</f>
        <v>0.8071178003</v>
      </c>
      <c r="E112" s="26">
        <f>IFERROR(__xludf.DUMMYFUNCTION("""COMPUTED_VALUE"""),-0.00568720183283443)</f>
        <v>-0.005687201833</v>
      </c>
      <c r="F112" s="26">
        <f>IFERROR(__xludf.DUMMYFUNCTION("""COMPUTED_VALUE"""),11.0)</f>
        <v>11</v>
      </c>
      <c r="G112" s="26">
        <f>IFERROR(__xludf.DUMMYFUNCTION("""COMPUTED_VALUE"""),1.677676208697E12)</f>
        <v>1677676208697</v>
      </c>
      <c r="H112" s="26">
        <f t="shared" si="1"/>
        <v>10898</v>
      </c>
    </row>
    <row r="113">
      <c r="B113" s="26">
        <f>IFERROR(__xludf.DUMMYFUNCTION("""COMPUTED_VALUE"""),0.373230610543641)</f>
        <v>0.3732306105</v>
      </c>
      <c r="C113" s="26">
        <f>IFERROR(__xludf.DUMMYFUNCTION("""COMPUTED_VALUE"""),-0.463144062926044)</f>
        <v>-0.4631440629</v>
      </c>
      <c r="D113" s="26">
        <f>IFERROR(__xludf.DUMMYFUNCTION("""COMPUTED_VALUE"""),0.80384577791765)</f>
        <v>0.8038457779</v>
      </c>
      <c r="E113" s="26">
        <f>IFERROR(__xludf.DUMMYFUNCTION("""COMPUTED_VALUE"""),-0.00533419661634776)</f>
        <v>-0.005334196616</v>
      </c>
      <c r="F113" s="26">
        <f>IFERROR(__xludf.DUMMYFUNCTION("""COMPUTED_VALUE"""),11.1)</f>
        <v>11.1</v>
      </c>
      <c r="G113" s="26">
        <f>IFERROR(__xludf.DUMMYFUNCTION("""COMPUTED_VALUE"""),1.677676208799E12)</f>
        <v>1677676208799</v>
      </c>
      <c r="H113" s="26">
        <f t="shared" si="1"/>
        <v>11000</v>
      </c>
    </row>
    <row r="114">
      <c r="B114" s="26">
        <f>IFERROR(__xludf.DUMMYFUNCTION("""COMPUTED_VALUE"""),0.373230610543641)</f>
        <v>0.3732306105</v>
      </c>
      <c r="C114" s="26">
        <f>IFERROR(__xludf.DUMMYFUNCTION("""COMPUTED_VALUE"""),-0.463144062926044)</f>
        <v>-0.4631440629</v>
      </c>
      <c r="D114" s="26">
        <f>IFERROR(__xludf.DUMMYFUNCTION("""COMPUTED_VALUE"""),0.80384577791765)</f>
        <v>0.8038457779</v>
      </c>
      <c r="E114" s="26">
        <f>IFERROR(__xludf.DUMMYFUNCTION("""COMPUTED_VALUE"""),-0.00533419661634776)</f>
        <v>-0.005334196616</v>
      </c>
      <c r="F114" s="26">
        <f>IFERROR(__xludf.DUMMYFUNCTION("""COMPUTED_VALUE"""),11.2)</f>
        <v>11.2</v>
      </c>
      <c r="G114" s="26">
        <f>IFERROR(__xludf.DUMMYFUNCTION("""COMPUTED_VALUE"""),1.677676208899E12)</f>
        <v>1677676208899</v>
      </c>
      <c r="H114" s="26">
        <f t="shared" si="1"/>
        <v>11100</v>
      </c>
    </row>
    <row r="115">
      <c r="B115" s="26">
        <f>IFERROR(__xludf.DUMMYFUNCTION("""COMPUTED_VALUE"""),0.373230610543641)</f>
        <v>0.3732306105</v>
      </c>
      <c r="C115" s="26">
        <f>IFERROR(__xludf.DUMMYFUNCTION("""COMPUTED_VALUE"""),-0.463144062926044)</f>
        <v>-0.4631440629</v>
      </c>
      <c r="D115" s="26">
        <f>IFERROR(__xludf.DUMMYFUNCTION("""COMPUTED_VALUE"""),0.80384577791765)</f>
        <v>0.8038457779</v>
      </c>
      <c r="E115" s="26">
        <f>IFERROR(__xludf.DUMMYFUNCTION("""COMPUTED_VALUE"""),-0.00533419661634776)</f>
        <v>-0.005334196616</v>
      </c>
      <c r="F115" s="26">
        <f>IFERROR(__xludf.DUMMYFUNCTION("""COMPUTED_VALUE"""),11.3)</f>
        <v>11.3</v>
      </c>
      <c r="G115" s="26">
        <f>IFERROR(__xludf.DUMMYFUNCTION("""COMPUTED_VALUE"""),1.677676208997E12)</f>
        <v>1677676208997</v>
      </c>
      <c r="H115" s="26">
        <f t="shared" si="1"/>
        <v>11198</v>
      </c>
    </row>
    <row r="116">
      <c r="B116" s="26">
        <f>IFERROR(__xludf.DUMMYFUNCTION("""COMPUTED_VALUE"""),0.373230610543641)</f>
        <v>0.3732306105</v>
      </c>
      <c r="C116" s="26">
        <f>IFERROR(__xludf.DUMMYFUNCTION("""COMPUTED_VALUE"""),-0.463144062926044)</f>
        <v>-0.4631440629</v>
      </c>
      <c r="D116" s="26">
        <f>IFERROR(__xludf.DUMMYFUNCTION("""COMPUTED_VALUE"""),0.80384577791765)</f>
        <v>0.8038457779</v>
      </c>
      <c r="E116" s="26">
        <f>IFERROR(__xludf.DUMMYFUNCTION("""COMPUTED_VALUE"""),-0.00533419661634776)</f>
        <v>-0.005334196616</v>
      </c>
      <c r="F116" s="26">
        <f>IFERROR(__xludf.DUMMYFUNCTION("""COMPUTED_VALUE"""),11.4)</f>
        <v>11.4</v>
      </c>
      <c r="G116" s="26">
        <f>IFERROR(__xludf.DUMMYFUNCTION("""COMPUTED_VALUE"""),1.677676209097E12)</f>
        <v>1677676209097</v>
      </c>
      <c r="H116" s="26">
        <f t="shared" si="1"/>
        <v>11298</v>
      </c>
    </row>
    <row r="117">
      <c r="B117" s="26">
        <f>IFERROR(__xludf.DUMMYFUNCTION("""COMPUTED_VALUE"""),0.331493091172162)</f>
        <v>0.3314930912</v>
      </c>
      <c r="C117" s="26">
        <f>IFERROR(__xludf.DUMMYFUNCTION("""COMPUTED_VALUE"""),-0.481076838589594)</f>
        <v>-0.4810768386</v>
      </c>
      <c r="D117" s="26">
        <f>IFERROR(__xludf.DUMMYFUNCTION("""COMPUTED_VALUE"""),0.810711737250377)</f>
        <v>0.8107117373</v>
      </c>
      <c r="E117" s="26">
        <f>IFERROR(__xludf.DUMMYFUNCTION("""COMPUTED_VALUE"""),-0.0377344002501542)</f>
        <v>-0.03773440025</v>
      </c>
      <c r="F117" s="26">
        <f>IFERROR(__xludf.DUMMYFUNCTION("""COMPUTED_VALUE"""),11.5)</f>
        <v>11.5</v>
      </c>
      <c r="G117" s="26">
        <f>IFERROR(__xludf.DUMMYFUNCTION("""COMPUTED_VALUE"""),1.677676209194E12)</f>
        <v>1677676209194</v>
      </c>
      <c r="H117" s="26">
        <f t="shared" si="1"/>
        <v>11395</v>
      </c>
    </row>
    <row r="118">
      <c r="B118" s="26">
        <f>IFERROR(__xludf.DUMMYFUNCTION("""COMPUTED_VALUE"""),0.235551206029707)</f>
        <v>0.235551206</v>
      </c>
      <c r="C118" s="26">
        <f>IFERROR(__xludf.DUMMYFUNCTION("""COMPUTED_VALUE"""),-0.505022193421004)</f>
        <v>-0.5050221934</v>
      </c>
      <c r="D118" s="26">
        <f>IFERROR(__xludf.DUMMYFUNCTION("""COMPUTED_VALUE"""),0.823654469054956)</f>
        <v>0.8236544691</v>
      </c>
      <c r="E118" s="26">
        <f>IFERROR(__xludf.DUMMYFUNCTION("""COMPUTED_VALUE"""),-0.105173804228925)</f>
        <v>-0.1051738042</v>
      </c>
      <c r="F118" s="26">
        <f>IFERROR(__xludf.DUMMYFUNCTION("""COMPUTED_VALUE"""),11.6)</f>
        <v>11.6</v>
      </c>
      <c r="G118" s="26">
        <f>IFERROR(__xludf.DUMMYFUNCTION("""COMPUTED_VALUE"""),1.677676209298E12)</f>
        <v>1677676209298</v>
      </c>
      <c r="H118" s="26">
        <f t="shared" si="1"/>
        <v>11499</v>
      </c>
    </row>
    <row r="119">
      <c r="B119" s="26">
        <f>IFERROR(__xludf.DUMMYFUNCTION("""COMPUTED_VALUE"""),0.218919659722482)</f>
        <v>0.2189196597</v>
      </c>
      <c r="C119" s="26">
        <f>IFERROR(__xludf.DUMMYFUNCTION("""COMPUTED_VALUE"""),-0.506090274349598)</f>
        <v>-0.5060902743</v>
      </c>
      <c r="D119" s="26">
        <f>IFERROR(__xludf.DUMMYFUNCTION("""COMPUTED_VALUE"""),0.826130994332237)</f>
        <v>0.8261309943</v>
      </c>
      <c r="E119" s="26">
        <f>IFERROR(__xludf.DUMMYFUNCTION("""COMPUTED_VALUE"""),-0.115993090308719)</f>
        <v>-0.1159930903</v>
      </c>
      <c r="F119" s="26">
        <f>IFERROR(__xludf.DUMMYFUNCTION("""COMPUTED_VALUE"""),11.7)</f>
        <v>11.7</v>
      </c>
      <c r="G119" s="26">
        <f>IFERROR(__xludf.DUMMYFUNCTION("""COMPUTED_VALUE"""),1.677676209396E12)</f>
        <v>1677676209396</v>
      </c>
      <c r="H119" s="26">
        <f t="shared" si="1"/>
        <v>11597</v>
      </c>
    </row>
    <row r="120">
      <c r="B120" s="26">
        <f>IFERROR(__xludf.DUMMYFUNCTION("""COMPUTED_VALUE"""),0.115395250380425)</f>
        <v>0.1153952504</v>
      </c>
      <c r="C120" s="26">
        <f>IFERROR(__xludf.DUMMYFUNCTION("""COMPUTED_VALUE"""),-0.521006790538058)</f>
        <v>-0.5210067905</v>
      </c>
      <c r="D120" s="26">
        <f>IFERROR(__xludf.DUMMYFUNCTION("""COMPUTED_VALUE"""),0.825726870367853)</f>
        <v>0.8257268704</v>
      </c>
      <c r="E120" s="26">
        <f>IFERROR(__xludf.DUMMYFUNCTION("""COMPUTED_VALUE"""),-0.182786749944787)</f>
        <v>-0.1827867499</v>
      </c>
      <c r="F120" s="26">
        <f>IFERROR(__xludf.DUMMYFUNCTION("""COMPUTED_VALUE"""),11.8)</f>
        <v>11.8</v>
      </c>
      <c r="G120" s="26">
        <f>IFERROR(__xludf.DUMMYFUNCTION("""COMPUTED_VALUE"""),1.677676209495E12)</f>
        <v>1677676209495</v>
      </c>
      <c r="H120" s="26">
        <f t="shared" si="1"/>
        <v>11696</v>
      </c>
    </row>
    <row r="121">
      <c r="B121" s="26">
        <f>IFERROR(__xludf.DUMMYFUNCTION("""COMPUTED_VALUE"""),-0.0211332559632404)</f>
        <v>-0.02113325596</v>
      </c>
      <c r="C121" s="26">
        <f>IFERROR(__xludf.DUMMYFUNCTION("""COMPUTED_VALUE"""),-0.555190715736717)</f>
        <v>-0.5551907157</v>
      </c>
      <c r="D121" s="26">
        <f>IFERROR(__xludf.DUMMYFUNCTION("""COMPUTED_VALUE"""),0.788336318665754)</f>
        <v>0.7883363187</v>
      </c>
      <c r="E121" s="26">
        <f>IFERROR(__xludf.DUMMYFUNCTION("""COMPUTED_VALUE"""),-0.264277322759006)</f>
        <v>-0.2642773228</v>
      </c>
      <c r="F121" s="26">
        <f>IFERROR(__xludf.DUMMYFUNCTION("""COMPUTED_VALUE"""),11.9)</f>
        <v>11.9</v>
      </c>
      <c r="G121" s="26">
        <f>IFERROR(__xludf.DUMMYFUNCTION("""COMPUTED_VALUE"""),1.677676209596E12)</f>
        <v>1677676209596</v>
      </c>
      <c r="H121" s="26">
        <f t="shared" si="1"/>
        <v>11797</v>
      </c>
    </row>
    <row r="122">
      <c r="B122" s="26">
        <f>IFERROR(__xludf.DUMMYFUNCTION("""COMPUTED_VALUE"""),-0.0822038885522902)</f>
        <v>-0.08220388855</v>
      </c>
      <c r="C122" s="26">
        <f>IFERROR(__xludf.DUMMYFUNCTION("""COMPUTED_VALUE"""),-0.581122728174345)</f>
        <v>-0.5811227282</v>
      </c>
      <c r="D122" s="26">
        <f>IFERROR(__xludf.DUMMYFUNCTION("""COMPUTED_VALUE"""),0.754160032307568)</f>
        <v>0.7541600323</v>
      </c>
      <c r="E122" s="26">
        <f>IFERROR(__xludf.DUMMYFUNCTION("""COMPUTED_VALUE"""),-0.294587068921793)</f>
        <v>-0.2945870689</v>
      </c>
      <c r="F122" s="26">
        <f>IFERROR(__xludf.DUMMYFUNCTION("""COMPUTED_VALUE"""),12.0)</f>
        <v>12</v>
      </c>
      <c r="G122" s="26">
        <f>IFERROR(__xludf.DUMMYFUNCTION("""COMPUTED_VALUE"""),1.677676209697E12)</f>
        <v>1677676209697</v>
      </c>
      <c r="H122" s="26">
        <f t="shared" si="1"/>
        <v>11898</v>
      </c>
    </row>
    <row r="123">
      <c r="B123" s="26">
        <f>IFERROR(__xludf.DUMMYFUNCTION("""COMPUTED_VALUE"""),0.141208101017232)</f>
        <v>0.141208101</v>
      </c>
      <c r="C123" s="26">
        <f>IFERROR(__xludf.DUMMYFUNCTION("""COMPUTED_VALUE"""),0.617131062957848)</f>
        <v>0.617131063</v>
      </c>
      <c r="D123" s="26">
        <f>IFERROR(__xludf.DUMMYFUNCTION("""COMPUTED_VALUE"""),-0.706113060223162)</f>
        <v>-0.7061130602</v>
      </c>
      <c r="E123" s="26">
        <f>IFERROR(__xludf.DUMMYFUNCTION("""COMPUTED_VALUE"""),0.317196893934823)</f>
        <v>0.3171968939</v>
      </c>
      <c r="F123" s="26">
        <f>IFERROR(__xludf.DUMMYFUNCTION("""COMPUTED_VALUE"""),12.1)</f>
        <v>12.1</v>
      </c>
      <c r="G123" s="26">
        <f>IFERROR(__xludf.DUMMYFUNCTION("""COMPUTED_VALUE"""),1.677676209795E12)</f>
        <v>1677676209795</v>
      </c>
      <c r="H123" s="26">
        <f t="shared" si="1"/>
        <v>11996</v>
      </c>
    </row>
    <row r="124">
      <c r="B124" s="26">
        <f>IFERROR(__xludf.DUMMYFUNCTION("""COMPUTED_VALUE"""),0.228406294291791)</f>
        <v>0.2284062943</v>
      </c>
      <c r="C124" s="26">
        <f>IFERROR(__xludf.DUMMYFUNCTION("""COMPUTED_VALUE"""),0.683187718243824)</f>
        <v>0.6831877182</v>
      </c>
      <c r="D124" s="26">
        <f>IFERROR(__xludf.DUMMYFUNCTION("""COMPUTED_VALUE"""),-0.606577085076861)</f>
        <v>-0.6065770851</v>
      </c>
      <c r="E124" s="26">
        <f>IFERROR(__xludf.DUMMYFUNCTION("""COMPUTED_VALUE"""),0.336376792047761)</f>
        <v>0.336376792</v>
      </c>
      <c r="F124" s="26">
        <f>IFERROR(__xludf.DUMMYFUNCTION("""COMPUTED_VALUE"""),12.2)</f>
        <v>12.2</v>
      </c>
      <c r="G124" s="26">
        <f>IFERROR(__xludf.DUMMYFUNCTION("""COMPUTED_VALUE"""),1.677676209898E12)</f>
        <v>1677676209898</v>
      </c>
      <c r="H124" s="26">
        <f t="shared" si="1"/>
        <v>12099</v>
      </c>
    </row>
    <row r="125">
      <c r="B125" s="26">
        <f>IFERROR(__xludf.DUMMYFUNCTION("""COMPUTED_VALUE"""),0.260306087879673)</f>
        <v>0.2603060879</v>
      </c>
      <c r="C125" s="26">
        <f>IFERROR(__xludf.DUMMYFUNCTION("""COMPUTED_VALUE"""),0.695592652657882)</f>
        <v>0.6955926527</v>
      </c>
      <c r="D125" s="26">
        <f>IFERROR(__xludf.DUMMYFUNCTION("""COMPUTED_VALUE"""),-0.571788996238291)</f>
        <v>-0.5717889962</v>
      </c>
      <c r="E125" s="26">
        <f>IFERROR(__xludf.DUMMYFUNCTION("""COMPUTED_VALUE"""),0.348495259597536)</f>
        <v>0.3484952596</v>
      </c>
      <c r="F125" s="26">
        <f>IFERROR(__xludf.DUMMYFUNCTION("""COMPUTED_VALUE"""),12.3)</f>
        <v>12.3</v>
      </c>
      <c r="G125" s="26">
        <f>IFERROR(__xludf.DUMMYFUNCTION("""COMPUTED_VALUE"""),1.677676209997E12)</f>
        <v>1677676209997</v>
      </c>
      <c r="H125" s="26">
        <f t="shared" si="1"/>
        <v>12198</v>
      </c>
    </row>
    <row r="126">
      <c r="B126" s="26">
        <f>IFERROR(__xludf.DUMMYFUNCTION("""COMPUTED_VALUE"""),0.294569402227189)</f>
        <v>0.2945694022</v>
      </c>
      <c r="C126" s="26">
        <f>IFERROR(__xludf.DUMMYFUNCTION("""COMPUTED_VALUE"""),0.656608908176882)</f>
        <v>0.6566089082</v>
      </c>
      <c r="D126" s="26">
        <f>IFERROR(__xludf.DUMMYFUNCTION("""COMPUTED_VALUE"""),-0.563964656197078)</f>
        <v>-0.5639646562</v>
      </c>
      <c r="E126" s="26">
        <f>IFERROR(__xludf.DUMMYFUNCTION("""COMPUTED_VALUE"""),0.405015401601948)</f>
        <v>0.4050154016</v>
      </c>
      <c r="F126" s="26">
        <f>IFERROR(__xludf.DUMMYFUNCTION("""COMPUTED_VALUE"""),12.4)</f>
        <v>12.4</v>
      </c>
      <c r="G126" s="26">
        <f>IFERROR(__xludf.DUMMYFUNCTION("""COMPUTED_VALUE"""),1.677676210097E12)</f>
        <v>1677676210097</v>
      </c>
      <c r="H126" s="26">
        <f t="shared" si="1"/>
        <v>12298</v>
      </c>
    </row>
    <row r="127">
      <c r="B127" s="26">
        <f>IFERROR(__xludf.DUMMYFUNCTION("""COMPUTED_VALUE"""),-0.328346629014614)</f>
        <v>-0.328346629</v>
      </c>
      <c r="C127" s="26">
        <f>IFERROR(__xludf.DUMMYFUNCTION("""COMPUTED_VALUE"""),-0.552273563802186)</f>
        <v>-0.5522735638</v>
      </c>
      <c r="D127" s="26">
        <f>IFERROR(__xludf.DUMMYFUNCTION("""COMPUTED_VALUE"""),0.574527392381602)</f>
        <v>0.5745273924</v>
      </c>
      <c r="E127" s="26">
        <f>IFERROR(__xludf.DUMMYFUNCTION("""COMPUTED_VALUE"""),-0.507050961288079)</f>
        <v>-0.5070509613</v>
      </c>
      <c r="F127" s="26">
        <f>IFERROR(__xludf.DUMMYFUNCTION("""COMPUTED_VALUE"""),12.5)</f>
        <v>12.5</v>
      </c>
      <c r="G127" s="26">
        <f>IFERROR(__xludf.DUMMYFUNCTION("""COMPUTED_VALUE"""),1.677676210198E12)</f>
        <v>1677676210198</v>
      </c>
      <c r="H127" s="26">
        <f t="shared" si="1"/>
        <v>12399</v>
      </c>
    </row>
    <row r="128">
      <c r="B128" s="26">
        <f>IFERROR(__xludf.DUMMYFUNCTION("""COMPUTED_VALUE"""),-0.337619048144881)</f>
        <v>-0.3376190481</v>
      </c>
      <c r="C128" s="26">
        <f>IFERROR(__xludf.DUMMYFUNCTION("""COMPUTED_VALUE"""),-0.471444748660393)</f>
        <v>-0.4714447487</v>
      </c>
      <c r="D128" s="26">
        <f>IFERROR(__xludf.DUMMYFUNCTION("""COMPUTED_VALUE"""),0.582319827482564)</f>
        <v>0.5823198275</v>
      </c>
      <c r="E128" s="26">
        <f>IFERROR(__xludf.DUMMYFUNCTION("""COMPUTED_VALUE"""),-0.569786666929788)</f>
        <v>-0.5697866669</v>
      </c>
      <c r="F128" s="26">
        <f>IFERROR(__xludf.DUMMYFUNCTION("""COMPUTED_VALUE"""),12.6)</f>
        <v>12.6</v>
      </c>
      <c r="G128" s="26">
        <f>IFERROR(__xludf.DUMMYFUNCTION("""COMPUTED_VALUE"""),1.677676210298E12)</f>
        <v>1677676210298</v>
      </c>
      <c r="H128" s="26">
        <f t="shared" si="1"/>
        <v>12499</v>
      </c>
    </row>
    <row r="129">
      <c r="B129" s="26">
        <f>IFERROR(__xludf.DUMMYFUNCTION("""COMPUTED_VALUE"""),0.339940607239608)</f>
        <v>0.3399406072</v>
      </c>
      <c r="C129" s="26">
        <f>IFERROR(__xludf.DUMMYFUNCTION("""COMPUTED_VALUE"""),0.349310379507719)</f>
        <v>0.3493103795</v>
      </c>
      <c r="D129" s="26">
        <f>IFERROR(__xludf.DUMMYFUNCTION("""COMPUTED_VALUE"""),-0.586785858605205)</f>
        <v>-0.5867858586</v>
      </c>
      <c r="E129" s="26">
        <f>IFERROR(__xludf.DUMMYFUNCTION("""COMPUTED_VALUE"""),0.646610391548642)</f>
        <v>0.6466103915</v>
      </c>
      <c r="F129" s="26">
        <f>IFERROR(__xludf.DUMMYFUNCTION("""COMPUTED_VALUE"""),12.7)</f>
        <v>12.7</v>
      </c>
      <c r="G129" s="26">
        <f>IFERROR(__xludf.DUMMYFUNCTION("""COMPUTED_VALUE"""),1.677676210396E12)</f>
        <v>1677676210396</v>
      </c>
      <c r="H129" s="26">
        <f t="shared" si="1"/>
        <v>12597</v>
      </c>
    </row>
    <row r="130">
      <c r="B130" s="26">
        <f>IFERROR(__xludf.DUMMYFUNCTION("""COMPUTED_VALUE"""),0.314877726713066)</f>
        <v>0.3148777267</v>
      </c>
      <c r="C130" s="26">
        <f>IFERROR(__xludf.DUMMYFUNCTION("""COMPUTED_VALUE"""),0.193136933182273)</f>
        <v>0.1931369332</v>
      </c>
      <c r="D130" s="26">
        <f>IFERROR(__xludf.DUMMYFUNCTION("""COMPUTED_VALUE"""),-0.584942971774138)</f>
        <v>-0.5849429718</v>
      </c>
      <c r="E130" s="26">
        <f>IFERROR(__xludf.DUMMYFUNCTION("""COMPUTED_VALUE"""),0.722074692835163)</f>
        <v>0.7220746928</v>
      </c>
      <c r="F130" s="26">
        <f>IFERROR(__xludf.DUMMYFUNCTION("""COMPUTED_VALUE"""),12.8)</f>
        <v>12.8</v>
      </c>
      <c r="G130" s="26">
        <f>IFERROR(__xludf.DUMMYFUNCTION("""COMPUTED_VALUE"""),1.677676210497E12)</f>
        <v>1677676210497</v>
      </c>
      <c r="H130" s="26">
        <f t="shared" si="1"/>
        <v>12698</v>
      </c>
    </row>
    <row r="131">
      <c r="B131" s="26">
        <f>IFERROR(__xludf.DUMMYFUNCTION("""COMPUTED_VALUE"""),0.308594283800342)</f>
        <v>0.3085942838</v>
      </c>
      <c r="C131" s="26">
        <f>IFERROR(__xludf.DUMMYFUNCTION("""COMPUTED_VALUE"""),0.159944108054757)</f>
        <v>0.1599441081</v>
      </c>
      <c r="D131" s="26">
        <f>IFERROR(__xludf.DUMMYFUNCTION("""COMPUTED_VALUE"""),-0.582405505860278)</f>
        <v>-0.5824055059</v>
      </c>
      <c r="E131" s="26">
        <f>IFERROR(__xludf.DUMMYFUNCTION("""COMPUTED_VALUE"""),0.734840987593882)</f>
        <v>0.7348409876</v>
      </c>
      <c r="F131" s="26">
        <f>IFERROR(__xludf.DUMMYFUNCTION("""COMPUTED_VALUE"""),12.9)</f>
        <v>12.9</v>
      </c>
      <c r="G131" s="26">
        <f>IFERROR(__xludf.DUMMYFUNCTION("""COMPUTED_VALUE"""),1.677676210598E12)</f>
        <v>1677676210598</v>
      </c>
      <c r="H131" s="26">
        <f t="shared" si="1"/>
        <v>12799</v>
      </c>
    </row>
    <row r="132">
      <c r="B132" s="26">
        <f>IFERROR(__xludf.DUMMYFUNCTION("""COMPUTED_VALUE"""),0.308594283800342)</f>
        <v>0.3085942838</v>
      </c>
      <c r="C132" s="26">
        <f>IFERROR(__xludf.DUMMYFUNCTION("""COMPUTED_VALUE"""),0.159944108054757)</f>
        <v>0.1599441081</v>
      </c>
      <c r="D132" s="26">
        <f>IFERROR(__xludf.DUMMYFUNCTION("""COMPUTED_VALUE"""),-0.582405505860278)</f>
        <v>-0.5824055059</v>
      </c>
      <c r="E132" s="26">
        <f>IFERROR(__xludf.DUMMYFUNCTION("""COMPUTED_VALUE"""),0.734840987593882)</f>
        <v>0.7348409876</v>
      </c>
      <c r="F132" s="26">
        <f>IFERROR(__xludf.DUMMYFUNCTION("""COMPUTED_VALUE"""),13.0)</f>
        <v>13</v>
      </c>
      <c r="G132" s="26">
        <f>IFERROR(__xludf.DUMMYFUNCTION("""COMPUTED_VALUE"""),1.677676210696E12)</f>
        <v>1677676210696</v>
      </c>
      <c r="H132" s="26">
        <f t="shared" si="1"/>
        <v>12897</v>
      </c>
    </row>
    <row r="133">
      <c r="B133" s="26">
        <f>IFERROR(__xludf.DUMMYFUNCTION("""COMPUTED_VALUE"""),0.308594283800342)</f>
        <v>0.3085942838</v>
      </c>
      <c r="C133" s="26">
        <f>IFERROR(__xludf.DUMMYFUNCTION("""COMPUTED_VALUE"""),0.159944108054757)</f>
        <v>0.1599441081</v>
      </c>
      <c r="D133" s="26">
        <f>IFERROR(__xludf.DUMMYFUNCTION("""COMPUTED_VALUE"""),-0.582405505860278)</f>
        <v>-0.5824055059</v>
      </c>
      <c r="E133" s="26">
        <f>IFERROR(__xludf.DUMMYFUNCTION("""COMPUTED_VALUE"""),0.734840987593882)</f>
        <v>0.7348409876</v>
      </c>
      <c r="F133" s="26">
        <f>IFERROR(__xludf.DUMMYFUNCTION("""COMPUTED_VALUE"""),13.1)</f>
        <v>13.1</v>
      </c>
      <c r="G133" s="26">
        <f>IFERROR(__xludf.DUMMYFUNCTION("""COMPUTED_VALUE"""),1.677676210798E12)</f>
        <v>1677676210798</v>
      </c>
      <c r="H133" s="26">
        <f t="shared" si="1"/>
        <v>12999</v>
      </c>
    </row>
    <row r="134">
      <c r="B134" s="26">
        <f>IFERROR(__xludf.DUMMYFUNCTION("""COMPUTED_VALUE"""),0.308594283800342)</f>
        <v>0.3085942838</v>
      </c>
      <c r="C134" s="26">
        <f>IFERROR(__xludf.DUMMYFUNCTION("""COMPUTED_VALUE"""),0.159944108054757)</f>
        <v>0.1599441081</v>
      </c>
      <c r="D134" s="26">
        <f>IFERROR(__xludf.DUMMYFUNCTION("""COMPUTED_VALUE"""),-0.582405505860278)</f>
        <v>-0.5824055059</v>
      </c>
      <c r="E134" s="26">
        <f>IFERROR(__xludf.DUMMYFUNCTION("""COMPUTED_VALUE"""),0.734840987593882)</f>
        <v>0.7348409876</v>
      </c>
      <c r="F134" s="26">
        <f>IFERROR(__xludf.DUMMYFUNCTION("""COMPUTED_VALUE"""),13.2)</f>
        <v>13.2</v>
      </c>
      <c r="G134" s="26">
        <f>IFERROR(__xludf.DUMMYFUNCTION("""COMPUTED_VALUE"""),1.677676210897E12)</f>
        <v>1677676210897</v>
      </c>
      <c r="H134" s="26">
        <f t="shared" si="1"/>
        <v>13098</v>
      </c>
    </row>
    <row r="135">
      <c r="B135" s="26">
        <f>IFERROR(__xludf.DUMMYFUNCTION("""COMPUTED_VALUE"""),-0.0531331438384264)</f>
        <v>-0.05313314384</v>
      </c>
      <c r="C135" s="26">
        <f>IFERROR(__xludf.DUMMYFUNCTION("""COMPUTED_VALUE"""),0.0804280171790193)</f>
        <v>0.08042801718</v>
      </c>
      <c r="D135" s="26">
        <f>IFERROR(__xludf.DUMMYFUNCTION("""COMPUTED_VALUE"""),-0.61579561207497)</f>
        <v>-0.6157956121</v>
      </c>
      <c r="E135" s="26">
        <f>IFERROR(__xludf.DUMMYFUNCTION("""COMPUTED_VALUE"""),0.781987191217162)</f>
        <v>0.7819871912</v>
      </c>
      <c r="F135" s="26">
        <f>IFERROR(__xludf.DUMMYFUNCTION("""COMPUTED_VALUE"""),13.3)</f>
        <v>13.3</v>
      </c>
      <c r="G135" s="26">
        <f>IFERROR(__xludf.DUMMYFUNCTION("""COMPUTED_VALUE"""),1.677676210997E12)</f>
        <v>1677676210997</v>
      </c>
      <c r="H135" s="26">
        <f t="shared" si="1"/>
        <v>13198</v>
      </c>
    </row>
    <row r="136">
      <c r="B136" s="26">
        <f>IFERROR(__xludf.DUMMYFUNCTION("""COMPUTED_VALUE"""),-0.189787233265948)</f>
        <v>-0.1897872333</v>
      </c>
      <c r="C136" s="26">
        <f>IFERROR(__xludf.DUMMYFUNCTION("""COMPUTED_VALUE"""),0.159495884544973)</f>
        <v>0.1594958845</v>
      </c>
      <c r="D136" s="26">
        <f>IFERROR(__xludf.DUMMYFUNCTION("""COMPUTED_VALUE"""),-0.604901665952132)</f>
        <v>-0.604901666</v>
      </c>
      <c r="E136" s="26">
        <f>IFERROR(__xludf.DUMMYFUNCTION("""COMPUTED_VALUE"""),0.75672706006248)</f>
        <v>0.7567270601</v>
      </c>
      <c r="F136" s="26">
        <f>IFERROR(__xludf.DUMMYFUNCTION("""COMPUTED_VALUE"""),13.4)</f>
        <v>13.4</v>
      </c>
      <c r="G136" s="26">
        <f>IFERROR(__xludf.DUMMYFUNCTION("""COMPUTED_VALUE"""),1.677676211097E12)</f>
        <v>1677676211097</v>
      </c>
      <c r="H136" s="26">
        <f t="shared" si="1"/>
        <v>13298</v>
      </c>
    </row>
    <row r="137">
      <c r="B137" s="26">
        <f>IFERROR(__xludf.DUMMYFUNCTION("""COMPUTED_VALUE"""),-0.34858181050907)</f>
        <v>-0.3485818105</v>
      </c>
      <c r="C137" s="26">
        <f>IFERROR(__xludf.DUMMYFUNCTION("""COMPUTED_VALUE"""),0.244708908012007)</f>
        <v>0.244708908</v>
      </c>
      <c r="D137" s="26">
        <f>IFERROR(__xludf.DUMMYFUNCTION("""COMPUTED_VALUE"""),-0.572723310864812)</f>
        <v>-0.5727233109</v>
      </c>
      <c r="E137" s="26">
        <f>IFERROR(__xludf.DUMMYFUNCTION("""COMPUTED_VALUE"""),0.700425785443278)</f>
        <v>0.7004257854</v>
      </c>
      <c r="F137" s="26">
        <f>IFERROR(__xludf.DUMMYFUNCTION("""COMPUTED_VALUE"""),13.5)</f>
        <v>13.5</v>
      </c>
      <c r="G137" s="26">
        <f>IFERROR(__xludf.DUMMYFUNCTION("""COMPUTED_VALUE"""),1.677676211198E12)</f>
        <v>1677676211198</v>
      </c>
      <c r="H137" s="26">
        <f t="shared" si="1"/>
        <v>13399</v>
      </c>
    </row>
    <row r="138">
      <c r="B138" s="26">
        <f>IFERROR(__xludf.DUMMYFUNCTION("""COMPUTED_VALUE"""),-0.377355743478595)</f>
        <v>-0.3773557435</v>
      </c>
      <c r="C138" s="26">
        <f>IFERROR(__xludf.DUMMYFUNCTION("""COMPUTED_VALUE"""),0.257563508143592)</f>
        <v>0.2575635081</v>
      </c>
      <c r="D138" s="26">
        <f>IFERROR(__xludf.DUMMYFUNCTION("""COMPUTED_VALUE"""),-0.565264382129774)</f>
        <v>-0.5652643821</v>
      </c>
      <c r="E138" s="26">
        <f>IFERROR(__xludf.DUMMYFUNCTION("""COMPUTED_VALUE"""),0.686833211509113)</f>
        <v>0.6868332115</v>
      </c>
      <c r="F138" s="26">
        <f>IFERROR(__xludf.DUMMYFUNCTION("""COMPUTED_VALUE"""),13.6)</f>
        <v>13.6</v>
      </c>
      <c r="G138" s="26">
        <f>IFERROR(__xludf.DUMMYFUNCTION("""COMPUTED_VALUE"""),1.677676211297E12)</f>
        <v>1677676211297</v>
      </c>
      <c r="H138" s="26">
        <f t="shared" si="1"/>
        <v>13498</v>
      </c>
    </row>
    <row r="139">
      <c r="B139" s="26">
        <f>IFERROR(__xludf.DUMMYFUNCTION("""COMPUTED_VALUE"""),-0.37957261609893)</f>
        <v>-0.3795726161</v>
      </c>
      <c r="C139" s="26">
        <f>IFERROR(__xludf.DUMMYFUNCTION("""COMPUTED_VALUE"""),0.260258702871468)</f>
        <v>0.2602587029</v>
      </c>
      <c r="D139" s="26">
        <f>IFERROR(__xludf.DUMMYFUNCTION("""COMPUTED_VALUE"""),-0.563778154905503)</f>
        <v>-0.5637781549</v>
      </c>
      <c r="E139" s="26">
        <f>IFERROR(__xludf.DUMMYFUNCTION("""COMPUTED_VALUE"""),0.685816468699037)</f>
        <v>0.6858164687</v>
      </c>
      <c r="F139" s="26">
        <f>IFERROR(__xludf.DUMMYFUNCTION("""COMPUTED_VALUE"""),13.7)</f>
        <v>13.7</v>
      </c>
      <c r="G139" s="26">
        <f>IFERROR(__xludf.DUMMYFUNCTION("""COMPUTED_VALUE"""),1.677676211398E12)</f>
        <v>1677676211398</v>
      </c>
      <c r="H139" s="26">
        <f t="shared" si="1"/>
        <v>13599</v>
      </c>
    </row>
    <row r="140">
      <c r="B140" s="26">
        <f>IFERROR(__xludf.DUMMYFUNCTION("""COMPUTED_VALUE"""),-0.325511821126458)</f>
        <v>-0.3255118211</v>
      </c>
      <c r="C140" s="26">
        <f>IFERROR(__xludf.DUMMYFUNCTION("""COMPUTED_VALUE"""),0.439283039523617)</f>
        <v>0.4392830395</v>
      </c>
      <c r="D140" s="26">
        <f>IFERROR(__xludf.DUMMYFUNCTION("""COMPUTED_VALUE"""),-0.457662636788804)</f>
        <v>-0.4576626368</v>
      </c>
      <c r="E140" s="26">
        <f>IFERROR(__xludf.DUMMYFUNCTION("""COMPUTED_VALUE"""),0.701154317095277)</f>
        <v>0.7011543171</v>
      </c>
      <c r="F140" s="26">
        <f>IFERROR(__xludf.DUMMYFUNCTION("""COMPUTED_VALUE"""),13.8)</f>
        <v>13.8</v>
      </c>
      <c r="G140" s="26">
        <f>IFERROR(__xludf.DUMMYFUNCTION("""COMPUTED_VALUE"""),1.677676211497E12)</f>
        <v>1677676211497</v>
      </c>
      <c r="H140" s="26">
        <f t="shared" si="1"/>
        <v>13698</v>
      </c>
    </row>
    <row r="141">
      <c r="B141" s="26">
        <f>IFERROR(__xludf.DUMMYFUNCTION("""COMPUTED_VALUE"""),-0.199466893255191)</f>
        <v>-0.1994668933</v>
      </c>
      <c r="C141" s="26">
        <f>IFERROR(__xludf.DUMMYFUNCTION("""COMPUTED_VALUE"""),0.583844330765218)</f>
        <v>0.5838443308</v>
      </c>
      <c r="D141" s="26">
        <f>IFERROR(__xludf.DUMMYFUNCTION("""COMPUTED_VALUE"""),-0.312273615035346)</f>
        <v>-0.312273615</v>
      </c>
      <c r="E141" s="26">
        <f>IFERROR(__xludf.DUMMYFUNCTION("""COMPUTED_VALUE"""),0.722373826547717)</f>
        <v>0.7223738265</v>
      </c>
      <c r="F141" s="26">
        <f>IFERROR(__xludf.DUMMYFUNCTION("""COMPUTED_VALUE"""),13.9)</f>
        <v>13.9</v>
      </c>
      <c r="G141" s="26">
        <f>IFERROR(__xludf.DUMMYFUNCTION("""COMPUTED_VALUE"""),1.677676211596E12)</f>
        <v>1677676211596</v>
      </c>
      <c r="H141" s="26">
        <f t="shared" si="1"/>
        <v>13797</v>
      </c>
    </row>
    <row r="142">
      <c r="B142" s="26">
        <f>IFERROR(__xludf.DUMMYFUNCTION("""COMPUTED_VALUE"""),-0.199466893255191)</f>
        <v>-0.1994668933</v>
      </c>
      <c r="C142" s="26">
        <f>IFERROR(__xludf.DUMMYFUNCTION("""COMPUTED_VALUE"""),0.583844330765218)</f>
        <v>0.5838443308</v>
      </c>
      <c r="D142" s="26">
        <f>IFERROR(__xludf.DUMMYFUNCTION("""COMPUTED_VALUE"""),-0.312273615035346)</f>
        <v>-0.312273615</v>
      </c>
      <c r="E142" s="26">
        <f>IFERROR(__xludf.DUMMYFUNCTION("""COMPUTED_VALUE"""),0.722373826547717)</f>
        <v>0.7223738265</v>
      </c>
      <c r="F142" s="26">
        <f>IFERROR(__xludf.DUMMYFUNCTION("""COMPUTED_VALUE"""),14.0)</f>
        <v>14</v>
      </c>
      <c r="G142" s="26">
        <f>IFERROR(__xludf.DUMMYFUNCTION("""COMPUTED_VALUE"""),1.677676211696E12)</f>
        <v>1677676211696</v>
      </c>
      <c r="H142" s="26">
        <f t="shared" si="1"/>
        <v>13897</v>
      </c>
    </row>
    <row r="143">
      <c r="B143" s="26">
        <f>IFERROR(__xludf.DUMMYFUNCTION("""COMPUTED_VALUE"""),-0.0541307112016376)</f>
        <v>-0.0541307112</v>
      </c>
      <c r="C143" s="26">
        <f>IFERROR(__xludf.DUMMYFUNCTION("""COMPUTED_VALUE"""),0.58535452237771)</f>
        <v>0.5853545224</v>
      </c>
      <c r="D143" s="26">
        <f>IFERROR(__xludf.DUMMYFUNCTION("""COMPUTED_VALUE"""),-0.217958282383271)</f>
        <v>-0.2179582824</v>
      </c>
      <c r="E143" s="26">
        <f>IFERROR(__xludf.DUMMYFUNCTION("""COMPUTED_VALUE"""),0.77905335913357)</f>
        <v>0.7790533591</v>
      </c>
      <c r="F143" s="26">
        <f>IFERROR(__xludf.DUMMYFUNCTION("""COMPUTED_VALUE"""),14.1)</f>
        <v>14.1</v>
      </c>
      <c r="G143" s="26">
        <f>IFERROR(__xludf.DUMMYFUNCTION("""COMPUTED_VALUE"""),1.677676211796E12)</f>
        <v>1677676211796</v>
      </c>
      <c r="H143" s="26">
        <f t="shared" si="1"/>
        <v>13997</v>
      </c>
    </row>
    <row r="144">
      <c r="B144" s="26">
        <f>IFERROR(__xludf.DUMMYFUNCTION("""COMPUTED_VALUE"""),0.0451530860632626)</f>
        <v>0.04515308606</v>
      </c>
      <c r="C144" s="26">
        <f>IFERROR(__xludf.DUMMYFUNCTION("""COMPUTED_VALUE"""),0.542240365805408)</f>
        <v>0.5422403658</v>
      </c>
      <c r="D144" s="26">
        <f>IFERROR(__xludf.DUMMYFUNCTION("""COMPUTED_VALUE"""),-0.157607220627132)</f>
        <v>-0.1576072206</v>
      </c>
      <c r="E144" s="26">
        <f>IFERROR(__xludf.DUMMYFUNCTION("""COMPUTED_VALUE"""),0.824073145125097)</f>
        <v>0.8240731451</v>
      </c>
      <c r="F144" s="26">
        <f>IFERROR(__xludf.DUMMYFUNCTION("""COMPUTED_VALUE"""),14.2)</f>
        <v>14.2</v>
      </c>
      <c r="G144" s="26">
        <f>IFERROR(__xludf.DUMMYFUNCTION("""COMPUTED_VALUE"""),1.677676211897E12)</f>
        <v>1677676211897</v>
      </c>
      <c r="H144" s="26">
        <f t="shared" si="1"/>
        <v>14098</v>
      </c>
    </row>
    <row r="145">
      <c r="B145" s="26">
        <f>IFERROR(__xludf.DUMMYFUNCTION("""COMPUTED_VALUE"""),0.0910391384134419)</f>
        <v>0.09103913841</v>
      </c>
      <c r="C145" s="26">
        <f>IFERROR(__xludf.DUMMYFUNCTION("""COMPUTED_VALUE"""),0.492375419027419)</f>
        <v>0.492375419</v>
      </c>
      <c r="D145" s="26">
        <f>IFERROR(__xludf.DUMMYFUNCTION("""COMPUTED_VALUE"""),-0.130636059261144)</f>
        <v>-0.1306360593</v>
      </c>
      <c r="E145" s="26">
        <f>IFERROR(__xludf.DUMMYFUNCTION("""COMPUTED_VALUE"""),0.855694187215987)</f>
        <v>0.8556941872</v>
      </c>
      <c r="F145" s="26">
        <f>IFERROR(__xludf.DUMMYFUNCTION("""COMPUTED_VALUE"""),14.3)</f>
        <v>14.3</v>
      </c>
      <c r="G145" s="26">
        <f>IFERROR(__xludf.DUMMYFUNCTION("""COMPUTED_VALUE"""),1.677676211996E12)</f>
        <v>1677676211996</v>
      </c>
      <c r="H145" s="26">
        <f t="shared" si="1"/>
        <v>14197</v>
      </c>
    </row>
    <row r="146">
      <c r="B146" s="26">
        <f>IFERROR(__xludf.DUMMYFUNCTION("""COMPUTED_VALUE"""),0.117181182122863)</f>
        <v>0.1171811821</v>
      </c>
      <c r="C146" s="26">
        <f>IFERROR(__xludf.DUMMYFUNCTION("""COMPUTED_VALUE"""),0.454471365755663)</f>
        <v>0.4544713658</v>
      </c>
      <c r="D146" s="26">
        <f>IFERROR(__xludf.DUMMYFUNCTION("""COMPUTED_VALUE"""),-0.114504417655626)</f>
        <v>-0.1145044177</v>
      </c>
      <c r="E146" s="26">
        <f>IFERROR(__xludf.DUMMYFUNCTION("""COMPUTED_VALUE"""),0.875564438863191)</f>
        <v>0.8755644389</v>
      </c>
      <c r="F146" s="26">
        <f>IFERROR(__xludf.DUMMYFUNCTION("""COMPUTED_VALUE"""),14.4)</f>
        <v>14.4</v>
      </c>
      <c r="G146" s="26">
        <f>IFERROR(__xludf.DUMMYFUNCTION("""COMPUTED_VALUE"""),1.677676212096E12)</f>
        <v>1677676212096</v>
      </c>
      <c r="H146" s="26">
        <f t="shared" si="1"/>
        <v>14297</v>
      </c>
    </row>
    <row r="147">
      <c r="B147" s="26">
        <f>IFERROR(__xludf.DUMMYFUNCTION("""COMPUTED_VALUE"""),0.14211223223502)</f>
        <v>0.1421122322</v>
      </c>
      <c r="C147" s="26">
        <f>IFERROR(__xludf.DUMMYFUNCTION("""COMPUTED_VALUE"""),0.422336531294462)</f>
        <v>0.4223365313</v>
      </c>
      <c r="D147" s="26">
        <f>IFERROR(__xludf.DUMMYFUNCTION("""COMPUTED_VALUE"""),-0.0989587175275743)</f>
        <v>-0.09895871753</v>
      </c>
      <c r="E147" s="26">
        <f>IFERROR(__xludf.DUMMYFUNCTION("""COMPUTED_VALUE"""),0.889743300063921)</f>
        <v>0.8897433001</v>
      </c>
      <c r="F147" s="26">
        <f>IFERROR(__xludf.DUMMYFUNCTION("""COMPUTED_VALUE"""),14.5)</f>
        <v>14.5</v>
      </c>
      <c r="G147" s="26">
        <f>IFERROR(__xludf.DUMMYFUNCTION("""COMPUTED_VALUE"""),1.677676212198E12)</f>
        <v>1677676212198</v>
      </c>
      <c r="H147" s="26">
        <f t="shared" si="1"/>
        <v>14399</v>
      </c>
    </row>
    <row r="148">
      <c r="B148" s="26">
        <f>IFERROR(__xludf.DUMMYFUNCTION("""COMPUTED_VALUE"""),-0.236622876521366)</f>
        <v>-0.2366228765</v>
      </c>
      <c r="C148" s="26">
        <f>IFERROR(__xludf.DUMMYFUNCTION("""COMPUTED_VALUE"""),0.0793606544709144)</f>
        <v>0.07936065447</v>
      </c>
      <c r="D148" s="26">
        <f>IFERROR(__xludf.DUMMYFUNCTION("""COMPUTED_VALUE"""),-0.223550591441045)</f>
        <v>-0.2235505914</v>
      </c>
      <c r="E148" s="26">
        <f>IFERROR(__xludf.DUMMYFUNCTION("""COMPUTED_VALUE"""),0.942197767931478)</f>
        <v>0.9421977679</v>
      </c>
      <c r="F148" s="26">
        <f>IFERROR(__xludf.DUMMYFUNCTION("""COMPUTED_VALUE"""),14.6)</f>
        <v>14.6</v>
      </c>
      <c r="G148" s="26">
        <f>IFERROR(__xludf.DUMMYFUNCTION("""COMPUTED_VALUE"""),1.677676212298E12)</f>
        <v>1677676212298</v>
      </c>
      <c r="H148" s="26">
        <f t="shared" si="1"/>
        <v>14499</v>
      </c>
    </row>
    <row r="149">
      <c r="B149" s="26">
        <f>IFERROR(__xludf.DUMMYFUNCTION("""COMPUTED_VALUE"""),-0.236622876521366)</f>
        <v>-0.2366228765</v>
      </c>
      <c r="C149" s="26">
        <f>IFERROR(__xludf.DUMMYFUNCTION("""COMPUTED_VALUE"""),0.0793606544709144)</f>
        <v>0.07936065447</v>
      </c>
      <c r="D149" s="26">
        <f>IFERROR(__xludf.DUMMYFUNCTION("""COMPUTED_VALUE"""),-0.223550591441045)</f>
        <v>-0.2235505914</v>
      </c>
      <c r="E149" s="26">
        <f>IFERROR(__xludf.DUMMYFUNCTION("""COMPUTED_VALUE"""),0.942197767931478)</f>
        <v>0.9421977679</v>
      </c>
      <c r="F149" s="26">
        <f>IFERROR(__xludf.DUMMYFUNCTION("""COMPUTED_VALUE"""),14.7)</f>
        <v>14.7</v>
      </c>
      <c r="G149" s="26">
        <f>IFERROR(__xludf.DUMMYFUNCTION("""COMPUTED_VALUE"""),1.677676212397E12)</f>
        <v>1677676212397</v>
      </c>
      <c r="H149" s="26">
        <f t="shared" si="1"/>
        <v>14598</v>
      </c>
    </row>
    <row r="150">
      <c r="B150" s="26">
        <f>IFERROR(__xludf.DUMMYFUNCTION("""COMPUTED_VALUE"""),-0.347710339979817)</f>
        <v>-0.34771034</v>
      </c>
      <c r="C150" s="26">
        <f>IFERROR(__xludf.DUMMYFUNCTION("""COMPUTED_VALUE"""),-0.0305438672468443)</f>
        <v>-0.03054386725</v>
      </c>
      <c r="D150" s="26">
        <f>IFERROR(__xludf.DUMMYFUNCTION("""COMPUTED_VALUE"""),-0.251089455632365)</f>
        <v>-0.2510894556</v>
      </c>
      <c r="E150" s="26">
        <f>IFERROR(__xludf.DUMMYFUNCTION("""COMPUTED_VALUE"""),0.902839230934814)</f>
        <v>0.9028392309</v>
      </c>
      <c r="F150" s="26">
        <f>IFERROR(__xludf.DUMMYFUNCTION("""COMPUTED_VALUE"""),14.8)</f>
        <v>14.8</v>
      </c>
      <c r="G150" s="26">
        <f>IFERROR(__xludf.DUMMYFUNCTION("""COMPUTED_VALUE"""),1.677676212496E12)</f>
        <v>1677676212496</v>
      </c>
      <c r="H150" s="26">
        <f t="shared" si="1"/>
        <v>14697</v>
      </c>
    </row>
    <row r="151">
      <c r="B151" s="26">
        <f>IFERROR(__xludf.DUMMYFUNCTION("""COMPUTED_VALUE"""),-0.375405206026754)</f>
        <v>-0.375405206</v>
      </c>
      <c r="C151" s="26">
        <f>IFERROR(__xludf.DUMMYFUNCTION("""COMPUTED_VALUE"""),-0.0536081612149552)</f>
        <v>-0.05360816121</v>
      </c>
      <c r="D151" s="26">
        <f>IFERROR(__xludf.DUMMYFUNCTION("""COMPUTED_VALUE"""),-0.255185193726733)</f>
        <v>-0.2551851937</v>
      </c>
      <c r="E151" s="26">
        <f>IFERROR(__xludf.DUMMYFUNCTION("""COMPUTED_VALUE"""),0.889425439956497)</f>
        <v>0.88942544</v>
      </c>
      <c r="F151" s="26">
        <f>IFERROR(__xludf.DUMMYFUNCTION("""COMPUTED_VALUE"""),14.9)</f>
        <v>14.9</v>
      </c>
      <c r="G151" s="26">
        <f>IFERROR(__xludf.DUMMYFUNCTION("""COMPUTED_VALUE"""),1.677676212597E12)</f>
        <v>1677676212597</v>
      </c>
      <c r="H151" s="26">
        <f t="shared" si="1"/>
        <v>14798</v>
      </c>
    </row>
    <row r="152">
      <c r="B152" s="26">
        <f>IFERROR(__xludf.DUMMYFUNCTION("""COMPUTED_VALUE"""),-0.382379086691952)</f>
        <v>-0.3823790867</v>
      </c>
      <c r="C152" s="26">
        <f>IFERROR(__xludf.DUMMYFUNCTION("""COMPUTED_VALUE"""),-0.0556107069731947)</f>
        <v>-0.05561070697</v>
      </c>
      <c r="D152" s="26">
        <f>IFERROR(__xludf.DUMMYFUNCTION("""COMPUTED_VALUE"""),-0.254756290042347)</f>
        <v>-0.25475629</v>
      </c>
      <c r="E152" s="26">
        <f>IFERROR(__xludf.DUMMYFUNCTION("""COMPUTED_VALUE"""),0.886449612789371)</f>
        <v>0.8864496128</v>
      </c>
      <c r="F152" s="26">
        <f>IFERROR(__xludf.DUMMYFUNCTION("""COMPUTED_VALUE"""),15.0)</f>
        <v>15</v>
      </c>
      <c r="G152" s="26">
        <f>IFERROR(__xludf.DUMMYFUNCTION("""COMPUTED_VALUE"""),1.677676212698E12)</f>
        <v>1677676212698</v>
      </c>
      <c r="H152" s="26">
        <f t="shared" si="1"/>
        <v>14899</v>
      </c>
    </row>
    <row r="153">
      <c r="B153" s="26">
        <f>IFERROR(__xludf.DUMMYFUNCTION("""COMPUTED_VALUE"""),-0.382379086691952)</f>
        <v>-0.3823790867</v>
      </c>
      <c r="C153" s="26">
        <f>IFERROR(__xludf.DUMMYFUNCTION("""COMPUTED_VALUE"""),-0.0556107069731947)</f>
        <v>-0.05561070697</v>
      </c>
      <c r="D153" s="26">
        <f>IFERROR(__xludf.DUMMYFUNCTION("""COMPUTED_VALUE"""),-0.254756290042347)</f>
        <v>-0.25475629</v>
      </c>
      <c r="E153" s="26">
        <f>IFERROR(__xludf.DUMMYFUNCTION("""COMPUTED_VALUE"""),0.886449612789371)</f>
        <v>0.8864496128</v>
      </c>
      <c r="F153" s="26">
        <f>IFERROR(__xludf.DUMMYFUNCTION("""COMPUTED_VALUE"""),15.1)</f>
        <v>15.1</v>
      </c>
      <c r="G153" s="26">
        <f>IFERROR(__xludf.DUMMYFUNCTION("""COMPUTED_VALUE"""),1.677676212815E12)</f>
        <v>1677676212815</v>
      </c>
      <c r="H153" s="26">
        <f t="shared" si="1"/>
        <v>15016</v>
      </c>
    </row>
    <row r="154">
      <c r="B154" s="26">
        <f>IFERROR(__xludf.DUMMYFUNCTION("""COMPUTED_VALUE"""),-0.382379086691952)</f>
        <v>-0.3823790867</v>
      </c>
      <c r="C154" s="26">
        <f>IFERROR(__xludf.DUMMYFUNCTION("""COMPUTED_VALUE"""),-0.0556107069731947)</f>
        <v>-0.05561070697</v>
      </c>
      <c r="D154" s="26">
        <f>IFERROR(__xludf.DUMMYFUNCTION("""COMPUTED_VALUE"""),-0.254756290042347)</f>
        <v>-0.25475629</v>
      </c>
      <c r="E154" s="26">
        <f>IFERROR(__xludf.DUMMYFUNCTION("""COMPUTED_VALUE"""),0.886449612789371)</f>
        <v>0.8864496128</v>
      </c>
      <c r="F154" s="26">
        <f>IFERROR(__xludf.DUMMYFUNCTION("""COMPUTED_VALUE"""),15.2)</f>
        <v>15.2</v>
      </c>
      <c r="G154" s="26">
        <f>IFERROR(__xludf.DUMMYFUNCTION("""COMPUTED_VALUE"""),1.677676212901E12)</f>
        <v>1677676212901</v>
      </c>
      <c r="H154" s="26">
        <f t="shared" si="1"/>
        <v>15102</v>
      </c>
    </row>
    <row r="155">
      <c r="B155" s="26">
        <f>IFERROR(__xludf.DUMMYFUNCTION("""COMPUTED_VALUE"""),-0.290706846187517)</f>
        <v>-0.2907068462</v>
      </c>
      <c r="C155" s="26">
        <f>IFERROR(__xludf.DUMMYFUNCTION("""COMPUTED_VALUE"""),0.162639906184387)</f>
        <v>0.1626399062</v>
      </c>
      <c r="D155" s="26">
        <f>IFERROR(__xludf.DUMMYFUNCTION("""COMPUTED_VALUE"""),-0.177183338956443)</f>
        <v>-0.177183339</v>
      </c>
      <c r="E155" s="26">
        <f>IFERROR(__xludf.DUMMYFUNCTION("""COMPUTED_VALUE"""),0.926090629955991)</f>
        <v>0.92609063</v>
      </c>
      <c r="F155" s="26">
        <f>IFERROR(__xludf.DUMMYFUNCTION("""COMPUTED_VALUE"""),15.3)</f>
        <v>15.3</v>
      </c>
      <c r="G155" s="26">
        <f>IFERROR(__xludf.DUMMYFUNCTION("""COMPUTED_VALUE"""),1.677676212997E12)</f>
        <v>1677676212997</v>
      </c>
      <c r="H155" s="26">
        <f t="shared" si="1"/>
        <v>15198</v>
      </c>
    </row>
    <row r="156">
      <c r="B156" s="26">
        <f>IFERROR(__xludf.DUMMYFUNCTION("""COMPUTED_VALUE"""),-0.140753594931887)</f>
        <v>-0.1407535949</v>
      </c>
      <c r="C156" s="26">
        <f>IFERROR(__xludf.DUMMYFUNCTION("""COMPUTED_VALUE"""),0.520532380399152)</f>
        <v>0.5205323804</v>
      </c>
      <c r="D156" s="26">
        <f>IFERROR(__xludf.DUMMYFUNCTION("""COMPUTED_VALUE"""),-0.0287628256019965)</f>
        <v>-0.0287628256</v>
      </c>
      <c r="E156" s="26">
        <f>IFERROR(__xludf.DUMMYFUNCTION("""COMPUTED_VALUE"""),0.841669273725213)</f>
        <v>0.8416692737</v>
      </c>
      <c r="F156" s="26">
        <f>IFERROR(__xludf.DUMMYFUNCTION("""COMPUTED_VALUE"""),15.4)</f>
        <v>15.4</v>
      </c>
      <c r="G156" s="26">
        <f>IFERROR(__xludf.DUMMYFUNCTION("""COMPUTED_VALUE"""),1.677676213104E12)</f>
        <v>1677676213104</v>
      </c>
      <c r="H156" s="26">
        <f t="shared" si="1"/>
        <v>15305</v>
      </c>
    </row>
    <row r="157">
      <c r="B157" s="26">
        <f>IFERROR(__xludf.DUMMYFUNCTION("""COMPUTED_VALUE"""),-0.101749353371491)</f>
        <v>-0.1017493534</v>
      </c>
      <c r="C157" s="26">
        <f>IFERROR(__xludf.DUMMYFUNCTION("""COMPUTED_VALUE"""),0.696212660491911)</f>
        <v>0.6962126605</v>
      </c>
      <c r="D157" s="26">
        <f>IFERROR(__xludf.DUMMYFUNCTION("""COMPUTED_VALUE"""),0.0169929353797764)</f>
        <v>0.01699293538</v>
      </c>
      <c r="E157" s="26">
        <f>IFERROR(__xludf.DUMMYFUNCTION("""COMPUTED_VALUE"""),0.710384572331378)</f>
        <v>0.7103845723</v>
      </c>
      <c r="F157" s="26">
        <f>IFERROR(__xludf.DUMMYFUNCTION("""COMPUTED_VALUE"""),15.5)</f>
        <v>15.5</v>
      </c>
      <c r="G157" s="26">
        <f>IFERROR(__xludf.DUMMYFUNCTION("""COMPUTED_VALUE"""),1.6776762132E12)</f>
        <v>1677676213200</v>
      </c>
      <c r="H157" s="26">
        <f t="shared" si="1"/>
        <v>15401</v>
      </c>
    </row>
    <row r="158">
      <c r="B158" s="26">
        <f>IFERROR(__xludf.DUMMYFUNCTION("""COMPUTED_VALUE"""),-0.107118128563501)</f>
        <v>-0.1071181286</v>
      </c>
      <c r="C158" s="26">
        <f>IFERROR(__xludf.DUMMYFUNCTION("""COMPUTED_VALUE"""),0.704645073516204)</f>
        <v>0.7046450735</v>
      </c>
      <c r="D158" s="26">
        <f>IFERROR(__xludf.DUMMYFUNCTION("""COMPUTED_VALUE"""),0.0127220397235787)</f>
        <v>0.01272203972</v>
      </c>
      <c r="E158" s="26">
        <f>IFERROR(__xludf.DUMMYFUNCTION("""COMPUTED_VALUE"""),0.70131246716971)</f>
        <v>0.7013124672</v>
      </c>
      <c r="F158" s="26">
        <f>IFERROR(__xludf.DUMMYFUNCTION("""COMPUTED_VALUE"""),15.6)</f>
        <v>15.6</v>
      </c>
      <c r="G158" s="26">
        <f>IFERROR(__xludf.DUMMYFUNCTION("""COMPUTED_VALUE"""),1.677676213294E12)</f>
        <v>1677676213294</v>
      </c>
      <c r="H158" s="26">
        <f t="shared" si="1"/>
        <v>15495</v>
      </c>
    </row>
    <row r="159">
      <c r="B159" s="26">
        <f>IFERROR(__xludf.DUMMYFUNCTION("""COMPUTED_VALUE"""),-0.181093560551687)</f>
        <v>-0.1810935606</v>
      </c>
      <c r="C159" s="26">
        <f>IFERROR(__xludf.DUMMYFUNCTION("""COMPUTED_VALUE"""),0.741971443235009)</f>
        <v>0.7419714432</v>
      </c>
      <c r="D159" s="26">
        <f>IFERROR(__xludf.DUMMYFUNCTION("""COMPUTED_VALUE"""),-0.0596884797636463)</f>
        <v>-0.05968847976</v>
      </c>
      <c r="E159" s="26">
        <f>IFERROR(__xludf.DUMMYFUNCTION("""COMPUTED_VALUE"""),0.642744727814995)</f>
        <v>0.6427447278</v>
      </c>
      <c r="F159" s="26">
        <f>IFERROR(__xludf.DUMMYFUNCTION("""COMPUTED_VALUE"""),15.7)</f>
        <v>15.7</v>
      </c>
      <c r="G159" s="26">
        <f>IFERROR(__xludf.DUMMYFUNCTION("""COMPUTED_VALUE"""),1.677676213397E12)</f>
        <v>1677676213397</v>
      </c>
      <c r="H159" s="26">
        <f t="shared" si="1"/>
        <v>15598</v>
      </c>
    </row>
    <row r="160">
      <c r="B160" s="26">
        <f>IFERROR(__xludf.DUMMYFUNCTION("""COMPUTED_VALUE"""),-0.290213455261984)</f>
        <v>-0.2902134553</v>
      </c>
      <c r="C160" s="26">
        <f>IFERROR(__xludf.DUMMYFUNCTION("""COMPUTED_VALUE"""),0.696390008910195)</f>
        <v>0.6963900089</v>
      </c>
      <c r="D160" s="26">
        <f>IFERROR(__xludf.DUMMYFUNCTION("""COMPUTED_VALUE"""),-0.199322169457484)</f>
        <v>-0.1993221695</v>
      </c>
      <c r="E160" s="26">
        <f>IFERROR(__xludf.DUMMYFUNCTION("""COMPUTED_VALUE"""),0.625370113323076)</f>
        <v>0.6253701133</v>
      </c>
      <c r="F160" s="26">
        <f>IFERROR(__xludf.DUMMYFUNCTION("""COMPUTED_VALUE"""),15.8)</f>
        <v>15.8</v>
      </c>
      <c r="G160" s="26">
        <f>IFERROR(__xludf.DUMMYFUNCTION("""COMPUTED_VALUE"""),1.677676213498E12)</f>
        <v>1677676213498</v>
      </c>
      <c r="H160" s="26">
        <f t="shared" si="1"/>
        <v>15699</v>
      </c>
    </row>
    <row r="161">
      <c r="B161" s="26">
        <f>IFERROR(__xludf.DUMMYFUNCTION("""COMPUTED_VALUE"""),-0.393454565008059)</f>
        <v>-0.393454565</v>
      </c>
      <c r="C161" s="26">
        <f>IFERROR(__xludf.DUMMYFUNCTION("""COMPUTED_VALUE"""),0.587675008460414)</f>
        <v>0.5876750085</v>
      </c>
      <c r="D161" s="26">
        <f>IFERROR(__xludf.DUMMYFUNCTION("""COMPUTED_VALUE"""),-0.363826684410061)</f>
        <v>-0.3638266844</v>
      </c>
      <c r="E161" s="26">
        <f>IFERROR(__xludf.DUMMYFUNCTION("""COMPUTED_VALUE"""),0.606186220081379)</f>
        <v>0.6061862201</v>
      </c>
      <c r="F161" s="26">
        <f>IFERROR(__xludf.DUMMYFUNCTION("""COMPUTED_VALUE"""),15.9)</f>
        <v>15.9</v>
      </c>
      <c r="G161" s="26">
        <f>IFERROR(__xludf.DUMMYFUNCTION("""COMPUTED_VALUE"""),1.677676213597E12)</f>
        <v>1677676213597</v>
      </c>
      <c r="H161" s="26">
        <f t="shared" si="1"/>
        <v>15798</v>
      </c>
    </row>
    <row r="162">
      <c r="B162" s="26">
        <f>IFERROR(__xludf.DUMMYFUNCTION("""COMPUTED_VALUE"""),-0.439977756368423)</f>
        <v>-0.4399777564</v>
      </c>
      <c r="C162" s="26">
        <f>IFERROR(__xludf.DUMMYFUNCTION("""COMPUTED_VALUE"""),0.489280534258032)</f>
        <v>0.4892805343</v>
      </c>
      <c r="D162" s="26">
        <f>IFERROR(__xludf.DUMMYFUNCTION("""COMPUTED_VALUE"""),-0.465195251993734)</f>
        <v>-0.465195252</v>
      </c>
      <c r="E162" s="26">
        <f>IFERROR(__xludf.DUMMYFUNCTION("""COMPUTED_VALUE"""),0.592129639707104)</f>
        <v>0.5921296397</v>
      </c>
      <c r="F162" s="26">
        <f>IFERROR(__xludf.DUMMYFUNCTION("""COMPUTED_VALUE"""),16.0)</f>
        <v>16</v>
      </c>
      <c r="G162" s="26">
        <f>IFERROR(__xludf.DUMMYFUNCTION("""COMPUTED_VALUE"""),1.677676213719E12)</f>
        <v>1677676213719</v>
      </c>
      <c r="H162" s="26">
        <f t="shared" si="1"/>
        <v>15920</v>
      </c>
    </row>
    <row r="163">
      <c r="B163" s="26">
        <f>IFERROR(__xludf.DUMMYFUNCTION("""COMPUTED_VALUE"""),0.442279913117442)</f>
        <v>0.4422799131</v>
      </c>
      <c r="C163" s="26">
        <f>IFERROR(__xludf.DUMMYFUNCTION("""COMPUTED_VALUE"""),-0.416156329268902)</f>
        <v>-0.4161563293</v>
      </c>
      <c r="D163" s="26">
        <f>IFERROR(__xludf.DUMMYFUNCTION("""COMPUTED_VALUE"""),0.524921303525352)</f>
        <v>0.5249213035</v>
      </c>
      <c r="E163" s="26">
        <f>IFERROR(__xludf.DUMMYFUNCTION("""COMPUTED_VALUE"""),-0.596372377938063)</f>
        <v>-0.5963723779</v>
      </c>
      <c r="F163" s="26">
        <f>IFERROR(__xludf.DUMMYFUNCTION("""COMPUTED_VALUE"""),16.1)</f>
        <v>16.1</v>
      </c>
      <c r="G163" s="26">
        <f>IFERROR(__xludf.DUMMYFUNCTION("""COMPUTED_VALUE"""),1.677676213796E12)</f>
        <v>1677676213796</v>
      </c>
      <c r="H163" s="26">
        <f t="shared" si="1"/>
        <v>15997</v>
      </c>
    </row>
    <row r="164">
      <c r="B164" s="26">
        <f>IFERROR(__xludf.DUMMYFUNCTION("""COMPUTED_VALUE"""),0.442279913117442)</f>
        <v>0.4422799131</v>
      </c>
      <c r="C164" s="26">
        <f>IFERROR(__xludf.DUMMYFUNCTION("""COMPUTED_VALUE"""),-0.416156329268902)</f>
        <v>-0.4161563293</v>
      </c>
      <c r="D164" s="26">
        <f>IFERROR(__xludf.DUMMYFUNCTION("""COMPUTED_VALUE"""),0.524921303525352)</f>
        <v>0.5249213035</v>
      </c>
      <c r="E164" s="26">
        <f>IFERROR(__xludf.DUMMYFUNCTION("""COMPUTED_VALUE"""),-0.596372377938063)</f>
        <v>-0.5963723779</v>
      </c>
      <c r="F164" s="26">
        <f>IFERROR(__xludf.DUMMYFUNCTION("""COMPUTED_VALUE"""),16.2)</f>
        <v>16.2</v>
      </c>
      <c r="G164" s="26">
        <f>IFERROR(__xludf.DUMMYFUNCTION("""COMPUTED_VALUE"""),1.677676213897E12)</f>
        <v>1677676213897</v>
      </c>
      <c r="H164" s="26">
        <f t="shared" si="1"/>
        <v>16098</v>
      </c>
    </row>
    <row r="165">
      <c r="B165" s="26">
        <f>IFERROR(__xludf.DUMMYFUNCTION("""COMPUTED_VALUE"""),0.440215147086901)</f>
        <v>0.4402151471</v>
      </c>
      <c r="C165" s="26">
        <f>IFERROR(__xludf.DUMMYFUNCTION("""COMPUTED_VALUE"""),-0.413811177683784)</f>
        <v>-0.4138111777</v>
      </c>
      <c r="D165" s="26">
        <f>IFERROR(__xludf.DUMMYFUNCTION("""COMPUTED_VALUE"""),0.526654080699262)</f>
        <v>0.5266540807</v>
      </c>
      <c r="E165" s="26">
        <f>IFERROR(__xludf.DUMMYFUNCTION("""COMPUTED_VALUE"""),-0.598002017372874)</f>
        <v>-0.5980020174</v>
      </c>
      <c r="F165" s="26">
        <f>IFERROR(__xludf.DUMMYFUNCTION("""COMPUTED_VALUE"""),16.3)</f>
        <v>16.3</v>
      </c>
      <c r="G165" s="26">
        <f>IFERROR(__xludf.DUMMYFUNCTION("""COMPUTED_VALUE"""),1.677676214031E12)</f>
        <v>1677676214031</v>
      </c>
      <c r="H165" s="26">
        <f t="shared" si="1"/>
        <v>16232</v>
      </c>
    </row>
    <row r="166">
      <c r="B166" s="26">
        <f>IFERROR(__xludf.DUMMYFUNCTION("""COMPUTED_VALUE"""),0.440215147086901)</f>
        <v>0.4402151471</v>
      </c>
      <c r="C166" s="26">
        <f>IFERROR(__xludf.DUMMYFUNCTION("""COMPUTED_VALUE"""),-0.413811177683784)</f>
        <v>-0.4138111777</v>
      </c>
      <c r="D166" s="26">
        <f>IFERROR(__xludf.DUMMYFUNCTION("""COMPUTED_VALUE"""),0.526654080699262)</f>
        <v>0.5266540807</v>
      </c>
      <c r="E166" s="26">
        <f>IFERROR(__xludf.DUMMYFUNCTION("""COMPUTED_VALUE"""),-0.598002017372874)</f>
        <v>-0.5980020174</v>
      </c>
      <c r="F166" s="26">
        <f>IFERROR(__xludf.DUMMYFUNCTION("""COMPUTED_VALUE"""),16.4)</f>
        <v>16.4</v>
      </c>
      <c r="G166" s="26">
        <f>IFERROR(__xludf.DUMMYFUNCTION("""COMPUTED_VALUE"""),1.677676214119E12)</f>
        <v>1677676214119</v>
      </c>
      <c r="H166" s="26">
        <f t="shared" si="1"/>
        <v>16320</v>
      </c>
    </row>
    <row r="167">
      <c r="B167" s="26">
        <f>IFERROR(__xludf.DUMMYFUNCTION("""COMPUTED_VALUE"""),-0.452030031304972)</f>
        <v>-0.4520300313</v>
      </c>
      <c r="C167" s="26">
        <f>IFERROR(__xludf.DUMMYFUNCTION("""COMPUTED_VALUE"""),0.479558486914906)</f>
        <v>0.4795584869</v>
      </c>
      <c r="D167" s="26">
        <f>IFERROR(__xludf.DUMMYFUNCTION("""COMPUTED_VALUE"""),-0.474040321747444)</f>
        <v>-0.4740403217</v>
      </c>
      <c r="E167" s="26">
        <f>IFERROR(__xludf.DUMMYFUNCTION("""COMPUTED_VALUE"""),0.583933456640298)</f>
        <v>0.5839334566</v>
      </c>
      <c r="F167" s="26">
        <f>IFERROR(__xludf.DUMMYFUNCTION("""COMPUTED_VALUE"""),16.5)</f>
        <v>16.5</v>
      </c>
      <c r="G167" s="26">
        <f>IFERROR(__xludf.DUMMYFUNCTION("""COMPUTED_VALUE"""),1.677676214225E12)</f>
        <v>1677676214225</v>
      </c>
      <c r="H167" s="26">
        <f t="shared" si="1"/>
        <v>16426</v>
      </c>
    </row>
    <row r="168">
      <c r="B168" s="26">
        <f>IFERROR(__xludf.DUMMYFUNCTION("""COMPUTED_VALUE"""),-0.445108037939969)</f>
        <v>-0.4451080379</v>
      </c>
      <c r="C168" s="26">
        <f>IFERROR(__xludf.DUMMYFUNCTION("""COMPUTED_VALUE"""),0.569592865180012)</f>
        <v>0.5695928652</v>
      </c>
      <c r="D168" s="26">
        <f>IFERROR(__xludf.DUMMYFUNCTION("""COMPUTED_VALUE"""),-0.388274583279881)</f>
        <v>-0.3882745833</v>
      </c>
      <c r="E168" s="26">
        <f>IFERROR(__xludf.DUMMYFUNCTION("""COMPUTED_VALUE"""),0.571564213781869)</f>
        <v>0.5715642138</v>
      </c>
      <c r="F168" s="26">
        <f>IFERROR(__xludf.DUMMYFUNCTION("""COMPUTED_VALUE"""),16.6)</f>
        <v>16.6</v>
      </c>
      <c r="G168" s="26">
        <f>IFERROR(__xludf.DUMMYFUNCTION("""COMPUTED_VALUE"""),1.677676214295E12)</f>
        <v>1677676214295</v>
      </c>
      <c r="H168" s="26">
        <f t="shared" si="1"/>
        <v>16496</v>
      </c>
    </row>
    <row r="169">
      <c r="B169" s="26">
        <f>IFERROR(__xludf.DUMMYFUNCTION("""COMPUTED_VALUE"""),-0.410730322306523)</f>
        <v>-0.4107303223</v>
      </c>
      <c r="C169" s="26">
        <f>IFERROR(__xludf.DUMMYFUNCTION("""COMPUTED_VALUE"""),0.664406579736621)</f>
        <v>0.6644065797</v>
      </c>
      <c r="D169" s="26">
        <f>IFERROR(__xludf.DUMMYFUNCTION("""COMPUTED_VALUE"""),-0.273402551283719)</f>
        <v>-0.2734025513</v>
      </c>
      <c r="E169" s="26">
        <f>IFERROR(__xludf.DUMMYFUNCTION("""COMPUTED_VALUE"""),0.561351533437127)</f>
        <v>0.5613515334</v>
      </c>
      <c r="F169" s="26">
        <f>IFERROR(__xludf.DUMMYFUNCTION("""COMPUTED_VALUE"""),16.7)</f>
        <v>16.7</v>
      </c>
      <c r="G169" s="26">
        <f>IFERROR(__xludf.DUMMYFUNCTION("""COMPUTED_VALUE"""),1.677676214395E12)</f>
        <v>1677676214395</v>
      </c>
      <c r="H169" s="26">
        <f t="shared" si="1"/>
        <v>16596</v>
      </c>
    </row>
    <row r="170">
      <c r="B170" s="26">
        <f>IFERROR(__xludf.DUMMYFUNCTION("""COMPUTED_VALUE"""),-0.306944701681748)</f>
        <v>-0.3069447017</v>
      </c>
      <c r="C170" s="26">
        <f>IFERROR(__xludf.DUMMYFUNCTION("""COMPUTED_VALUE"""),0.742489239411345)</f>
        <v>0.7424892394</v>
      </c>
      <c r="D170" s="26">
        <f>IFERROR(__xludf.DUMMYFUNCTION("""COMPUTED_VALUE"""),-0.0985262739709112)</f>
        <v>-0.09852627397</v>
      </c>
      <c r="E170" s="26">
        <f>IFERROR(__xludf.DUMMYFUNCTION("""COMPUTED_VALUE"""),0.587185875856419)</f>
        <v>0.5871858759</v>
      </c>
      <c r="F170" s="26">
        <f>IFERROR(__xludf.DUMMYFUNCTION("""COMPUTED_VALUE"""),16.8)</f>
        <v>16.8</v>
      </c>
      <c r="G170" s="26">
        <f>IFERROR(__xludf.DUMMYFUNCTION("""COMPUTED_VALUE"""),1.677676214497E12)</f>
        <v>1677676214497</v>
      </c>
      <c r="H170" s="26">
        <f t="shared" si="1"/>
        <v>16698</v>
      </c>
    </row>
    <row r="171">
      <c r="B171" s="26">
        <f>IFERROR(__xludf.DUMMYFUNCTION("""COMPUTED_VALUE"""),-0.206751814679433)</f>
        <v>-0.2067518147</v>
      </c>
      <c r="C171" s="26">
        <f>IFERROR(__xludf.DUMMYFUNCTION("""COMPUTED_VALUE"""),0.759399626885425)</f>
        <v>0.7593996269</v>
      </c>
      <c r="D171" s="26">
        <f>IFERROR(__xludf.DUMMYFUNCTION("""COMPUTED_VALUE"""),0.034433106364006)</f>
        <v>0.03443310636</v>
      </c>
      <c r="E171" s="26">
        <f>IFERROR(__xludf.DUMMYFUNCTION("""COMPUTED_VALUE"""),0.615938515599699)</f>
        <v>0.6159385156</v>
      </c>
      <c r="F171" s="26">
        <f>IFERROR(__xludf.DUMMYFUNCTION("""COMPUTED_VALUE"""),16.9)</f>
        <v>16.9</v>
      </c>
      <c r="G171" s="26">
        <f>IFERROR(__xludf.DUMMYFUNCTION("""COMPUTED_VALUE"""),1.677676214621E12)</f>
        <v>1677676214621</v>
      </c>
      <c r="H171" s="26">
        <f t="shared" si="1"/>
        <v>16822</v>
      </c>
    </row>
    <row r="172">
      <c r="B172" s="26">
        <f>IFERROR(__xludf.DUMMYFUNCTION("""COMPUTED_VALUE"""),-0.1218078788082)</f>
        <v>-0.1218078788</v>
      </c>
      <c r="C172" s="26">
        <f>IFERROR(__xludf.DUMMYFUNCTION("""COMPUTED_VALUE"""),0.737549025808845)</f>
        <v>0.7375490258</v>
      </c>
      <c r="D172" s="26">
        <f>IFERROR(__xludf.DUMMYFUNCTION("""COMPUTED_VALUE"""),0.13561832209052)</f>
        <v>0.1356183221</v>
      </c>
      <c r="E172" s="26">
        <f>IFERROR(__xludf.DUMMYFUNCTION("""COMPUTED_VALUE"""),0.650224534989274)</f>
        <v>0.650224535</v>
      </c>
      <c r="F172" s="26">
        <f>IFERROR(__xludf.DUMMYFUNCTION("""COMPUTED_VALUE"""),17.0)</f>
        <v>17</v>
      </c>
      <c r="G172" s="26">
        <f>IFERROR(__xludf.DUMMYFUNCTION("""COMPUTED_VALUE"""),1.677676214695E12)</f>
        <v>1677676214695</v>
      </c>
      <c r="H172" s="26">
        <f t="shared" si="1"/>
        <v>16896</v>
      </c>
    </row>
    <row r="173">
      <c r="B173" s="26">
        <f>IFERROR(__xludf.DUMMYFUNCTION("""COMPUTED_VALUE"""),-0.0524044009989802)</f>
        <v>-0.052404401</v>
      </c>
      <c r="C173" s="26">
        <f>IFERROR(__xludf.DUMMYFUNCTION("""COMPUTED_VALUE"""),0.653063027444075)</f>
        <v>0.6530630274</v>
      </c>
      <c r="D173" s="26">
        <f>IFERROR(__xludf.DUMMYFUNCTION("""COMPUTED_VALUE"""),0.216421159223298)</f>
        <v>0.2164211592</v>
      </c>
      <c r="E173" s="26">
        <f>IFERROR(__xludf.DUMMYFUNCTION("""COMPUTED_VALUE"""),0.723826182713749)</f>
        <v>0.7238261827</v>
      </c>
      <c r="F173" s="26">
        <f>IFERROR(__xludf.DUMMYFUNCTION("""COMPUTED_VALUE"""),17.1)</f>
        <v>17.1</v>
      </c>
      <c r="G173" s="26">
        <f>IFERROR(__xludf.DUMMYFUNCTION("""COMPUTED_VALUE"""),1.677676214815E12)</f>
        <v>1677676214815</v>
      </c>
      <c r="H173" s="26">
        <f t="shared" si="1"/>
        <v>17016</v>
      </c>
    </row>
    <row r="174">
      <c r="B174" s="26">
        <f>IFERROR(__xludf.DUMMYFUNCTION("""COMPUTED_VALUE"""),-0.00771019869561425)</f>
        <v>-0.007710198696</v>
      </c>
      <c r="C174" s="26">
        <f>IFERROR(__xludf.DUMMYFUNCTION("""COMPUTED_VALUE"""),0.528718356818361)</f>
        <v>0.5287183568</v>
      </c>
      <c r="D174" s="26">
        <f>IFERROR(__xludf.DUMMYFUNCTION("""COMPUTED_VALUE"""),0.274998620230817)</f>
        <v>0.2749986202</v>
      </c>
      <c r="E174" s="26">
        <f>IFERROR(__xludf.DUMMYFUNCTION("""COMPUTED_VALUE"""),0.802977715052235)</f>
        <v>0.8029777151</v>
      </c>
      <c r="F174" s="26">
        <f>IFERROR(__xludf.DUMMYFUNCTION("""COMPUTED_VALUE"""),17.2)</f>
        <v>17.2</v>
      </c>
      <c r="G174" s="26">
        <f>IFERROR(__xludf.DUMMYFUNCTION("""COMPUTED_VALUE"""),1.677676214881E12)</f>
        <v>1677676214881</v>
      </c>
      <c r="H174" s="26">
        <f t="shared" si="1"/>
        <v>17082</v>
      </c>
    </row>
    <row r="175">
      <c r="B175" s="26">
        <f>IFERROR(__xludf.DUMMYFUNCTION("""COMPUTED_VALUE"""),-0.0262636263201179)</f>
        <v>-0.02626362632</v>
      </c>
      <c r="C175" s="26">
        <f>IFERROR(__xludf.DUMMYFUNCTION("""COMPUTED_VALUE"""),0.463004633995104)</f>
        <v>0.463004634</v>
      </c>
      <c r="D175" s="26">
        <f>IFERROR(__xludf.DUMMYFUNCTION("""COMPUTED_VALUE"""),0.27583761056486)</f>
        <v>0.2758376106</v>
      </c>
      <c r="E175" s="26">
        <f>IFERROR(__xludf.DUMMYFUNCTION("""COMPUTED_VALUE"""),0.841932624043897)</f>
        <v>0.841932624</v>
      </c>
      <c r="F175" s="26">
        <f>IFERROR(__xludf.DUMMYFUNCTION("""COMPUTED_VALUE"""),17.3)</f>
        <v>17.3</v>
      </c>
      <c r="G175" s="26">
        <f>IFERROR(__xludf.DUMMYFUNCTION("""COMPUTED_VALUE"""),1.677676214983E12)</f>
        <v>1677676214983</v>
      </c>
      <c r="H175" s="26">
        <f t="shared" si="1"/>
        <v>17184</v>
      </c>
    </row>
    <row r="176">
      <c r="B176" s="26">
        <f>IFERROR(__xludf.DUMMYFUNCTION("""COMPUTED_VALUE"""),-0.0370727114649963)</f>
        <v>-0.03707271146</v>
      </c>
      <c r="C176" s="26">
        <f>IFERROR(__xludf.DUMMYFUNCTION("""COMPUTED_VALUE"""),0.429593555505864)</f>
        <v>0.4295935555</v>
      </c>
      <c r="D176" s="26">
        <f>IFERROR(__xludf.DUMMYFUNCTION("""COMPUTED_VALUE"""),0.274593844676547)</f>
        <v>0.2745938447</v>
      </c>
      <c r="E176" s="26">
        <f>IFERROR(__xludf.DUMMYFUNCTION("""COMPUTED_VALUE"""),0.859461000626679)</f>
        <v>0.8594610006</v>
      </c>
      <c r="F176" s="26">
        <f>IFERROR(__xludf.DUMMYFUNCTION("""COMPUTED_VALUE"""),17.4)</f>
        <v>17.4</v>
      </c>
      <c r="G176" s="26">
        <f>IFERROR(__xludf.DUMMYFUNCTION("""COMPUTED_VALUE"""),1.677676215104E12)</f>
        <v>1677676215104</v>
      </c>
      <c r="H176" s="26">
        <f t="shared" si="1"/>
        <v>17305</v>
      </c>
    </row>
    <row r="177">
      <c r="B177" s="26">
        <f>IFERROR(__xludf.DUMMYFUNCTION("""COMPUTED_VALUE"""),-0.0811475215706795)</f>
        <v>-0.08114752157</v>
      </c>
      <c r="C177" s="26">
        <f>IFERROR(__xludf.DUMMYFUNCTION("""COMPUTED_VALUE"""),0.371706248504922)</f>
        <v>0.3717062485</v>
      </c>
      <c r="D177" s="26">
        <f>IFERROR(__xludf.DUMMYFUNCTION("""COMPUTED_VALUE"""),0.259418688515947)</f>
        <v>0.2594186885</v>
      </c>
      <c r="E177" s="26">
        <f>IFERROR(__xludf.DUMMYFUNCTION("""COMPUTED_VALUE"""),0.887666316029844)</f>
        <v>0.887666316</v>
      </c>
      <c r="F177" s="26">
        <f>IFERROR(__xludf.DUMMYFUNCTION("""COMPUTED_VALUE"""),17.5)</f>
        <v>17.5</v>
      </c>
      <c r="G177" s="26">
        <f>IFERROR(__xludf.DUMMYFUNCTION("""COMPUTED_VALUE"""),1.677676215191E12)</f>
        <v>1677676215191</v>
      </c>
      <c r="H177" s="26">
        <f t="shared" si="1"/>
        <v>17392</v>
      </c>
    </row>
    <row r="178">
      <c r="B178" s="26">
        <f>IFERROR(__xludf.DUMMYFUNCTION("""COMPUTED_VALUE"""),-0.125505533689543)</f>
        <v>-0.1255055337</v>
      </c>
      <c r="C178" s="26">
        <f>IFERROR(__xludf.DUMMYFUNCTION("""COMPUTED_VALUE"""),0.334884045388521)</f>
        <v>0.3348840454</v>
      </c>
      <c r="D178" s="26">
        <f>IFERROR(__xludf.DUMMYFUNCTION("""COMPUTED_VALUE"""),0.241471601022496)</f>
        <v>0.241471601</v>
      </c>
      <c r="E178" s="26">
        <f>IFERROR(__xludf.DUMMYFUNCTION("""COMPUTED_VALUE"""),0.902104485665131)</f>
        <v>0.9021044857</v>
      </c>
      <c r="F178" s="26">
        <f>IFERROR(__xludf.DUMMYFUNCTION("""COMPUTED_VALUE"""),17.6)</f>
        <v>17.6</v>
      </c>
      <c r="G178" s="26">
        <f>IFERROR(__xludf.DUMMYFUNCTION("""COMPUTED_VALUE"""),1.677676215295E12)</f>
        <v>1677676215295</v>
      </c>
      <c r="H178" s="26">
        <f t="shared" si="1"/>
        <v>17496</v>
      </c>
    </row>
    <row r="179">
      <c r="B179" s="26">
        <f>IFERROR(__xludf.DUMMYFUNCTION("""COMPUTED_VALUE"""),-0.125505533689543)</f>
        <v>-0.1255055337</v>
      </c>
      <c r="C179" s="26">
        <f>IFERROR(__xludf.DUMMYFUNCTION("""COMPUTED_VALUE"""),0.334884045388521)</f>
        <v>0.3348840454</v>
      </c>
      <c r="D179" s="26">
        <f>IFERROR(__xludf.DUMMYFUNCTION("""COMPUTED_VALUE"""),0.241471601022496)</f>
        <v>0.241471601</v>
      </c>
      <c r="E179" s="26">
        <f>IFERROR(__xludf.DUMMYFUNCTION("""COMPUTED_VALUE"""),0.902104485665131)</f>
        <v>0.9021044857</v>
      </c>
      <c r="F179" s="26">
        <f>IFERROR(__xludf.DUMMYFUNCTION("""COMPUTED_VALUE"""),17.7)</f>
        <v>17.7</v>
      </c>
      <c r="G179" s="26">
        <f>IFERROR(__xludf.DUMMYFUNCTION("""COMPUTED_VALUE"""),1.677676215395E12)</f>
        <v>1677676215395</v>
      </c>
      <c r="H179" s="26">
        <f t="shared" si="1"/>
        <v>17596</v>
      </c>
    </row>
    <row r="180">
      <c r="B180" s="26">
        <f>IFERROR(__xludf.DUMMYFUNCTION("""COMPUTED_VALUE"""),-0.0843456821576195)</f>
        <v>-0.08434568216</v>
      </c>
      <c r="C180" s="26">
        <f>IFERROR(__xludf.DUMMYFUNCTION("""COMPUTED_VALUE"""),0.387529814927396)</f>
        <v>0.3875298149</v>
      </c>
      <c r="D180" s="26">
        <f>IFERROR(__xludf.DUMMYFUNCTION("""COMPUTED_VALUE"""),0.258551136388882)</f>
        <v>0.2585511364</v>
      </c>
      <c r="E180" s="26">
        <f>IFERROR(__xludf.DUMMYFUNCTION("""COMPUTED_VALUE"""),0.880827882344626)</f>
        <v>0.8808278823</v>
      </c>
      <c r="F180" s="26">
        <f>IFERROR(__xludf.DUMMYFUNCTION("""COMPUTED_VALUE"""),17.8)</f>
        <v>17.8</v>
      </c>
      <c r="G180" s="26">
        <f>IFERROR(__xludf.DUMMYFUNCTION("""COMPUTED_VALUE"""),1.677676215495E12)</f>
        <v>1677676215495</v>
      </c>
      <c r="H180" s="26">
        <f t="shared" si="1"/>
        <v>17696</v>
      </c>
    </row>
    <row r="181">
      <c r="B181" s="26">
        <f>IFERROR(__xludf.DUMMYFUNCTION("""COMPUTED_VALUE"""),0.118463316154437)</f>
        <v>0.1184633162</v>
      </c>
      <c r="C181" s="26">
        <f>IFERROR(__xludf.DUMMYFUNCTION("""COMPUTED_VALUE"""),0.641324213672635)</f>
        <v>0.6413242137</v>
      </c>
      <c r="D181" s="26">
        <f>IFERROR(__xludf.DUMMYFUNCTION("""COMPUTED_VALUE"""),0.305187304062872)</f>
        <v>0.3051873041</v>
      </c>
      <c r="E181" s="26">
        <f>IFERROR(__xludf.DUMMYFUNCTION("""COMPUTED_VALUE"""),0.693923918828068)</f>
        <v>0.6939239188</v>
      </c>
      <c r="F181" s="26">
        <f>IFERROR(__xludf.DUMMYFUNCTION("""COMPUTED_VALUE"""),17.9)</f>
        <v>17.9</v>
      </c>
      <c r="G181" s="26">
        <f>IFERROR(__xludf.DUMMYFUNCTION("""COMPUTED_VALUE"""),1.677676215625E12)</f>
        <v>1677676215625</v>
      </c>
      <c r="H181" s="26">
        <f t="shared" si="1"/>
        <v>17826</v>
      </c>
    </row>
    <row r="182">
      <c r="B182" s="26">
        <f>IFERROR(__xludf.DUMMYFUNCTION("""COMPUTED_VALUE"""),0.136163990674916)</f>
        <v>0.1361639907</v>
      </c>
      <c r="C182" s="26">
        <f>IFERROR(__xludf.DUMMYFUNCTION("""COMPUTED_VALUE"""),0.702356428264036)</f>
        <v>0.7023564283</v>
      </c>
      <c r="D182" s="26">
        <f>IFERROR(__xludf.DUMMYFUNCTION("""COMPUTED_VALUE"""),0.286283978554897)</f>
        <v>0.2862839786</v>
      </c>
      <c r="E182" s="26">
        <f>IFERROR(__xludf.DUMMYFUNCTION("""COMPUTED_VALUE"""),0.637335311231414)</f>
        <v>0.6373353112</v>
      </c>
      <c r="F182" s="26">
        <f>IFERROR(__xludf.DUMMYFUNCTION("""COMPUTED_VALUE"""),18.0)</f>
        <v>18</v>
      </c>
      <c r="G182" s="26">
        <f>IFERROR(__xludf.DUMMYFUNCTION("""COMPUTED_VALUE"""),1.677676215705E12)</f>
        <v>1677676215705</v>
      </c>
      <c r="H182" s="26">
        <f t="shared" si="1"/>
        <v>17906</v>
      </c>
    </row>
    <row r="183">
      <c r="B183" s="26">
        <f>IFERROR(__xludf.DUMMYFUNCTION("""COMPUTED_VALUE"""),0.144957470364867)</f>
        <v>0.1449574704</v>
      </c>
      <c r="C183" s="26">
        <f>IFERROR(__xludf.DUMMYFUNCTION("""COMPUTED_VALUE"""),0.747709145978502)</f>
        <v>0.747709146</v>
      </c>
      <c r="D183" s="26">
        <f>IFERROR(__xludf.DUMMYFUNCTION("""COMPUTED_VALUE"""),0.265482755642826)</f>
        <v>0.2654827556</v>
      </c>
      <c r="E183" s="26">
        <f>IFERROR(__xludf.DUMMYFUNCTION("""COMPUTED_VALUE"""),0.591132194404776)</f>
        <v>0.5911321944</v>
      </c>
      <c r="F183" s="26">
        <f>IFERROR(__xludf.DUMMYFUNCTION("""COMPUTED_VALUE"""),18.1)</f>
        <v>18.1</v>
      </c>
      <c r="G183" s="26">
        <f>IFERROR(__xludf.DUMMYFUNCTION("""COMPUTED_VALUE"""),1.677676215803E12)</f>
        <v>1677676215803</v>
      </c>
      <c r="H183" s="26">
        <f t="shared" si="1"/>
        <v>18004</v>
      </c>
    </row>
    <row r="184">
      <c r="B184" s="26">
        <f>IFERROR(__xludf.DUMMYFUNCTION("""COMPUTED_VALUE"""),0.144474205439597)</f>
        <v>0.1444742054</v>
      </c>
      <c r="C184" s="26">
        <f>IFERROR(__xludf.DUMMYFUNCTION("""COMPUTED_VALUE"""),0.758961593984319)</f>
        <v>0.758961594</v>
      </c>
      <c r="D184" s="26">
        <f>IFERROR(__xludf.DUMMYFUNCTION("""COMPUTED_VALUE"""),0.25728372368706)</f>
        <v>0.2572837237</v>
      </c>
      <c r="E184" s="26">
        <f>IFERROR(__xludf.DUMMYFUNCTION("""COMPUTED_VALUE"""),0.580439134057219)</f>
        <v>0.5804391341</v>
      </c>
      <c r="F184" s="26">
        <f>IFERROR(__xludf.DUMMYFUNCTION("""COMPUTED_VALUE"""),18.2)</f>
        <v>18.2</v>
      </c>
      <c r="G184" s="26">
        <f>IFERROR(__xludf.DUMMYFUNCTION("""COMPUTED_VALUE"""),1.677676215902E12)</f>
        <v>1677676215902</v>
      </c>
      <c r="H184" s="26">
        <f t="shared" si="1"/>
        <v>18103</v>
      </c>
    </row>
    <row r="185">
      <c r="B185" s="26">
        <f>IFERROR(__xludf.DUMMYFUNCTION("""COMPUTED_VALUE"""),0.144474205439597)</f>
        <v>0.1444742054</v>
      </c>
      <c r="C185" s="26">
        <f>IFERROR(__xludf.DUMMYFUNCTION("""COMPUTED_VALUE"""),0.758961593984319)</f>
        <v>0.758961594</v>
      </c>
      <c r="D185" s="26">
        <f>IFERROR(__xludf.DUMMYFUNCTION("""COMPUTED_VALUE"""),0.25728372368706)</f>
        <v>0.2572837237</v>
      </c>
      <c r="E185" s="26">
        <f>IFERROR(__xludf.DUMMYFUNCTION("""COMPUTED_VALUE"""),0.580439134057219)</f>
        <v>0.5804391341</v>
      </c>
      <c r="F185" s="26">
        <f>IFERROR(__xludf.DUMMYFUNCTION("""COMPUTED_VALUE"""),18.3)</f>
        <v>18.3</v>
      </c>
      <c r="G185" s="26">
        <f>IFERROR(__xludf.DUMMYFUNCTION("""COMPUTED_VALUE"""),1.677676215992E12)</f>
        <v>1677676215992</v>
      </c>
      <c r="H185" s="26">
        <f t="shared" si="1"/>
        <v>18193</v>
      </c>
    </row>
    <row r="186">
      <c r="B186" s="26">
        <f>IFERROR(__xludf.DUMMYFUNCTION("""COMPUTED_VALUE"""),0.116924712614849)</f>
        <v>0.1169247126</v>
      </c>
      <c r="C186" s="26">
        <f>IFERROR(__xludf.DUMMYFUNCTION("""COMPUTED_VALUE"""),0.725863836337798)</f>
        <v>0.7258638363</v>
      </c>
      <c r="D186" s="26">
        <f>IFERROR(__xludf.DUMMYFUNCTION("""COMPUTED_VALUE"""),0.250675618744034)</f>
        <v>0.2506756187</v>
      </c>
      <c r="E186" s="26">
        <f>IFERROR(__xludf.DUMMYFUNCTION("""COMPUTED_VALUE"""),0.629771416344217)</f>
        <v>0.6297714163</v>
      </c>
      <c r="F186" s="26">
        <f>IFERROR(__xludf.DUMMYFUNCTION("""COMPUTED_VALUE"""),18.4)</f>
        <v>18.4</v>
      </c>
      <c r="G186" s="26">
        <f>IFERROR(__xludf.DUMMYFUNCTION("""COMPUTED_VALUE"""),1.677676216097E12)</f>
        <v>1677676216097</v>
      </c>
      <c r="H186" s="26">
        <f t="shared" si="1"/>
        <v>18298</v>
      </c>
    </row>
    <row r="187">
      <c r="B187" s="26">
        <f>IFERROR(__xludf.DUMMYFUNCTION("""COMPUTED_VALUE"""),0.0441727582390552)</f>
        <v>0.04417275824</v>
      </c>
      <c r="C187" s="26">
        <f>IFERROR(__xludf.DUMMYFUNCTION("""COMPUTED_VALUE"""),0.613928578154792)</f>
        <v>0.6139285782</v>
      </c>
      <c r="D187" s="26">
        <f>IFERROR(__xludf.DUMMYFUNCTION("""COMPUTED_VALUE"""),0.235671861493869)</f>
        <v>0.2356718615</v>
      </c>
      <c r="E187" s="26">
        <f>IFERROR(__xludf.DUMMYFUNCTION("""COMPUTED_VALUE"""),0.752063323167937)</f>
        <v>0.7520633232</v>
      </c>
      <c r="F187" s="26">
        <f>IFERROR(__xludf.DUMMYFUNCTION("""COMPUTED_VALUE"""),18.5)</f>
        <v>18.5</v>
      </c>
      <c r="G187" s="26">
        <f>IFERROR(__xludf.DUMMYFUNCTION("""COMPUTED_VALUE"""),1.677676216203E12)</f>
        <v>1677676216203</v>
      </c>
      <c r="H187" s="26">
        <f t="shared" si="1"/>
        <v>18404</v>
      </c>
    </row>
    <row r="188">
      <c r="B188" s="26">
        <f>IFERROR(__xludf.DUMMYFUNCTION("""COMPUTED_VALUE"""),-0.0159676299946943)</f>
        <v>-0.01596762999</v>
      </c>
      <c r="C188" s="26">
        <f>IFERROR(__xludf.DUMMYFUNCTION("""COMPUTED_VALUE"""),0.554856932347363)</f>
        <v>0.5548569323</v>
      </c>
      <c r="D188" s="26">
        <f>IFERROR(__xludf.DUMMYFUNCTION("""COMPUTED_VALUE"""),0.207507359501643)</f>
        <v>0.2075073595</v>
      </c>
      <c r="E188" s="26">
        <f>IFERROR(__xludf.DUMMYFUNCTION("""COMPUTED_VALUE"""),0.805493336515627)</f>
        <v>0.8054933365</v>
      </c>
      <c r="F188" s="26">
        <f>IFERROR(__xludf.DUMMYFUNCTION("""COMPUTED_VALUE"""),18.6)</f>
        <v>18.6</v>
      </c>
      <c r="G188" s="26">
        <f>IFERROR(__xludf.DUMMYFUNCTION("""COMPUTED_VALUE"""),1.677676216305E12)</f>
        <v>1677676216305</v>
      </c>
      <c r="H188" s="26">
        <f t="shared" si="1"/>
        <v>18506</v>
      </c>
    </row>
    <row r="189">
      <c r="B189" s="26">
        <f>IFERROR(__xludf.DUMMYFUNCTION("""COMPUTED_VALUE"""),-0.139152182464623)</f>
        <v>-0.1391521825</v>
      </c>
      <c r="C189" s="26">
        <f>IFERROR(__xludf.DUMMYFUNCTION("""COMPUTED_VALUE"""),0.456567977906119)</f>
        <v>0.4565679779</v>
      </c>
      <c r="D189" s="26">
        <f>IFERROR(__xludf.DUMMYFUNCTION("""COMPUTED_VALUE"""),0.13664739936)</f>
        <v>0.1366473994</v>
      </c>
      <c r="E189" s="26">
        <f>IFERROR(__xludf.DUMMYFUNCTION("""COMPUTED_VALUE"""),0.868049445546851)</f>
        <v>0.8680494455</v>
      </c>
      <c r="F189" s="26">
        <f>IFERROR(__xludf.DUMMYFUNCTION("""COMPUTED_VALUE"""),18.7)</f>
        <v>18.7</v>
      </c>
      <c r="G189" s="26">
        <f>IFERROR(__xludf.DUMMYFUNCTION("""COMPUTED_VALUE"""),1.677676216391E12)</f>
        <v>1677676216391</v>
      </c>
      <c r="H189" s="26">
        <f t="shared" si="1"/>
        <v>18592</v>
      </c>
    </row>
    <row r="190">
      <c r="B190" s="26">
        <f>IFERROR(__xludf.DUMMYFUNCTION("""COMPUTED_VALUE"""),-0.238241580693095)</f>
        <v>-0.2382415807</v>
      </c>
      <c r="C190" s="26">
        <f>IFERROR(__xludf.DUMMYFUNCTION("""COMPUTED_VALUE"""),0.359302887740625)</f>
        <v>0.3593028877</v>
      </c>
      <c r="D190" s="26">
        <f>IFERROR(__xludf.DUMMYFUNCTION("""COMPUTED_VALUE"""),0.0722598212277299)</f>
        <v>0.07225982123</v>
      </c>
      <c r="E190" s="26">
        <f>IFERROR(__xludf.DUMMYFUNCTION("""COMPUTED_VALUE"""),0.899400301493298)</f>
        <v>0.8994003015</v>
      </c>
      <c r="F190" s="26">
        <f>IFERROR(__xludf.DUMMYFUNCTION("""COMPUTED_VALUE"""),18.8)</f>
        <v>18.8</v>
      </c>
      <c r="G190" s="26">
        <f>IFERROR(__xludf.DUMMYFUNCTION("""COMPUTED_VALUE"""),1.677676216495E12)</f>
        <v>1677676216495</v>
      </c>
      <c r="H190" s="26">
        <f t="shared" si="1"/>
        <v>18696</v>
      </c>
    </row>
    <row r="191">
      <c r="B191" s="26">
        <f>IFERROR(__xludf.DUMMYFUNCTION("""COMPUTED_VALUE"""),-0.262271642960227)</f>
        <v>-0.262271643</v>
      </c>
      <c r="C191" s="26">
        <f>IFERROR(__xludf.DUMMYFUNCTION("""COMPUTED_VALUE"""),0.321722493849178)</f>
        <v>0.3217224938</v>
      </c>
      <c r="D191" s="26">
        <f>IFERROR(__xludf.DUMMYFUNCTION("""COMPUTED_VALUE"""),0.0534647725780577)</f>
        <v>0.05346477258</v>
      </c>
      <c r="E191" s="26">
        <f>IFERROR(__xludf.DUMMYFUNCTION("""COMPUTED_VALUE"""),0.908212387244075)</f>
        <v>0.9082123872</v>
      </c>
      <c r="F191" s="26">
        <f>IFERROR(__xludf.DUMMYFUNCTION("""COMPUTED_VALUE"""),18.9)</f>
        <v>18.9</v>
      </c>
      <c r="G191" s="26">
        <f>IFERROR(__xludf.DUMMYFUNCTION("""COMPUTED_VALUE"""),1.67767621659E12)</f>
        <v>1677676216590</v>
      </c>
      <c r="H191" s="26">
        <f t="shared" si="1"/>
        <v>18791</v>
      </c>
    </row>
    <row r="192">
      <c r="B192" s="26">
        <f>IFERROR(__xludf.DUMMYFUNCTION("""COMPUTED_VALUE"""),-0.301299245102672)</f>
        <v>-0.3012992451</v>
      </c>
      <c r="C192" s="26">
        <f>IFERROR(__xludf.DUMMYFUNCTION("""COMPUTED_VALUE"""),0.247606295654315)</f>
        <v>0.2476062957</v>
      </c>
      <c r="D192" s="26">
        <f>IFERROR(__xludf.DUMMYFUNCTION("""COMPUTED_VALUE"""),0.0193062655084818)</f>
        <v>0.01930626551</v>
      </c>
      <c r="E192" s="26">
        <f>IFERROR(__xludf.DUMMYFUNCTION("""COMPUTED_VALUE"""),0.920617811779144)</f>
        <v>0.9206178118</v>
      </c>
      <c r="F192" s="26">
        <f>IFERROR(__xludf.DUMMYFUNCTION("""COMPUTED_VALUE"""),19.0)</f>
        <v>19</v>
      </c>
      <c r="G192" s="26">
        <f>IFERROR(__xludf.DUMMYFUNCTION("""COMPUTED_VALUE"""),1.677676216691E12)</f>
        <v>1677676216691</v>
      </c>
      <c r="H192" s="26">
        <f t="shared" si="1"/>
        <v>18892</v>
      </c>
    </row>
    <row r="193">
      <c r="B193" s="26">
        <f>IFERROR(__xludf.DUMMYFUNCTION("""COMPUTED_VALUE"""),-0.361903533724784)</f>
        <v>-0.3619035337</v>
      </c>
      <c r="C193" s="26">
        <f>IFERROR(__xludf.DUMMYFUNCTION("""COMPUTED_VALUE"""),0.123485241649482)</f>
        <v>0.1234852416</v>
      </c>
      <c r="D193" s="26">
        <f>IFERROR(__xludf.DUMMYFUNCTION("""COMPUTED_VALUE"""),-0.036875360635094)</f>
        <v>-0.03687536064</v>
      </c>
      <c r="E193" s="26">
        <f>IFERROR(__xludf.DUMMYFUNCTION("""COMPUTED_VALUE"""),0.923264553175476)</f>
        <v>0.9232645532</v>
      </c>
      <c r="F193" s="26">
        <f>IFERROR(__xludf.DUMMYFUNCTION("""COMPUTED_VALUE"""),19.1)</f>
        <v>19.1</v>
      </c>
      <c r="G193" s="26">
        <f>IFERROR(__xludf.DUMMYFUNCTION("""COMPUTED_VALUE"""),1.677676216793E12)</f>
        <v>1677676216793</v>
      </c>
      <c r="H193" s="26">
        <f t="shared" si="1"/>
        <v>18994</v>
      </c>
    </row>
    <row r="194">
      <c r="B194" s="26">
        <f>IFERROR(__xludf.DUMMYFUNCTION("""COMPUTED_VALUE"""),-0.387667212776083)</f>
        <v>-0.3876672128</v>
      </c>
      <c r="C194" s="26">
        <f>IFERROR(__xludf.DUMMYFUNCTION("""COMPUTED_VALUE"""),0.0640946333120505)</f>
        <v>0.06409463331</v>
      </c>
      <c r="D194" s="26">
        <f>IFERROR(__xludf.DUMMYFUNCTION("""COMPUTED_VALUE"""),-0.063466247982671)</f>
        <v>-0.06346624798</v>
      </c>
      <c r="E194" s="26">
        <f>IFERROR(__xludf.DUMMYFUNCTION("""COMPUTED_VALUE"""),0.91737562943759)</f>
        <v>0.9173756294</v>
      </c>
      <c r="F194" s="26">
        <f>IFERROR(__xludf.DUMMYFUNCTION("""COMPUTED_VALUE"""),19.2)</f>
        <v>19.2</v>
      </c>
      <c r="G194" s="26">
        <f>IFERROR(__xludf.DUMMYFUNCTION("""COMPUTED_VALUE"""),1.677676216895E12)</f>
        <v>1677676216895</v>
      </c>
      <c r="H194" s="26">
        <f t="shared" si="1"/>
        <v>19096</v>
      </c>
    </row>
    <row r="195">
      <c r="B195" s="26">
        <f>IFERROR(__xludf.DUMMYFUNCTION("""COMPUTED_VALUE"""),-0.409301838250906)</f>
        <v>-0.4093018383</v>
      </c>
      <c r="C195" s="26">
        <f>IFERROR(__xludf.DUMMYFUNCTION("""COMPUTED_VALUE"""),0.0190833710384949)</f>
        <v>0.01908337104</v>
      </c>
      <c r="D195" s="26">
        <f>IFERROR(__xludf.DUMMYFUNCTION("""COMPUTED_VALUE"""),-0.0834766897353152)</f>
        <v>-0.08347668974</v>
      </c>
      <c r="E195" s="26">
        <f>IFERROR(__xludf.DUMMYFUNCTION("""COMPUTED_VALUE"""),0.908371880027704)</f>
        <v>0.90837188</v>
      </c>
      <c r="F195" s="26">
        <f>IFERROR(__xludf.DUMMYFUNCTION("""COMPUTED_VALUE"""),19.3)</f>
        <v>19.3</v>
      </c>
      <c r="G195" s="26">
        <f>IFERROR(__xludf.DUMMYFUNCTION("""COMPUTED_VALUE"""),1.677676216997E12)</f>
        <v>1677676216997</v>
      </c>
      <c r="H195" s="26">
        <f t="shared" si="1"/>
        <v>19198</v>
      </c>
    </row>
    <row r="196">
      <c r="B196" s="26">
        <f>IFERROR(__xludf.DUMMYFUNCTION("""COMPUTED_VALUE"""),-0.411853322071837)</f>
        <v>-0.4118533221</v>
      </c>
      <c r="C196" s="26">
        <f>IFERROR(__xludf.DUMMYFUNCTION("""COMPUTED_VALUE"""),0.00806553087280155)</f>
        <v>0.008065530873</v>
      </c>
      <c r="D196" s="26">
        <f>IFERROR(__xludf.DUMMYFUNCTION("""COMPUTED_VALUE"""),-0.0883950398955256)</f>
        <v>-0.0883950399</v>
      </c>
      <c r="E196" s="26">
        <f>IFERROR(__xludf.DUMMYFUNCTION("""COMPUTED_VALUE"""),0.906916812740835)</f>
        <v>0.9069168127</v>
      </c>
      <c r="F196" s="26">
        <f>IFERROR(__xludf.DUMMYFUNCTION("""COMPUTED_VALUE"""),19.4)</f>
        <v>19.4</v>
      </c>
      <c r="G196" s="26">
        <f>IFERROR(__xludf.DUMMYFUNCTION("""COMPUTED_VALUE"""),1.677676217141E12)</f>
        <v>1677676217141</v>
      </c>
      <c r="H196" s="26">
        <f t="shared" si="1"/>
        <v>19342</v>
      </c>
    </row>
    <row r="197">
      <c r="B197" s="26">
        <f>IFERROR(__xludf.DUMMYFUNCTION("""COMPUTED_VALUE"""),-0.415061389532801)</f>
        <v>-0.4150613895</v>
      </c>
      <c r="C197" s="26">
        <f>IFERROR(__xludf.DUMMYFUNCTION("""COMPUTED_VALUE"""),0.00415051502442875)</f>
        <v>0.004150515024</v>
      </c>
      <c r="D197" s="26">
        <f>IFERROR(__xludf.DUMMYFUNCTION("""COMPUTED_VALUE"""),-0.0900286914926288)</f>
        <v>-0.09002869149</v>
      </c>
      <c r="E197" s="26">
        <f>IFERROR(__xludf.DUMMYFUNCTION("""COMPUTED_VALUE"""),0.905318535573117)</f>
        <v>0.9053185356</v>
      </c>
      <c r="F197" s="26">
        <f>IFERROR(__xludf.DUMMYFUNCTION("""COMPUTED_VALUE"""),19.5)</f>
        <v>19.5</v>
      </c>
      <c r="G197" s="26">
        <f>IFERROR(__xludf.DUMMYFUNCTION("""COMPUTED_VALUE"""),1.677676217197E12)</f>
        <v>1677676217197</v>
      </c>
      <c r="H197" s="26">
        <f t="shared" si="1"/>
        <v>19398</v>
      </c>
    </row>
    <row r="198">
      <c r="B198" s="26">
        <f>IFERROR(__xludf.DUMMYFUNCTION("""COMPUTED_VALUE"""),-0.420693371607656)</f>
        <v>-0.4206933716</v>
      </c>
      <c r="C198" s="26">
        <f>IFERROR(__xludf.DUMMYFUNCTION("""COMPUTED_VALUE"""),-0.0107706554829339)</f>
        <v>-0.01077065548</v>
      </c>
      <c r="D198" s="26">
        <f>IFERROR(__xludf.DUMMYFUNCTION("""COMPUTED_VALUE"""),-0.09658074972401)</f>
        <v>-0.09658074972</v>
      </c>
      <c r="E198" s="26">
        <f>IFERROR(__xludf.DUMMYFUNCTION("""COMPUTED_VALUE"""),0.901982948202789)</f>
        <v>0.9019829482</v>
      </c>
      <c r="F198" s="26">
        <f>IFERROR(__xludf.DUMMYFUNCTION("""COMPUTED_VALUE"""),19.6)</f>
        <v>19.6</v>
      </c>
      <c r="G198" s="26">
        <f>IFERROR(__xludf.DUMMYFUNCTION("""COMPUTED_VALUE"""),1.677676217296E12)</f>
        <v>1677676217296</v>
      </c>
      <c r="H198" s="26">
        <f t="shared" si="1"/>
        <v>19497</v>
      </c>
    </row>
    <row r="199">
      <c r="B199" s="26">
        <f>IFERROR(__xludf.DUMMYFUNCTION("""COMPUTED_VALUE"""),-0.42699278341933)</f>
        <v>-0.4269927834</v>
      </c>
      <c r="C199" s="26">
        <f>IFERROR(__xludf.DUMMYFUNCTION("""COMPUTED_VALUE"""),-0.0186189491119165)</f>
        <v>-0.01861894911</v>
      </c>
      <c r="D199" s="26">
        <f>IFERROR(__xludf.DUMMYFUNCTION("""COMPUTED_VALUE"""),-0.0997803075806562)</f>
        <v>-0.09978030758</v>
      </c>
      <c r="E199" s="26">
        <f>IFERROR(__xludf.DUMMYFUNCTION("""COMPUTED_VALUE"""),0.898540142598474)</f>
        <v>0.8985401426</v>
      </c>
      <c r="F199" s="26">
        <f>IFERROR(__xludf.DUMMYFUNCTION("""COMPUTED_VALUE"""),19.7)</f>
        <v>19.7</v>
      </c>
      <c r="G199" s="26">
        <f>IFERROR(__xludf.DUMMYFUNCTION("""COMPUTED_VALUE"""),1.677676217397E12)</f>
        <v>1677676217397</v>
      </c>
      <c r="H199" s="26">
        <f t="shared" si="1"/>
        <v>19598</v>
      </c>
    </row>
    <row r="200">
      <c r="B200" s="26">
        <f>IFERROR(__xludf.DUMMYFUNCTION("""COMPUTED_VALUE"""),-0.426597655708247)</f>
        <v>-0.4265976557</v>
      </c>
      <c r="C200" s="26">
        <f>IFERROR(__xludf.DUMMYFUNCTION("""COMPUTED_VALUE"""),-0.0221473552627442)</f>
        <v>-0.02214735526</v>
      </c>
      <c r="D200" s="26">
        <f>IFERROR(__xludf.DUMMYFUNCTION("""COMPUTED_VALUE"""),-0.101456330592553)</f>
        <v>-0.1014563306</v>
      </c>
      <c r="E200" s="26">
        <f>IFERROR(__xludf.DUMMYFUNCTION("""COMPUTED_VALUE"""),0.898460098046532)</f>
        <v>0.898460098</v>
      </c>
      <c r="F200" s="26">
        <f>IFERROR(__xludf.DUMMYFUNCTION("""COMPUTED_VALUE"""),19.8)</f>
        <v>19.8</v>
      </c>
      <c r="G200" s="26">
        <f>IFERROR(__xludf.DUMMYFUNCTION("""COMPUTED_VALUE"""),1.677676217496E12)</f>
        <v>1677676217496</v>
      </c>
      <c r="H200" s="26">
        <f t="shared" si="1"/>
        <v>19697</v>
      </c>
    </row>
    <row r="201">
      <c r="B201" s="26">
        <f>IFERROR(__xludf.DUMMYFUNCTION("""COMPUTED_VALUE"""),-0.43592598690066)</f>
        <v>-0.4359259869</v>
      </c>
      <c r="C201" s="26">
        <f>IFERROR(__xludf.DUMMYFUNCTION("""COMPUTED_VALUE"""),-0.0339499850043502)</f>
        <v>-0.033949985</v>
      </c>
      <c r="D201" s="26">
        <f>IFERROR(__xludf.DUMMYFUNCTION("""COMPUTED_VALUE"""),-0.106151414082057)</f>
        <v>-0.1061514141</v>
      </c>
      <c r="E201" s="26">
        <f>IFERROR(__xludf.DUMMYFUNCTION("""COMPUTED_VALUE"""),0.893055322895096)</f>
        <v>0.8930553229</v>
      </c>
      <c r="F201" s="26">
        <f>IFERROR(__xludf.DUMMYFUNCTION("""COMPUTED_VALUE"""),19.9)</f>
        <v>19.9</v>
      </c>
      <c r="G201" s="26">
        <f>IFERROR(__xludf.DUMMYFUNCTION("""COMPUTED_VALUE"""),1.677676217598E12)</f>
        <v>1677676217598</v>
      </c>
      <c r="H201" s="26">
        <f t="shared" si="1"/>
        <v>19799</v>
      </c>
    </row>
    <row r="202">
      <c r="B202" s="26">
        <f>IFERROR(__xludf.DUMMYFUNCTION("""COMPUTED_VALUE"""),-0.44513331583479)</f>
        <v>-0.4451333158</v>
      </c>
      <c r="C202" s="26">
        <f>IFERROR(__xludf.DUMMYFUNCTION("""COMPUTED_VALUE"""),-0.0457431910708881)</f>
        <v>-0.04574319107</v>
      </c>
      <c r="D202" s="26">
        <f>IFERROR(__xludf.DUMMYFUNCTION("""COMPUTED_VALUE"""),-0.110817032567845)</f>
        <v>-0.1108170326</v>
      </c>
      <c r="E202" s="26">
        <f>IFERROR(__xludf.DUMMYFUNCTION("""COMPUTED_VALUE"""),0.887402657702483)</f>
        <v>0.8874026577</v>
      </c>
      <c r="F202" s="26">
        <f>IFERROR(__xludf.DUMMYFUNCTION("""COMPUTED_VALUE"""),20.0)</f>
        <v>20</v>
      </c>
      <c r="G202" s="26">
        <f>IFERROR(__xludf.DUMMYFUNCTION("""COMPUTED_VALUE"""),1.677676217697E12)</f>
        <v>1677676217697</v>
      </c>
      <c r="H202" s="26">
        <f t="shared" si="1"/>
        <v>19898</v>
      </c>
    </row>
    <row r="203">
      <c r="B203" s="26">
        <f>IFERROR(__xludf.DUMMYFUNCTION("""COMPUTED_VALUE"""),-0.484156956944592)</f>
        <v>-0.4841569569</v>
      </c>
      <c r="C203" s="26">
        <f>IFERROR(__xludf.DUMMYFUNCTION("""COMPUTED_VALUE"""),-0.0685163982854854)</f>
        <v>-0.06851639829</v>
      </c>
      <c r="D203" s="26">
        <f>IFERROR(__xludf.DUMMYFUNCTION("""COMPUTED_VALUE"""),-0.116856468494895)</f>
        <v>-0.1168564685</v>
      </c>
      <c r="E203" s="26">
        <f>IFERROR(__xludf.DUMMYFUNCTION("""COMPUTED_VALUE"""),0.864431668773787)</f>
        <v>0.8644316688</v>
      </c>
      <c r="F203" s="26">
        <f>IFERROR(__xludf.DUMMYFUNCTION("""COMPUTED_VALUE"""),20.1)</f>
        <v>20.1</v>
      </c>
      <c r="G203" s="26">
        <f>IFERROR(__xludf.DUMMYFUNCTION("""COMPUTED_VALUE"""),1.677676217795E12)</f>
        <v>1677676217795</v>
      </c>
      <c r="H203" s="26">
        <f t="shared" si="1"/>
        <v>19996</v>
      </c>
    </row>
    <row r="204">
      <c r="B204" s="26">
        <f>IFERROR(__xludf.DUMMYFUNCTION("""COMPUTED_VALUE"""),-0.497675129817242)</f>
        <v>-0.4976751298</v>
      </c>
      <c r="C204" s="26">
        <f>IFERROR(__xludf.DUMMYFUNCTION("""COMPUTED_VALUE"""),-0.0703434471638789)</f>
        <v>-0.07034344716</v>
      </c>
      <c r="D204" s="26">
        <f>IFERROR(__xludf.DUMMYFUNCTION("""COMPUTED_VALUE"""),-0.115765843426358)</f>
        <v>-0.1157658434</v>
      </c>
      <c r="E204" s="26">
        <f>IFERROR(__xludf.DUMMYFUNCTION("""COMPUTED_VALUE"""),0.856720219265469)</f>
        <v>0.8567202193</v>
      </c>
      <c r="F204" s="26">
        <f>IFERROR(__xludf.DUMMYFUNCTION("""COMPUTED_VALUE"""),20.2)</f>
        <v>20.2</v>
      </c>
      <c r="G204" s="26">
        <f>IFERROR(__xludf.DUMMYFUNCTION("""COMPUTED_VALUE"""),1.677676217895E12)</f>
        <v>1677676217895</v>
      </c>
      <c r="H204" s="26">
        <f t="shared" si="1"/>
        <v>20096</v>
      </c>
    </row>
    <row r="205">
      <c r="B205" s="26">
        <f>IFERROR(__xludf.DUMMYFUNCTION("""COMPUTED_VALUE"""),-0.532243113078255)</f>
        <v>-0.5322431131</v>
      </c>
      <c r="C205" s="26">
        <f>IFERROR(__xludf.DUMMYFUNCTION("""COMPUTED_VALUE"""),-0.0648156595716243)</f>
        <v>-0.06481565957</v>
      </c>
      <c r="D205" s="26">
        <f>IFERROR(__xludf.DUMMYFUNCTION("""COMPUTED_VALUE"""),-0.106913417519531)</f>
        <v>-0.1069134175</v>
      </c>
      <c r="E205" s="26">
        <f>IFERROR(__xludf.DUMMYFUNCTION("""COMPUTED_VALUE"""),0.837308616944405)</f>
        <v>0.8373086169</v>
      </c>
      <c r="F205" s="26">
        <f>IFERROR(__xludf.DUMMYFUNCTION("""COMPUTED_VALUE"""),20.3)</f>
        <v>20.3</v>
      </c>
      <c r="G205" s="26">
        <f>IFERROR(__xludf.DUMMYFUNCTION("""COMPUTED_VALUE"""),1.677676217997E12)</f>
        <v>1677676217997</v>
      </c>
      <c r="H205" s="26">
        <f t="shared" si="1"/>
        <v>20198</v>
      </c>
    </row>
    <row r="206">
      <c r="B206" s="26">
        <f>IFERROR(__xludf.DUMMYFUNCTION("""COMPUTED_VALUE"""),-0.561497497348647)</f>
        <v>-0.5614974973</v>
      </c>
      <c r="C206" s="26">
        <f>IFERROR(__xludf.DUMMYFUNCTION("""COMPUTED_VALUE"""),-0.0685530278147844)</f>
        <v>-0.06855302781</v>
      </c>
      <c r="D206" s="26">
        <f>IFERROR(__xludf.DUMMYFUNCTION("""COMPUTED_VALUE"""),-0.104556352981709)</f>
        <v>-0.104556353</v>
      </c>
      <c r="E206" s="26">
        <f>IFERROR(__xludf.DUMMYFUNCTION("""COMPUTED_VALUE"""),0.817978613351101)</f>
        <v>0.8179786134</v>
      </c>
      <c r="F206" s="26">
        <f>IFERROR(__xludf.DUMMYFUNCTION("""COMPUTED_VALUE"""),20.4)</f>
        <v>20.4</v>
      </c>
      <c r="G206" s="26">
        <f>IFERROR(__xludf.DUMMYFUNCTION("""COMPUTED_VALUE"""),1.677676218107E12)</f>
        <v>1677676218107</v>
      </c>
      <c r="H206" s="26">
        <f t="shared" si="1"/>
        <v>20308</v>
      </c>
    </row>
    <row r="207">
      <c r="B207" s="26">
        <f>IFERROR(__xludf.DUMMYFUNCTION("""COMPUTED_VALUE"""),-0.654085145921415)</f>
        <v>-0.6540851459</v>
      </c>
      <c r="C207" s="26">
        <f>IFERROR(__xludf.DUMMYFUNCTION("""COMPUTED_VALUE"""),-0.077691017818022)</f>
        <v>-0.07769101782</v>
      </c>
      <c r="D207" s="26">
        <f>IFERROR(__xludf.DUMMYFUNCTION("""COMPUTED_VALUE"""),-0.092825153407763)</f>
        <v>-0.09282515341</v>
      </c>
      <c r="E207" s="26">
        <f>IFERROR(__xludf.DUMMYFUNCTION("""COMPUTED_VALUE"""),0.746672765359886)</f>
        <v>0.7466727654</v>
      </c>
      <c r="F207" s="26">
        <f>IFERROR(__xludf.DUMMYFUNCTION("""COMPUTED_VALUE"""),20.5)</f>
        <v>20.5</v>
      </c>
      <c r="G207" s="26">
        <f>IFERROR(__xludf.DUMMYFUNCTION("""COMPUTED_VALUE"""),1.677676218201E12)</f>
        <v>1677676218201</v>
      </c>
      <c r="H207" s="26">
        <f t="shared" si="1"/>
        <v>20402</v>
      </c>
    </row>
    <row r="208">
      <c r="B208" s="26">
        <f>IFERROR(__xludf.DUMMYFUNCTION("""COMPUTED_VALUE"""),-0.663196716473406)</f>
        <v>-0.6631967165</v>
      </c>
      <c r="C208" s="26">
        <f>IFERROR(__xludf.DUMMYFUNCTION("""COMPUTED_VALUE"""),-0.07583636462018)</f>
        <v>-0.07583636462</v>
      </c>
      <c r="D208" s="26">
        <f>IFERROR(__xludf.DUMMYFUNCTION("""COMPUTED_VALUE"""),-0.0893457264636846)</f>
        <v>-0.08934572646</v>
      </c>
      <c r="E208" s="26">
        <f>IFERROR(__xludf.DUMMYFUNCTION("""COMPUTED_VALUE"""),0.73921329954402)</f>
        <v>0.7392132995</v>
      </c>
      <c r="F208" s="26">
        <f>IFERROR(__xludf.DUMMYFUNCTION("""COMPUTED_VALUE"""),20.6)</f>
        <v>20.6</v>
      </c>
      <c r="G208" s="26">
        <f>IFERROR(__xludf.DUMMYFUNCTION("""COMPUTED_VALUE"""),1.677676218301E12)</f>
        <v>1677676218301</v>
      </c>
      <c r="H208" s="26">
        <f t="shared" si="1"/>
        <v>20502</v>
      </c>
    </row>
    <row r="209">
      <c r="B209" s="26">
        <f>IFERROR(__xludf.DUMMYFUNCTION("""COMPUTED_VALUE"""),-0.683951689611107)</f>
        <v>-0.6839516896</v>
      </c>
      <c r="C209" s="26">
        <f>IFERROR(__xludf.DUMMYFUNCTION("""COMPUTED_VALUE"""),-0.072395142547986)</f>
        <v>-0.07239514255</v>
      </c>
      <c r="D209" s="26">
        <f>IFERROR(__xludf.DUMMYFUNCTION("""COMPUTED_VALUE"""),-0.082085579619805)</f>
        <v>-0.08208557962</v>
      </c>
      <c r="E209" s="26">
        <f>IFERROR(__xludf.DUMMYFUNCTION("""COMPUTED_VALUE"""),0.721270398139313)</f>
        <v>0.7212703981</v>
      </c>
      <c r="F209" s="26">
        <f>IFERROR(__xludf.DUMMYFUNCTION("""COMPUTED_VALUE"""),20.7)</f>
        <v>20.7</v>
      </c>
      <c r="G209" s="26">
        <f>IFERROR(__xludf.DUMMYFUNCTION("""COMPUTED_VALUE"""),1.677676218407E12)</f>
        <v>1677676218407</v>
      </c>
      <c r="H209" s="26">
        <f t="shared" si="1"/>
        <v>20608</v>
      </c>
    </row>
    <row r="210">
      <c r="B210" s="26">
        <f>IFERROR(__xludf.DUMMYFUNCTION("""COMPUTED_VALUE"""),-0.730575802650654)</f>
        <v>-0.7305758027</v>
      </c>
      <c r="C210" s="26">
        <f>IFERROR(__xludf.DUMMYFUNCTION("""COMPUTED_VALUE"""),-0.0773933735125457)</f>
        <v>-0.07739337351</v>
      </c>
      <c r="D210" s="26">
        <f>IFERROR(__xludf.DUMMYFUNCTION("""COMPUTED_VALUE"""),-0.077406917257314)</f>
        <v>-0.07740691726</v>
      </c>
      <c r="E210" s="26">
        <f>IFERROR(__xludf.DUMMYFUNCTION("""COMPUTED_VALUE"""),0.674001061926769)</f>
        <v>0.6740010619</v>
      </c>
      <c r="F210" s="26">
        <f>IFERROR(__xludf.DUMMYFUNCTION("""COMPUTED_VALUE"""),20.8)</f>
        <v>20.8</v>
      </c>
      <c r="G210" s="26">
        <f>IFERROR(__xludf.DUMMYFUNCTION("""COMPUTED_VALUE"""),1.677676218504E12)</f>
        <v>1677676218504</v>
      </c>
      <c r="H210" s="26">
        <f t="shared" si="1"/>
        <v>20705</v>
      </c>
    </row>
    <row r="211">
      <c r="B211" s="26">
        <f>IFERROR(__xludf.DUMMYFUNCTION("""COMPUTED_VALUE"""),-0.768307368671171)</f>
        <v>-0.7683073687</v>
      </c>
      <c r="C211" s="26">
        <f>IFERROR(__xludf.DUMMYFUNCTION("""COMPUTED_VALUE"""),-0.105345479877327)</f>
        <v>-0.1053454799</v>
      </c>
      <c r="D211" s="26">
        <f>IFERROR(__xludf.DUMMYFUNCTION("""COMPUTED_VALUE"""),-0.0986137243778923)</f>
        <v>-0.09861372438</v>
      </c>
      <c r="E211" s="26">
        <f>IFERROR(__xludf.DUMMYFUNCTION("""COMPUTED_VALUE"""),0.623603600438059)</f>
        <v>0.6236036004</v>
      </c>
      <c r="F211" s="26">
        <f>IFERROR(__xludf.DUMMYFUNCTION("""COMPUTED_VALUE"""),20.9)</f>
        <v>20.9</v>
      </c>
      <c r="G211" s="26">
        <f>IFERROR(__xludf.DUMMYFUNCTION("""COMPUTED_VALUE"""),1.677676218593E12)</f>
        <v>1677676218593</v>
      </c>
      <c r="H211" s="26">
        <f t="shared" si="1"/>
        <v>20794</v>
      </c>
    </row>
    <row r="212">
      <c r="B212" s="26">
        <f>IFERROR(__xludf.DUMMYFUNCTION("""COMPUTED_VALUE"""),0.800477219806718)</f>
        <v>0.8004772198</v>
      </c>
      <c r="C212" s="26">
        <f>IFERROR(__xludf.DUMMYFUNCTION("""COMPUTED_VALUE"""),0.140282011726895)</f>
        <v>0.1402820117</v>
      </c>
      <c r="D212" s="26">
        <f>IFERROR(__xludf.DUMMYFUNCTION("""COMPUTED_VALUE"""),0.128095898362573)</f>
        <v>0.1280958984</v>
      </c>
      <c r="E212" s="26">
        <f>IFERROR(__xludf.DUMMYFUNCTION("""COMPUTED_VALUE"""),-0.568461624543858)</f>
        <v>-0.5684616245</v>
      </c>
      <c r="F212" s="26">
        <f>IFERROR(__xludf.DUMMYFUNCTION("""COMPUTED_VALUE"""),21.0)</f>
        <v>21</v>
      </c>
      <c r="G212" s="26">
        <f>IFERROR(__xludf.DUMMYFUNCTION("""COMPUTED_VALUE"""),1.677676218697E12)</f>
        <v>1677676218697</v>
      </c>
      <c r="H212" s="26">
        <f t="shared" si="1"/>
        <v>20898</v>
      </c>
    </row>
    <row r="213">
      <c r="B213" s="26">
        <f>IFERROR(__xludf.DUMMYFUNCTION("""COMPUTED_VALUE"""),0.821888209440723)</f>
        <v>0.8218882094</v>
      </c>
      <c r="C213" s="26">
        <f>IFERROR(__xludf.DUMMYFUNCTION("""COMPUTED_VALUE"""),0.198470678165785)</f>
        <v>0.1984706782</v>
      </c>
      <c r="D213" s="26">
        <f>IFERROR(__xludf.DUMMYFUNCTION("""COMPUTED_VALUE"""),0.190568110240435)</f>
        <v>0.1905681102</v>
      </c>
      <c r="E213" s="26">
        <f>IFERROR(__xludf.DUMMYFUNCTION("""COMPUTED_VALUE"""),-0.498791495968124)</f>
        <v>-0.498791496</v>
      </c>
      <c r="F213" s="26">
        <f>IFERROR(__xludf.DUMMYFUNCTION("""COMPUTED_VALUE"""),21.1)</f>
        <v>21.1</v>
      </c>
      <c r="G213" s="26">
        <f>IFERROR(__xludf.DUMMYFUNCTION("""COMPUTED_VALUE"""),1.677676218798E12)</f>
        <v>1677676218798</v>
      </c>
      <c r="H213" s="26">
        <f t="shared" si="1"/>
        <v>20999</v>
      </c>
    </row>
    <row r="214">
      <c r="B214" s="26">
        <f>IFERROR(__xludf.DUMMYFUNCTION("""COMPUTED_VALUE"""),0.800565152412936)</f>
        <v>0.8005651524</v>
      </c>
      <c r="C214" s="26">
        <f>IFERROR(__xludf.DUMMYFUNCTION("""COMPUTED_VALUE"""),0.225579149023212)</f>
        <v>0.225579149</v>
      </c>
      <c r="D214" s="26">
        <f>IFERROR(__xludf.DUMMYFUNCTION("""COMPUTED_VALUE"""),0.245365720460202)</f>
        <v>0.2453657205</v>
      </c>
      <c r="E214" s="26">
        <f>IFERROR(__xludf.DUMMYFUNCTION("""COMPUTED_VALUE"""),-0.498001152098121)</f>
        <v>-0.4980011521</v>
      </c>
      <c r="F214" s="26">
        <f>IFERROR(__xludf.DUMMYFUNCTION("""COMPUTED_VALUE"""),21.2)</f>
        <v>21.2</v>
      </c>
      <c r="G214" s="26">
        <f>IFERROR(__xludf.DUMMYFUNCTION("""COMPUTED_VALUE"""),1.677676218898E12)</f>
        <v>1677676218898</v>
      </c>
      <c r="H214" s="26">
        <f t="shared" si="1"/>
        <v>21099</v>
      </c>
    </row>
    <row r="215">
      <c r="B215" s="26">
        <f>IFERROR(__xludf.DUMMYFUNCTION("""COMPUTED_VALUE"""),0.759598464101765)</f>
        <v>0.7595984641</v>
      </c>
      <c r="C215" s="26">
        <f>IFERROR(__xludf.DUMMYFUNCTION("""COMPUTED_VALUE"""),0.234823025798378)</f>
        <v>0.2348230258</v>
      </c>
      <c r="D215" s="26">
        <f>IFERROR(__xludf.DUMMYFUNCTION("""COMPUTED_VALUE"""),0.294891965091428)</f>
        <v>0.2948919651</v>
      </c>
      <c r="E215" s="26">
        <f>IFERROR(__xludf.DUMMYFUNCTION("""COMPUTED_VALUE"""),-0.530006649782475)</f>
        <v>-0.5300066498</v>
      </c>
      <c r="F215" s="26">
        <f>IFERROR(__xludf.DUMMYFUNCTION("""COMPUTED_VALUE"""),21.3)</f>
        <v>21.3</v>
      </c>
      <c r="G215" s="26">
        <f>IFERROR(__xludf.DUMMYFUNCTION("""COMPUTED_VALUE"""),1.677676218997E12)</f>
        <v>1677676218997</v>
      </c>
      <c r="H215" s="26">
        <f t="shared" si="1"/>
        <v>21198</v>
      </c>
    </row>
    <row r="216">
      <c r="B216" s="26">
        <f>IFERROR(__xludf.DUMMYFUNCTION("""COMPUTED_VALUE"""),0.73106113679664)</f>
        <v>0.7310611368</v>
      </c>
      <c r="C216" s="26">
        <f>IFERROR(__xludf.DUMMYFUNCTION("""COMPUTED_VALUE"""),0.235448977013739)</f>
        <v>0.235448977</v>
      </c>
      <c r="D216" s="26">
        <f>IFERROR(__xludf.DUMMYFUNCTION("""COMPUTED_VALUE"""),0.321716867865406)</f>
        <v>0.3217168679</v>
      </c>
      <c r="E216" s="26">
        <f>IFERROR(__xludf.DUMMYFUNCTION("""COMPUTED_VALUE"""),-0.553725248132731)</f>
        <v>-0.5537252481</v>
      </c>
      <c r="F216" s="26">
        <f>IFERROR(__xludf.DUMMYFUNCTION("""COMPUTED_VALUE"""),21.4)</f>
        <v>21.4</v>
      </c>
      <c r="G216" s="26">
        <f>IFERROR(__xludf.DUMMYFUNCTION("""COMPUTED_VALUE"""),1.677676219093E12)</f>
        <v>1677676219093</v>
      </c>
      <c r="H216" s="26">
        <f t="shared" si="1"/>
        <v>21294</v>
      </c>
    </row>
    <row r="217">
      <c r="B217" s="26">
        <f>IFERROR(__xludf.DUMMYFUNCTION("""COMPUTED_VALUE"""),0.718432987175222)</f>
        <v>0.7184329872</v>
      </c>
      <c r="C217" s="26">
        <f>IFERROR(__xludf.DUMMYFUNCTION("""COMPUTED_VALUE"""),0.236873402644615)</f>
        <v>0.2368734026</v>
      </c>
      <c r="D217" s="26">
        <f>IFERROR(__xludf.DUMMYFUNCTION("""COMPUTED_VALUE"""),0.333965097475813)</f>
        <v>0.3339650975</v>
      </c>
      <c r="E217" s="26">
        <f>IFERROR(__xludf.DUMMYFUNCTION("""COMPUTED_VALUE"""),-0.562327616008687)</f>
        <v>-0.562327616</v>
      </c>
      <c r="F217" s="26">
        <f>IFERROR(__xludf.DUMMYFUNCTION("""COMPUTED_VALUE"""),21.5)</f>
        <v>21.5</v>
      </c>
      <c r="G217" s="26">
        <f>IFERROR(__xludf.DUMMYFUNCTION("""COMPUTED_VALUE"""),1.677676219193E12)</f>
        <v>1677676219193</v>
      </c>
      <c r="H217" s="26">
        <f t="shared" si="1"/>
        <v>21394</v>
      </c>
    </row>
    <row r="218">
      <c r="B218" s="26">
        <f>IFERROR(__xludf.DUMMYFUNCTION("""COMPUTED_VALUE"""),0.718432987175222)</f>
        <v>0.7184329872</v>
      </c>
      <c r="C218" s="26">
        <f>IFERROR(__xludf.DUMMYFUNCTION("""COMPUTED_VALUE"""),0.236873402644615)</f>
        <v>0.2368734026</v>
      </c>
      <c r="D218" s="26">
        <f>IFERROR(__xludf.DUMMYFUNCTION("""COMPUTED_VALUE"""),0.333965097475813)</f>
        <v>0.3339650975</v>
      </c>
      <c r="E218" s="26">
        <f>IFERROR(__xludf.DUMMYFUNCTION("""COMPUTED_VALUE"""),-0.562327616008687)</f>
        <v>-0.562327616</v>
      </c>
      <c r="F218" s="26">
        <f>IFERROR(__xludf.DUMMYFUNCTION("""COMPUTED_VALUE"""),21.6)</f>
        <v>21.6</v>
      </c>
      <c r="G218" s="26">
        <f>IFERROR(__xludf.DUMMYFUNCTION("""COMPUTED_VALUE"""),1.677676219295E12)</f>
        <v>1677676219295</v>
      </c>
      <c r="H218" s="26">
        <f t="shared" si="1"/>
        <v>21496</v>
      </c>
    </row>
    <row r="219">
      <c r="B219" s="26">
        <f>IFERROR(__xludf.DUMMYFUNCTION("""COMPUTED_VALUE"""),0.718432987175222)</f>
        <v>0.7184329872</v>
      </c>
      <c r="C219" s="26">
        <f>IFERROR(__xludf.DUMMYFUNCTION("""COMPUTED_VALUE"""),0.236873402644615)</f>
        <v>0.2368734026</v>
      </c>
      <c r="D219" s="26">
        <f>IFERROR(__xludf.DUMMYFUNCTION("""COMPUTED_VALUE"""),0.333965097475813)</f>
        <v>0.3339650975</v>
      </c>
      <c r="E219" s="26">
        <f>IFERROR(__xludf.DUMMYFUNCTION("""COMPUTED_VALUE"""),-0.562327616008687)</f>
        <v>-0.562327616</v>
      </c>
      <c r="F219" s="26">
        <f>IFERROR(__xludf.DUMMYFUNCTION("""COMPUTED_VALUE"""),21.7)</f>
        <v>21.7</v>
      </c>
      <c r="G219" s="26">
        <f>IFERROR(__xludf.DUMMYFUNCTION("""COMPUTED_VALUE"""),1.6776762194E12)</f>
        <v>1677676219400</v>
      </c>
      <c r="H219" s="26">
        <f t="shared" si="1"/>
        <v>21601</v>
      </c>
    </row>
    <row r="220">
      <c r="B220" s="26">
        <f>IFERROR(__xludf.DUMMYFUNCTION("""COMPUTED_VALUE"""),0.718432987175222)</f>
        <v>0.7184329872</v>
      </c>
      <c r="C220" s="26">
        <f>IFERROR(__xludf.DUMMYFUNCTION("""COMPUTED_VALUE"""),0.236873402644615)</f>
        <v>0.2368734026</v>
      </c>
      <c r="D220" s="26">
        <f>IFERROR(__xludf.DUMMYFUNCTION("""COMPUTED_VALUE"""),0.333965097475813)</f>
        <v>0.3339650975</v>
      </c>
      <c r="E220" s="26">
        <f>IFERROR(__xludf.DUMMYFUNCTION("""COMPUTED_VALUE"""),-0.562327616008687)</f>
        <v>-0.562327616</v>
      </c>
      <c r="F220" s="26">
        <f>IFERROR(__xludf.DUMMYFUNCTION("""COMPUTED_VALUE"""),21.8)</f>
        <v>21.8</v>
      </c>
      <c r="G220" s="26">
        <f>IFERROR(__xludf.DUMMYFUNCTION("""COMPUTED_VALUE"""),1.677676219506E12)</f>
        <v>1677676219506</v>
      </c>
      <c r="H220" s="26">
        <f t="shared" si="1"/>
        <v>21707</v>
      </c>
    </row>
    <row r="221">
      <c r="B221" s="26">
        <f>IFERROR(__xludf.DUMMYFUNCTION("""COMPUTED_VALUE"""),0.718432987175222)</f>
        <v>0.7184329872</v>
      </c>
      <c r="C221" s="26">
        <f>IFERROR(__xludf.DUMMYFUNCTION("""COMPUTED_VALUE"""),0.236873402644615)</f>
        <v>0.2368734026</v>
      </c>
      <c r="D221" s="26">
        <f>IFERROR(__xludf.DUMMYFUNCTION("""COMPUTED_VALUE"""),0.333965097475813)</f>
        <v>0.3339650975</v>
      </c>
      <c r="E221" s="26">
        <f>IFERROR(__xludf.DUMMYFUNCTION("""COMPUTED_VALUE"""),-0.562327616008687)</f>
        <v>-0.562327616</v>
      </c>
      <c r="F221" s="26">
        <f>IFERROR(__xludf.DUMMYFUNCTION("""COMPUTED_VALUE"""),21.9)</f>
        <v>21.9</v>
      </c>
      <c r="G221" s="26">
        <f>IFERROR(__xludf.DUMMYFUNCTION("""COMPUTED_VALUE"""),1.677676219594E12)</f>
        <v>1677676219594</v>
      </c>
      <c r="H221" s="26">
        <f t="shared" si="1"/>
        <v>21795</v>
      </c>
    </row>
    <row r="222">
      <c r="B222" s="26">
        <f>IFERROR(__xludf.DUMMYFUNCTION("""COMPUTED_VALUE"""),0.718432987175222)</f>
        <v>0.7184329872</v>
      </c>
      <c r="C222" s="26">
        <f>IFERROR(__xludf.DUMMYFUNCTION("""COMPUTED_VALUE"""),0.236873402644615)</f>
        <v>0.2368734026</v>
      </c>
      <c r="D222" s="26">
        <f>IFERROR(__xludf.DUMMYFUNCTION("""COMPUTED_VALUE"""),0.333965097475813)</f>
        <v>0.3339650975</v>
      </c>
      <c r="E222" s="26">
        <f>IFERROR(__xludf.DUMMYFUNCTION("""COMPUTED_VALUE"""),-0.562327616008687)</f>
        <v>-0.562327616</v>
      </c>
      <c r="F222" s="26">
        <f>IFERROR(__xludf.DUMMYFUNCTION("""COMPUTED_VALUE"""),22.0)</f>
        <v>22</v>
      </c>
      <c r="G222" s="26">
        <f>IFERROR(__xludf.DUMMYFUNCTION("""COMPUTED_VALUE"""),1.677676219696E12)</f>
        <v>1677676219696</v>
      </c>
      <c r="H222" s="26">
        <f t="shared" si="1"/>
        <v>21897</v>
      </c>
    </row>
    <row r="223">
      <c r="B223" s="26">
        <f>IFERROR(__xludf.DUMMYFUNCTION("""COMPUTED_VALUE"""),0.718432987175222)</f>
        <v>0.7184329872</v>
      </c>
      <c r="C223" s="26">
        <f>IFERROR(__xludf.DUMMYFUNCTION("""COMPUTED_VALUE"""),0.236873402644615)</f>
        <v>0.2368734026</v>
      </c>
      <c r="D223" s="26">
        <f>IFERROR(__xludf.DUMMYFUNCTION("""COMPUTED_VALUE"""),0.333965097475813)</f>
        <v>0.3339650975</v>
      </c>
      <c r="E223" s="26">
        <f>IFERROR(__xludf.DUMMYFUNCTION("""COMPUTED_VALUE"""),-0.562327616008687)</f>
        <v>-0.562327616</v>
      </c>
      <c r="F223" s="26">
        <f>IFERROR(__xludf.DUMMYFUNCTION("""COMPUTED_VALUE"""),22.1)</f>
        <v>22.1</v>
      </c>
      <c r="G223" s="26">
        <f>IFERROR(__xludf.DUMMYFUNCTION("""COMPUTED_VALUE"""),1.6776762198E12)</f>
        <v>1677676219800</v>
      </c>
      <c r="H223" s="26">
        <f t="shared" si="1"/>
        <v>22001</v>
      </c>
    </row>
    <row r="224">
      <c r="B224" s="26">
        <f>IFERROR(__xludf.DUMMYFUNCTION("""COMPUTED_VALUE"""),0.718432987175222)</f>
        <v>0.7184329872</v>
      </c>
      <c r="C224" s="26">
        <f>IFERROR(__xludf.DUMMYFUNCTION("""COMPUTED_VALUE"""),0.236873402644615)</f>
        <v>0.2368734026</v>
      </c>
      <c r="D224" s="26">
        <f>IFERROR(__xludf.DUMMYFUNCTION("""COMPUTED_VALUE"""),0.333965097475813)</f>
        <v>0.3339650975</v>
      </c>
      <c r="E224" s="26">
        <f>IFERROR(__xludf.DUMMYFUNCTION("""COMPUTED_VALUE"""),-0.562327616008687)</f>
        <v>-0.562327616</v>
      </c>
      <c r="F224" s="26">
        <f>IFERROR(__xludf.DUMMYFUNCTION("""COMPUTED_VALUE"""),22.2)</f>
        <v>22.2</v>
      </c>
      <c r="G224" s="26">
        <f>IFERROR(__xludf.DUMMYFUNCTION("""COMPUTED_VALUE"""),1.677676219909E12)</f>
        <v>1677676219909</v>
      </c>
      <c r="H224" s="26">
        <f t="shared" si="1"/>
        <v>22110</v>
      </c>
    </row>
    <row r="225">
      <c r="B225" s="26">
        <f>IFERROR(__xludf.DUMMYFUNCTION("""COMPUTED_VALUE"""),0.718432987175222)</f>
        <v>0.7184329872</v>
      </c>
      <c r="C225" s="26">
        <f>IFERROR(__xludf.DUMMYFUNCTION("""COMPUTED_VALUE"""),0.236873402644615)</f>
        <v>0.2368734026</v>
      </c>
      <c r="D225" s="26">
        <f>IFERROR(__xludf.DUMMYFUNCTION("""COMPUTED_VALUE"""),0.333965097475813)</f>
        <v>0.3339650975</v>
      </c>
      <c r="E225" s="26">
        <f>IFERROR(__xludf.DUMMYFUNCTION("""COMPUTED_VALUE"""),-0.562327616008687)</f>
        <v>-0.562327616</v>
      </c>
      <c r="F225" s="26">
        <f>IFERROR(__xludf.DUMMYFUNCTION("""COMPUTED_VALUE"""),22.3)</f>
        <v>22.3</v>
      </c>
      <c r="G225" s="26">
        <f>IFERROR(__xludf.DUMMYFUNCTION("""COMPUTED_VALUE"""),1.677676219997E12)</f>
        <v>1677676219997</v>
      </c>
      <c r="H225" s="26">
        <f t="shared" si="1"/>
        <v>22198</v>
      </c>
    </row>
    <row r="226">
      <c r="B226" s="26">
        <f>IFERROR(__xludf.DUMMYFUNCTION("""COMPUTED_VALUE"""),0.718432987175222)</f>
        <v>0.7184329872</v>
      </c>
      <c r="C226" s="26">
        <f>IFERROR(__xludf.DUMMYFUNCTION("""COMPUTED_VALUE"""),0.236873402644615)</f>
        <v>0.2368734026</v>
      </c>
      <c r="D226" s="26">
        <f>IFERROR(__xludf.DUMMYFUNCTION("""COMPUTED_VALUE"""),0.333965097475813)</f>
        <v>0.3339650975</v>
      </c>
      <c r="E226" s="26">
        <f>IFERROR(__xludf.DUMMYFUNCTION("""COMPUTED_VALUE"""),-0.562327616008687)</f>
        <v>-0.562327616</v>
      </c>
      <c r="F226" s="26">
        <f>IFERROR(__xludf.DUMMYFUNCTION("""COMPUTED_VALUE"""),22.4)</f>
        <v>22.4</v>
      </c>
      <c r="G226" s="26">
        <f>IFERROR(__xludf.DUMMYFUNCTION("""COMPUTED_VALUE"""),1.677676220097E12)</f>
        <v>1677676220097</v>
      </c>
      <c r="H226" s="26">
        <f t="shared" si="1"/>
        <v>22298</v>
      </c>
    </row>
    <row r="227">
      <c r="B227" s="26">
        <f>IFERROR(__xludf.DUMMYFUNCTION("""COMPUTED_VALUE"""),0.718432987175222)</f>
        <v>0.7184329872</v>
      </c>
      <c r="C227" s="26">
        <f>IFERROR(__xludf.DUMMYFUNCTION("""COMPUTED_VALUE"""),0.236873402644615)</f>
        <v>0.2368734026</v>
      </c>
      <c r="D227" s="26">
        <f>IFERROR(__xludf.DUMMYFUNCTION("""COMPUTED_VALUE"""),0.333965097475813)</f>
        <v>0.3339650975</v>
      </c>
      <c r="E227" s="26">
        <f>IFERROR(__xludf.DUMMYFUNCTION("""COMPUTED_VALUE"""),-0.562327616008687)</f>
        <v>-0.562327616</v>
      </c>
      <c r="F227" s="26">
        <f>IFERROR(__xludf.DUMMYFUNCTION("""COMPUTED_VALUE"""),22.5)</f>
        <v>22.5</v>
      </c>
      <c r="G227" s="26">
        <f>IFERROR(__xludf.DUMMYFUNCTION("""COMPUTED_VALUE"""),1.677676220208E12)</f>
        <v>1677676220208</v>
      </c>
      <c r="H227" s="26">
        <f t="shared" si="1"/>
        <v>22409</v>
      </c>
    </row>
    <row r="228">
      <c r="B228" s="26">
        <f>IFERROR(__xludf.DUMMYFUNCTION("""COMPUTED_VALUE"""),-0.617561992530735)</f>
        <v>-0.6175619925</v>
      </c>
      <c r="C228" s="26">
        <f>IFERROR(__xludf.DUMMYFUNCTION("""COMPUTED_VALUE"""),-0.182843505374383)</f>
        <v>-0.1828435054</v>
      </c>
      <c r="D228" s="26">
        <f>IFERROR(__xludf.DUMMYFUNCTION("""COMPUTED_VALUE"""),-0.370108417918385)</f>
        <v>-0.3701084179</v>
      </c>
      <c r="E228" s="26">
        <f>IFERROR(__xludf.DUMMYFUNCTION("""COMPUTED_VALUE"""),0.669481289439681)</f>
        <v>0.6694812894</v>
      </c>
      <c r="F228" s="26">
        <f>IFERROR(__xludf.DUMMYFUNCTION("""COMPUTED_VALUE"""),22.6)</f>
        <v>22.6</v>
      </c>
      <c r="G228" s="26">
        <f>IFERROR(__xludf.DUMMYFUNCTION("""COMPUTED_VALUE"""),1.677676220329E12)</f>
        <v>1677676220329</v>
      </c>
      <c r="H228" s="26">
        <f t="shared" si="1"/>
        <v>22530</v>
      </c>
    </row>
    <row r="229">
      <c r="B229" s="26">
        <f>IFERROR(__xludf.DUMMYFUNCTION("""COMPUTED_VALUE"""),-0.574306298351265)</f>
        <v>-0.5743062984</v>
      </c>
      <c r="C229" s="26">
        <f>IFERROR(__xludf.DUMMYFUNCTION("""COMPUTED_VALUE"""),-0.159243406352775)</f>
        <v>-0.1592434064</v>
      </c>
      <c r="D229" s="26">
        <f>IFERROR(__xludf.DUMMYFUNCTION("""COMPUTED_VALUE"""),-0.380858931895797)</f>
        <v>-0.3808589319</v>
      </c>
      <c r="E229" s="26">
        <f>IFERROR(__xludf.DUMMYFUNCTION("""COMPUTED_VALUE"""),0.706937258321004)</f>
        <v>0.7069372583</v>
      </c>
      <c r="F229" s="26">
        <f>IFERROR(__xludf.DUMMYFUNCTION("""COMPUTED_VALUE"""),22.7)</f>
        <v>22.7</v>
      </c>
      <c r="G229" s="26">
        <f>IFERROR(__xludf.DUMMYFUNCTION("""COMPUTED_VALUE"""),1.677676220396E12)</f>
        <v>1677676220396</v>
      </c>
      <c r="H229" s="26">
        <f t="shared" si="1"/>
        <v>22597</v>
      </c>
    </row>
    <row r="230">
      <c r="B230" s="26">
        <f>IFERROR(__xludf.DUMMYFUNCTION("""COMPUTED_VALUE"""),-0.54173787111181)</f>
        <v>-0.5417378711</v>
      </c>
      <c r="C230" s="26">
        <f>IFERROR(__xludf.DUMMYFUNCTION("""COMPUTED_VALUE"""),-0.145440690465804)</f>
        <v>-0.1454406905</v>
      </c>
      <c r="D230" s="26">
        <f>IFERROR(__xludf.DUMMYFUNCTION("""COMPUTED_VALUE"""),-0.389610760062043)</f>
        <v>-0.3896107601</v>
      </c>
      <c r="E230" s="26">
        <f>IFERROR(__xludf.DUMMYFUNCTION("""COMPUTED_VALUE"""),0.730459129728655)</f>
        <v>0.7304591297</v>
      </c>
      <c r="F230" s="26">
        <f>IFERROR(__xludf.DUMMYFUNCTION("""COMPUTED_VALUE"""),22.8)</f>
        <v>22.8</v>
      </c>
      <c r="G230" s="26">
        <f>IFERROR(__xludf.DUMMYFUNCTION("""COMPUTED_VALUE"""),1.677676220505E12)</f>
        <v>1677676220505</v>
      </c>
      <c r="H230" s="26">
        <f t="shared" si="1"/>
        <v>22706</v>
      </c>
    </row>
    <row r="231">
      <c r="B231" s="26">
        <f>IFERROR(__xludf.DUMMYFUNCTION("""COMPUTED_VALUE"""),-0.519740327208978)</f>
        <v>-0.5197403272</v>
      </c>
      <c r="C231" s="26">
        <f>IFERROR(__xludf.DUMMYFUNCTION("""COMPUTED_VALUE"""),-0.144857441525236)</f>
        <v>-0.1448574415</v>
      </c>
      <c r="D231" s="26">
        <f>IFERROR(__xludf.DUMMYFUNCTION("""COMPUTED_VALUE"""),-0.399227053221263)</f>
        <v>-0.3992270532</v>
      </c>
      <c r="E231" s="26">
        <f>IFERROR(__xludf.DUMMYFUNCTION("""COMPUTED_VALUE"""),0.741285419985937)</f>
        <v>0.74128542</v>
      </c>
      <c r="F231" s="26">
        <f>IFERROR(__xludf.DUMMYFUNCTION("""COMPUTED_VALUE"""),22.9)</f>
        <v>22.9</v>
      </c>
      <c r="G231" s="26">
        <f>IFERROR(__xludf.DUMMYFUNCTION("""COMPUTED_VALUE"""),1.677676220597E12)</f>
        <v>1677676220597</v>
      </c>
      <c r="H231" s="26">
        <f t="shared" si="1"/>
        <v>22798</v>
      </c>
    </row>
    <row r="232">
      <c r="B232" s="26">
        <f>IFERROR(__xludf.DUMMYFUNCTION("""COMPUTED_VALUE"""),-0.487984424709036)</f>
        <v>-0.4879844247</v>
      </c>
      <c r="C232" s="26">
        <f>IFERROR(__xludf.DUMMYFUNCTION("""COMPUTED_VALUE"""),-0.154221111876945)</f>
        <v>-0.1542211119</v>
      </c>
      <c r="D232" s="26">
        <f>IFERROR(__xludf.DUMMYFUNCTION("""COMPUTED_VALUE"""),-0.417087076947621)</f>
        <v>-0.4170870769</v>
      </c>
      <c r="E232" s="26">
        <f>IFERROR(__xludf.DUMMYFUNCTION("""COMPUTED_VALUE"""),0.751082831741022)</f>
        <v>0.7510828317</v>
      </c>
      <c r="F232" s="26">
        <f>IFERROR(__xludf.DUMMYFUNCTION("""COMPUTED_VALUE"""),23.0)</f>
        <v>23</v>
      </c>
      <c r="G232" s="26">
        <f>IFERROR(__xludf.DUMMYFUNCTION("""COMPUTED_VALUE"""),1.677676220712E12)</f>
        <v>1677676220712</v>
      </c>
      <c r="H232" s="26">
        <f t="shared" si="1"/>
        <v>22913</v>
      </c>
    </row>
    <row r="233">
      <c r="B233" s="26">
        <f>IFERROR(__xludf.DUMMYFUNCTION("""COMPUTED_VALUE"""),-0.447227165686622)</f>
        <v>-0.4472271657</v>
      </c>
      <c r="C233" s="26">
        <f>IFERROR(__xludf.DUMMYFUNCTION("""COMPUTED_VALUE"""),-0.197424479771686)</f>
        <v>-0.1974244798</v>
      </c>
      <c r="D233" s="26">
        <f>IFERROR(__xludf.DUMMYFUNCTION("""COMPUTED_VALUE"""),-0.451066951186484)</f>
        <v>-0.4510669512</v>
      </c>
      <c r="E233" s="26">
        <f>IFERROR(__xludf.DUMMYFUNCTION("""COMPUTED_VALUE"""),0.746692736409102)</f>
        <v>0.7466927364</v>
      </c>
      <c r="F233" s="26">
        <f>IFERROR(__xludf.DUMMYFUNCTION("""COMPUTED_VALUE"""),23.1)</f>
        <v>23.1</v>
      </c>
      <c r="G233" s="26">
        <f>IFERROR(__xludf.DUMMYFUNCTION("""COMPUTED_VALUE"""),1.677676220802E12)</f>
        <v>1677676220802</v>
      </c>
      <c r="H233" s="26">
        <f t="shared" si="1"/>
        <v>23003</v>
      </c>
    </row>
    <row r="234">
      <c r="B234" s="26">
        <f>IFERROR(__xludf.DUMMYFUNCTION("""COMPUTED_VALUE"""),-0.443670737125084)</f>
        <v>-0.4436707371</v>
      </c>
      <c r="C234" s="26">
        <f>IFERROR(__xludf.DUMMYFUNCTION("""COMPUTED_VALUE"""),-0.203282841307493)</f>
        <v>-0.2032828413</v>
      </c>
      <c r="D234" s="26">
        <f>IFERROR(__xludf.DUMMYFUNCTION("""COMPUTED_VALUE"""),-0.454565516949586)</f>
        <v>-0.4545655169</v>
      </c>
      <c r="E234" s="26">
        <f>IFERROR(__xludf.DUMMYFUNCTION("""COMPUTED_VALUE"""),0.745119154396923)</f>
        <v>0.7451191544</v>
      </c>
      <c r="F234" s="26">
        <f>IFERROR(__xludf.DUMMYFUNCTION("""COMPUTED_VALUE"""),23.2)</f>
        <v>23.2</v>
      </c>
      <c r="G234" s="26">
        <f>IFERROR(__xludf.DUMMYFUNCTION("""COMPUTED_VALUE"""),1.677676220885E12)</f>
        <v>1677676220885</v>
      </c>
      <c r="H234" s="26">
        <f t="shared" si="1"/>
        <v>23086</v>
      </c>
    </row>
    <row r="235">
      <c r="B235" s="26">
        <f>IFERROR(__xludf.DUMMYFUNCTION("""COMPUTED_VALUE"""),-0.420388501025964)</f>
        <v>-0.420388501</v>
      </c>
      <c r="C235" s="26">
        <f>IFERROR(__xludf.DUMMYFUNCTION("""COMPUTED_VALUE"""),-0.221170289376982)</f>
        <v>-0.2211702894</v>
      </c>
      <c r="D235" s="26">
        <f>IFERROR(__xludf.DUMMYFUNCTION("""COMPUTED_VALUE"""),-0.470720140180087)</f>
        <v>-0.4707201402</v>
      </c>
      <c r="E235" s="26">
        <f>IFERROR(__xludf.DUMMYFUNCTION("""COMPUTED_VALUE"""),0.743491601116568)</f>
        <v>0.7434916011</v>
      </c>
      <c r="F235" s="26">
        <f>IFERROR(__xludf.DUMMYFUNCTION("""COMPUTED_VALUE"""),23.3)</f>
        <v>23.3</v>
      </c>
      <c r="G235" s="26">
        <f>IFERROR(__xludf.DUMMYFUNCTION("""COMPUTED_VALUE"""),1.677676221003E12)</f>
        <v>1677676221003</v>
      </c>
      <c r="H235" s="26">
        <f t="shared" si="1"/>
        <v>23204</v>
      </c>
    </row>
    <row r="236">
      <c r="B236" s="26">
        <f>IFERROR(__xludf.DUMMYFUNCTION("""COMPUTED_VALUE"""),-0.386025644171615)</f>
        <v>-0.3860256442</v>
      </c>
      <c r="C236" s="26">
        <f>IFERROR(__xludf.DUMMYFUNCTION("""COMPUTED_VALUE"""),-0.248520813492961)</f>
        <v>-0.2485208135</v>
      </c>
      <c r="D236" s="26">
        <f>IFERROR(__xludf.DUMMYFUNCTION("""COMPUTED_VALUE"""),-0.493425989325052)</f>
        <v>-0.4934259893</v>
      </c>
      <c r="E236" s="26">
        <f>IFERROR(__xludf.DUMMYFUNCTION("""COMPUTED_VALUE"""),0.73875056708017)</f>
        <v>0.7387505671</v>
      </c>
      <c r="F236" s="26">
        <f>IFERROR(__xludf.DUMMYFUNCTION("""COMPUTED_VALUE"""),23.4)</f>
        <v>23.4</v>
      </c>
      <c r="G236" s="26">
        <f>IFERROR(__xludf.DUMMYFUNCTION("""COMPUTED_VALUE"""),1.677676221102E12)</f>
        <v>1677676221102</v>
      </c>
      <c r="H236" s="26">
        <f t="shared" si="1"/>
        <v>23303</v>
      </c>
    </row>
    <row r="237">
      <c r="B237" s="26">
        <f>IFERROR(__xludf.DUMMYFUNCTION("""COMPUTED_VALUE"""),-0.382138419531659)</f>
        <v>-0.3821384195</v>
      </c>
      <c r="C237" s="26">
        <f>IFERROR(__xludf.DUMMYFUNCTION("""COMPUTED_VALUE"""),-0.254315222088694)</f>
        <v>-0.2543152221</v>
      </c>
      <c r="D237" s="26">
        <f>IFERROR(__xludf.DUMMYFUNCTION("""COMPUTED_VALUE"""),-0.496442577965833)</f>
        <v>-0.496442578</v>
      </c>
      <c r="E237" s="26">
        <f>IFERROR(__xludf.DUMMYFUNCTION("""COMPUTED_VALUE"""),0.736775924494316)</f>
        <v>0.7367759245</v>
      </c>
      <c r="F237" s="26">
        <f>IFERROR(__xludf.DUMMYFUNCTION("""COMPUTED_VALUE"""),23.5)</f>
        <v>23.5</v>
      </c>
      <c r="G237" s="26">
        <f>IFERROR(__xludf.DUMMYFUNCTION("""COMPUTED_VALUE"""),1.677676221184E12)</f>
        <v>1677676221184</v>
      </c>
      <c r="H237" s="26">
        <f t="shared" si="1"/>
        <v>23385</v>
      </c>
    </row>
    <row r="238">
      <c r="B238" s="26">
        <f>IFERROR(__xludf.DUMMYFUNCTION("""COMPUTED_VALUE"""),-0.374293495199061)</f>
        <v>-0.3742934952</v>
      </c>
      <c r="C238" s="26">
        <f>IFERROR(__xludf.DUMMYFUNCTION("""COMPUTED_VALUE"""),-0.26585662074175)</f>
        <v>-0.2658566207</v>
      </c>
      <c r="D238" s="26">
        <f>IFERROR(__xludf.DUMMYFUNCTION("""COMPUTED_VALUE"""),-0.502383702314463)</f>
        <v>-0.5023837023</v>
      </c>
      <c r="E238" s="26">
        <f>IFERROR(__xludf.DUMMYFUNCTION("""COMPUTED_VALUE"""),0.732690420510773)</f>
        <v>0.7326904205</v>
      </c>
      <c r="F238" s="26">
        <f>IFERROR(__xludf.DUMMYFUNCTION("""COMPUTED_VALUE"""),23.6)</f>
        <v>23.6</v>
      </c>
      <c r="G238" s="26">
        <f>IFERROR(__xludf.DUMMYFUNCTION("""COMPUTED_VALUE"""),1.677676221284E12)</f>
        <v>1677676221284</v>
      </c>
      <c r="H238" s="26">
        <f t="shared" si="1"/>
        <v>23485</v>
      </c>
    </row>
    <row r="239">
      <c r="B239" s="26">
        <f>IFERROR(__xludf.DUMMYFUNCTION("""COMPUTED_VALUE"""),-0.372317758108702)</f>
        <v>-0.3723177581</v>
      </c>
      <c r="C239" s="26">
        <f>IFERROR(__xludf.DUMMYFUNCTION("""COMPUTED_VALUE"""),-0.268731831895034)</f>
        <v>-0.2687318319</v>
      </c>
      <c r="D239" s="26">
        <f>IFERROR(__xludf.DUMMYFUNCTION("""COMPUTED_VALUE"""),-0.503849671922515)</f>
        <v>-0.5038496719</v>
      </c>
      <c r="E239" s="26">
        <f>IFERROR(__xludf.DUMMYFUNCTION("""COMPUTED_VALUE"""),0.73164075722093)</f>
        <v>0.7316407572</v>
      </c>
      <c r="F239" s="26">
        <f>IFERROR(__xludf.DUMMYFUNCTION("""COMPUTED_VALUE"""),23.7)</f>
        <v>23.7</v>
      </c>
      <c r="G239" s="26">
        <f>IFERROR(__xludf.DUMMYFUNCTION("""COMPUTED_VALUE"""),1.677676221388E12)</f>
        <v>1677676221388</v>
      </c>
      <c r="H239" s="26">
        <f t="shared" si="1"/>
        <v>23589</v>
      </c>
    </row>
    <row r="240">
      <c r="B240" s="26">
        <f>IFERROR(__xludf.DUMMYFUNCTION("""COMPUTED_VALUE"""),-0.372317758108702)</f>
        <v>-0.3723177581</v>
      </c>
      <c r="C240" s="26">
        <f>IFERROR(__xludf.DUMMYFUNCTION("""COMPUTED_VALUE"""),-0.268731831895034)</f>
        <v>-0.2687318319</v>
      </c>
      <c r="D240" s="26">
        <f>IFERROR(__xludf.DUMMYFUNCTION("""COMPUTED_VALUE"""),-0.503849671922515)</f>
        <v>-0.5038496719</v>
      </c>
      <c r="E240" s="26">
        <f>IFERROR(__xludf.DUMMYFUNCTION("""COMPUTED_VALUE"""),0.73164075722093)</f>
        <v>0.7316407572</v>
      </c>
      <c r="F240" s="26">
        <f>IFERROR(__xludf.DUMMYFUNCTION("""COMPUTED_VALUE"""),23.8)</f>
        <v>23.8</v>
      </c>
      <c r="G240" s="26">
        <f>IFERROR(__xludf.DUMMYFUNCTION("""COMPUTED_VALUE"""),1.677676221499E12)</f>
        <v>1677676221499</v>
      </c>
      <c r="H240" s="26">
        <f t="shared" si="1"/>
        <v>23700</v>
      </c>
    </row>
    <row r="241">
      <c r="B241" s="26">
        <f>IFERROR(__xludf.DUMMYFUNCTION("""COMPUTED_VALUE"""),-0.369222317515357)</f>
        <v>-0.3692223175</v>
      </c>
      <c r="C241" s="26">
        <f>IFERROR(__xludf.DUMMYFUNCTION("""COMPUTED_VALUE"""),-0.279314628114756)</f>
        <v>-0.2793146281</v>
      </c>
      <c r="D241" s="26">
        <f>IFERROR(__xludf.DUMMYFUNCTION("""COMPUTED_VALUE"""),-0.507130398986298)</f>
        <v>-0.507130399</v>
      </c>
      <c r="E241" s="26">
        <f>IFERROR(__xludf.DUMMYFUNCTION("""COMPUTED_VALUE"""),0.726964220023032)</f>
        <v>0.72696422</v>
      </c>
      <c r="F241" s="26">
        <f>IFERROR(__xludf.DUMMYFUNCTION("""COMPUTED_VALUE"""),23.9)</f>
        <v>23.9</v>
      </c>
      <c r="G241" s="26">
        <f>IFERROR(__xludf.DUMMYFUNCTION("""COMPUTED_VALUE"""),1.677676221618E12)</f>
        <v>1677676221618</v>
      </c>
      <c r="H241" s="26">
        <f t="shared" si="1"/>
        <v>23819</v>
      </c>
    </row>
    <row r="242">
      <c r="B242" s="26">
        <f>IFERROR(__xludf.DUMMYFUNCTION("""COMPUTED_VALUE"""),-0.370926077502599)</f>
        <v>-0.3709260775</v>
      </c>
      <c r="C242" s="26">
        <f>IFERROR(__xludf.DUMMYFUNCTION("""COMPUTED_VALUE"""),-0.288989755651979)</f>
        <v>-0.2889897557</v>
      </c>
      <c r="D242" s="26">
        <f>IFERROR(__xludf.DUMMYFUNCTION("""COMPUTED_VALUE"""),-0.507805235758234)</f>
        <v>-0.5078052358</v>
      </c>
      <c r="E242" s="26">
        <f>IFERROR(__xludf.DUMMYFUNCTION("""COMPUTED_VALUE"""),0.721825885302863)</f>
        <v>0.7218258853</v>
      </c>
      <c r="F242" s="26">
        <f>IFERROR(__xludf.DUMMYFUNCTION("""COMPUTED_VALUE"""),24.0)</f>
        <v>24</v>
      </c>
      <c r="G242" s="26">
        <f>IFERROR(__xludf.DUMMYFUNCTION("""COMPUTED_VALUE"""),1.677676221687E12)</f>
        <v>1677676221687</v>
      </c>
      <c r="H242" s="26">
        <f t="shared" si="1"/>
        <v>23888</v>
      </c>
    </row>
    <row r="243">
      <c r="B243" s="26">
        <f>IFERROR(__xludf.DUMMYFUNCTION("""COMPUTED_VALUE"""),-0.375761980769207)</f>
        <v>-0.3757619808</v>
      </c>
      <c r="C243" s="26">
        <f>IFERROR(__xludf.DUMMYFUNCTION("""COMPUTED_VALUE"""),-0.317796472087232)</f>
        <v>-0.3177964721</v>
      </c>
      <c r="D243" s="26">
        <f>IFERROR(__xludf.DUMMYFUNCTION("""COMPUTED_VALUE"""),-0.509453567839405)</f>
        <v>-0.5094535678</v>
      </c>
      <c r="E243" s="26">
        <f>IFERROR(__xludf.DUMMYFUNCTION("""COMPUTED_VALUE"""),0.705879166963443)</f>
        <v>0.705879167</v>
      </c>
      <c r="F243" s="26">
        <f>IFERROR(__xludf.DUMMYFUNCTION("""COMPUTED_VALUE"""),24.1)</f>
        <v>24.1</v>
      </c>
      <c r="G243" s="26">
        <f>IFERROR(__xludf.DUMMYFUNCTION("""COMPUTED_VALUE"""),1.677676221794E12)</f>
        <v>1677676221794</v>
      </c>
      <c r="H243" s="26">
        <f t="shared" si="1"/>
        <v>23995</v>
      </c>
    </row>
    <row r="244">
      <c r="B244" s="26">
        <f>IFERROR(__xludf.DUMMYFUNCTION("""COMPUTED_VALUE"""),-0.373758469131108)</f>
        <v>-0.3737584691</v>
      </c>
      <c r="C244" s="26">
        <f>IFERROR(__xludf.DUMMYFUNCTION("""COMPUTED_VALUE"""),-0.320565995479435)</f>
        <v>-0.3205659955</v>
      </c>
      <c r="D244" s="26">
        <f>IFERROR(__xludf.DUMMYFUNCTION("""COMPUTED_VALUE"""),-0.51092524964878)</f>
        <v>-0.5109252496</v>
      </c>
      <c r="E244" s="26">
        <f>IFERROR(__xludf.DUMMYFUNCTION("""COMPUTED_VALUE"""),0.704625743615981)</f>
        <v>0.7046257436</v>
      </c>
      <c r="F244" s="26">
        <f>IFERROR(__xludf.DUMMYFUNCTION("""COMPUTED_VALUE"""),24.2)</f>
        <v>24.2</v>
      </c>
      <c r="G244" s="26">
        <f>IFERROR(__xludf.DUMMYFUNCTION("""COMPUTED_VALUE"""),1.6776762219E12)</f>
        <v>1677676221900</v>
      </c>
      <c r="H244" s="26">
        <f t="shared" si="1"/>
        <v>24101</v>
      </c>
    </row>
    <row r="245">
      <c r="B245" s="26">
        <f>IFERROR(__xludf.DUMMYFUNCTION("""COMPUTED_VALUE"""),-0.37451830105877)</f>
        <v>-0.3745183011</v>
      </c>
      <c r="C245" s="26">
        <f>IFERROR(__xludf.DUMMYFUNCTION("""COMPUTED_VALUE"""),-0.325328696550127)</f>
        <v>-0.3253286966</v>
      </c>
      <c r="D245" s="26">
        <f>IFERROR(__xludf.DUMMYFUNCTION("""COMPUTED_VALUE"""),-0.511137120940142)</f>
        <v>-0.5111371209</v>
      </c>
      <c r="E245" s="26">
        <f>IFERROR(__xludf.DUMMYFUNCTION("""COMPUTED_VALUE"""),0.701880420705737)</f>
        <v>0.7018804207</v>
      </c>
      <c r="F245" s="26">
        <f>IFERROR(__xludf.DUMMYFUNCTION("""COMPUTED_VALUE"""),24.3)</f>
        <v>24.3</v>
      </c>
      <c r="G245" s="26">
        <f>IFERROR(__xludf.DUMMYFUNCTION("""COMPUTED_VALUE"""),1.677676221997E12)</f>
        <v>1677676221997</v>
      </c>
      <c r="H245" s="26">
        <f t="shared" si="1"/>
        <v>24198</v>
      </c>
    </row>
    <row r="246">
      <c r="B246" s="26">
        <f>IFERROR(__xludf.DUMMYFUNCTION("""COMPUTED_VALUE"""),-0.377271684091608)</f>
        <v>-0.3772716841</v>
      </c>
      <c r="C246" s="26">
        <f>IFERROR(__xludf.DUMMYFUNCTION("""COMPUTED_VALUE"""),-0.327333413626158)</f>
        <v>-0.3273334136</v>
      </c>
      <c r="D246" s="26">
        <f>IFERROR(__xludf.DUMMYFUNCTION("""COMPUTED_VALUE"""),-0.509855620274826)</f>
        <v>-0.5098556203</v>
      </c>
      <c r="E246" s="26">
        <f>IFERROR(__xludf.DUMMYFUNCTION("""COMPUTED_VALUE"""),0.700404282668726)</f>
        <v>0.7004042827</v>
      </c>
      <c r="F246" s="26">
        <f>IFERROR(__xludf.DUMMYFUNCTION("""COMPUTED_VALUE"""),24.4)</f>
        <v>24.4</v>
      </c>
      <c r="G246" s="26">
        <f>IFERROR(__xludf.DUMMYFUNCTION("""COMPUTED_VALUE"""),1.677676222094E12)</f>
        <v>1677676222094</v>
      </c>
      <c r="H246" s="26">
        <f t="shared" si="1"/>
        <v>24295</v>
      </c>
    </row>
    <row r="247">
      <c r="B247" s="26">
        <f>IFERROR(__xludf.DUMMYFUNCTION("""COMPUTED_VALUE"""),-0.393468282329119)</f>
        <v>-0.3934682823</v>
      </c>
      <c r="C247" s="26">
        <f>IFERROR(__xludf.DUMMYFUNCTION("""COMPUTED_VALUE"""),-0.322264043360707)</f>
        <v>-0.3222640434</v>
      </c>
      <c r="D247" s="26">
        <f>IFERROR(__xludf.DUMMYFUNCTION("""COMPUTED_VALUE"""),-0.499997125644421)</f>
        <v>-0.4999971256</v>
      </c>
      <c r="E247" s="26">
        <f>IFERROR(__xludf.DUMMYFUNCTION("""COMPUTED_VALUE"""),0.70095040588125)</f>
        <v>0.7009504059</v>
      </c>
      <c r="F247" s="26">
        <f>IFERROR(__xludf.DUMMYFUNCTION("""COMPUTED_VALUE"""),24.5)</f>
        <v>24.5</v>
      </c>
      <c r="G247" s="26">
        <f>IFERROR(__xludf.DUMMYFUNCTION("""COMPUTED_VALUE"""),1.677676222195E12)</f>
        <v>1677676222195</v>
      </c>
      <c r="H247" s="26">
        <f t="shared" si="1"/>
        <v>24396</v>
      </c>
    </row>
    <row r="248">
      <c r="B248" s="26">
        <f>IFERROR(__xludf.DUMMYFUNCTION("""COMPUTED_VALUE"""),-0.398178300114369)</f>
        <v>-0.3981783001</v>
      </c>
      <c r="C248" s="26">
        <f>IFERROR(__xludf.DUMMYFUNCTION("""COMPUTED_VALUE"""),-0.32146993605107)</f>
        <v>-0.3214699361</v>
      </c>
      <c r="D248" s="26">
        <f>IFERROR(__xludf.DUMMYFUNCTION("""COMPUTED_VALUE"""),-0.497178755341933)</f>
        <v>-0.4971787553</v>
      </c>
      <c r="E248" s="26">
        <f>IFERROR(__xludf.DUMMYFUNCTION("""COMPUTED_VALUE"""),0.700659979426534)</f>
        <v>0.7006599794</v>
      </c>
      <c r="F248" s="26">
        <f>IFERROR(__xludf.DUMMYFUNCTION("""COMPUTED_VALUE"""),24.6)</f>
        <v>24.6</v>
      </c>
      <c r="G248" s="26">
        <f>IFERROR(__xludf.DUMMYFUNCTION("""COMPUTED_VALUE"""),1.677676222299E12)</f>
        <v>1677676222299</v>
      </c>
      <c r="H248" s="26">
        <f t="shared" si="1"/>
        <v>24500</v>
      </c>
    </row>
    <row r="249">
      <c r="B249" s="26">
        <f>IFERROR(__xludf.DUMMYFUNCTION("""COMPUTED_VALUE"""),-0.413347783211749)</f>
        <v>-0.4133477832</v>
      </c>
      <c r="C249" s="26">
        <f>IFERROR(__xludf.DUMMYFUNCTION("""COMPUTED_VALUE"""),-0.311551852185582)</f>
        <v>-0.3115518522</v>
      </c>
      <c r="D249" s="26">
        <f>IFERROR(__xludf.DUMMYFUNCTION("""COMPUTED_VALUE"""),-0.486714699493511)</f>
        <v>-0.4867146995</v>
      </c>
      <c r="E249" s="26">
        <f>IFERROR(__xludf.DUMMYFUNCTION("""COMPUTED_VALUE"""),0.703695853910338)</f>
        <v>0.7036958539</v>
      </c>
      <c r="F249" s="26">
        <f>IFERROR(__xludf.DUMMYFUNCTION("""COMPUTED_VALUE"""),24.7)</f>
        <v>24.7</v>
      </c>
      <c r="G249" s="26">
        <f>IFERROR(__xludf.DUMMYFUNCTION("""COMPUTED_VALUE"""),1.67767622244E12)</f>
        <v>1677676222440</v>
      </c>
      <c r="H249" s="26">
        <f t="shared" si="1"/>
        <v>24641</v>
      </c>
    </row>
    <row r="250">
      <c r="B250" s="26">
        <f>IFERROR(__xludf.DUMMYFUNCTION("""COMPUTED_VALUE"""),-0.421817890666285)</f>
        <v>-0.4218178907</v>
      </c>
      <c r="C250" s="26">
        <f>IFERROR(__xludf.DUMMYFUNCTION("""COMPUTED_VALUE"""),-0.305142794607015)</f>
        <v>-0.3051427946</v>
      </c>
      <c r="D250" s="26">
        <f>IFERROR(__xludf.DUMMYFUNCTION("""COMPUTED_VALUE"""),-0.480595086048354)</f>
        <v>-0.480595086</v>
      </c>
      <c r="E250" s="26">
        <f>IFERROR(__xludf.DUMMYFUNCTION("""COMPUTED_VALUE"""),0.705681164038997)</f>
        <v>0.705681164</v>
      </c>
      <c r="F250" s="26">
        <f>IFERROR(__xludf.DUMMYFUNCTION("""COMPUTED_VALUE"""),24.8)</f>
        <v>24.8</v>
      </c>
      <c r="G250" s="26">
        <f>IFERROR(__xludf.DUMMYFUNCTION("""COMPUTED_VALUE"""),1.677676222496E12)</f>
        <v>1677676222496</v>
      </c>
      <c r="H250" s="26">
        <f t="shared" si="1"/>
        <v>24697</v>
      </c>
    </row>
    <row r="251">
      <c r="B251" s="26">
        <f>IFERROR(__xludf.DUMMYFUNCTION("""COMPUTED_VALUE"""),-0.421817890666285)</f>
        <v>-0.4218178907</v>
      </c>
      <c r="C251" s="26">
        <f>IFERROR(__xludf.DUMMYFUNCTION("""COMPUTED_VALUE"""),-0.305142794607015)</f>
        <v>-0.3051427946</v>
      </c>
      <c r="D251" s="26">
        <f>IFERROR(__xludf.DUMMYFUNCTION("""COMPUTED_VALUE"""),-0.480595086048354)</f>
        <v>-0.480595086</v>
      </c>
      <c r="E251" s="26">
        <f>IFERROR(__xludf.DUMMYFUNCTION("""COMPUTED_VALUE"""),0.705681164038997)</f>
        <v>0.705681164</v>
      </c>
      <c r="F251" s="26">
        <f>IFERROR(__xludf.DUMMYFUNCTION("""COMPUTED_VALUE"""),24.9)</f>
        <v>24.9</v>
      </c>
      <c r="G251" s="26">
        <f>IFERROR(__xludf.DUMMYFUNCTION("""COMPUTED_VALUE"""),1.677676222595E12)</f>
        <v>1677676222595</v>
      </c>
      <c r="H251" s="26">
        <f t="shared" si="1"/>
        <v>24796</v>
      </c>
    </row>
    <row r="252">
      <c r="B252" s="26">
        <f>IFERROR(__xludf.DUMMYFUNCTION("""COMPUTED_VALUE"""),-0.421817890666285)</f>
        <v>-0.4218178907</v>
      </c>
      <c r="C252" s="26">
        <f>IFERROR(__xludf.DUMMYFUNCTION("""COMPUTED_VALUE"""),-0.305142794607015)</f>
        <v>-0.3051427946</v>
      </c>
      <c r="D252" s="26">
        <f>IFERROR(__xludf.DUMMYFUNCTION("""COMPUTED_VALUE"""),-0.480595086048354)</f>
        <v>-0.480595086</v>
      </c>
      <c r="E252" s="26">
        <f>IFERROR(__xludf.DUMMYFUNCTION("""COMPUTED_VALUE"""),0.705681164038997)</f>
        <v>0.705681164</v>
      </c>
      <c r="F252" s="26">
        <f>IFERROR(__xludf.DUMMYFUNCTION("""COMPUTED_VALUE"""),25.0)</f>
        <v>25</v>
      </c>
      <c r="G252" s="26">
        <f>IFERROR(__xludf.DUMMYFUNCTION("""COMPUTED_VALUE"""),1.677676222695E12)</f>
        <v>1677676222695</v>
      </c>
      <c r="H252" s="26">
        <f t="shared" si="1"/>
        <v>24896</v>
      </c>
    </row>
    <row r="253">
      <c r="B253" s="26">
        <f>IFERROR(__xludf.DUMMYFUNCTION("""COMPUTED_VALUE"""),-0.421817890666285)</f>
        <v>-0.4218178907</v>
      </c>
      <c r="C253" s="26">
        <f>IFERROR(__xludf.DUMMYFUNCTION("""COMPUTED_VALUE"""),-0.305142794607015)</f>
        <v>-0.3051427946</v>
      </c>
      <c r="D253" s="26">
        <f>IFERROR(__xludf.DUMMYFUNCTION("""COMPUTED_VALUE"""),-0.480595086048354)</f>
        <v>-0.480595086</v>
      </c>
      <c r="E253" s="26">
        <f>IFERROR(__xludf.DUMMYFUNCTION("""COMPUTED_VALUE"""),0.705681164038997)</f>
        <v>0.705681164</v>
      </c>
      <c r="F253" s="26">
        <f>IFERROR(__xludf.DUMMYFUNCTION("""COMPUTED_VALUE"""),25.1)</f>
        <v>25.1</v>
      </c>
      <c r="G253" s="26">
        <f>IFERROR(__xludf.DUMMYFUNCTION("""COMPUTED_VALUE"""),1.6776762228E12)</f>
        <v>1677676222800</v>
      </c>
      <c r="H253" s="26">
        <f t="shared" si="1"/>
        <v>25001</v>
      </c>
    </row>
    <row r="254">
      <c r="B254" s="26">
        <f>IFERROR(__xludf.DUMMYFUNCTION("""COMPUTED_VALUE"""),-0.432082588007925)</f>
        <v>-0.432082588</v>
      </c>
      <c r="C254" s="26">
        <f>IFERROR(__xludf.DUMMYFUNCTION("""COMPUTED_VALUE"""),-0.29590576473008)</f>
        <v>-0.2959057647</v>
      </c>
      <c r="D254" s="26">
        <f>IFERROR(__xludf.DUMMYFUNCTION("""COMPUTED_VALUE"""),-0.472708220054773)</f>
        <v>-0.4727082201</v>
      </c>
      <c r="E254" s="26">
        <f>IFERROR(__xludf.DUMMYFUNCTION("""COMPUTED_VALUE"""),0.708725161280817)</f>
        <v>0.7087251613</v>
      </c>
      <c r="F254" s="26">
        <f>IFERROR(__xludf.DUMMYFUNCTION("""COMPUTED_VALUE"""),25.2)</f>
        <v>25.2</v>
      </c>
      <c r="G254" s="26">
        <f>IFERROR(__xludf.DUMMYFUNCTION("""COMPUTED_VALUE"""),1.677676222896E12)</f>
        <v>1677676222896</v>
      </c>
      <c r="H254" s="26">
        <f t="shared" si="1"/>
        <v>25097</v>
      </c>
    </row>
    <row r="255">
      <c r="B255" s="26">
        <f>IFERROR(__xludf.DUMMYFUNCTION("""COMPUTED_VALUE"""),-0.434862406348029)</f>
        <v>-0.4348624063</v>
      </c>
      <c r="C255" s="26">
        <f>IFERROR(__xludf.DUMMYFUNCTION("""COMPUTED_VALUE"""),-0.297759799126582)</f>
        <v>-0.2977597991</v>
      </c>
      <c r="D255" s="26">
        <f>IFERROR(__xludf.DUMMYFUNCTION("""COMPUTED_VALUE"""),-0.471542558982688)</f>
        <v>-0.471542559</v>
      </c>
      <c r="E255" s="26">
        <f>IFERROR(__xludf.DUMMYFUNCTION("""COMPUTED_VALUE"""),0.70702291662813)</f>
        <v>0.7070229166</v>
      </c>
      <c r="F255" s="26">
        <f>IFERROR(__xludf.DUMMYFUNCTION("""COMPUTED_VALUE"""),25.3)</f>
        <v>25.3</v>
      </c>
      <c r="G255" s="26">
        <f>IFERROR(__xludf.DUMMYFUNCTION("""COMPUTED_VALUE"""),1.677676222996E12)</f>
        <v>1677676222996</v>
      </c>
      <c r="H255" s="26">
        <f t="shared" si="1"/>
        <v>25197</v>
      </c>
    </row>
    <row r="256">
      <c r="B256" s="26">
        <f>IFERROR(__xludf.DUMMYFUNCTION("""COMPUTED_VALUE"""),-0.434862406348029)</f>
        <v>-0.4348624063</v>
      </c>
      <c r="C256" s="26">
        <f>IFERROR(__xludf.DUMMYFUNCTION("""COMPUTED_VALUE"""),-0.297759799126582)</f>
        <v>-0.2977597991</v>
      </c>
      <c r="D256" s="26">
        <f>IFERROR(__xludf.DUMMYFUNCTION("""COMPUTED_VALUE"""),-0.471542558982688)</f>
        <v>-0.471542559</v>
      </c>
      <c r="E256" s="26">
        <f>IFERROR(__xludf.DUMMYFUNCTION("""COMPUTED_VALUE"""),0.70702291662813)</f>
        <v>0.7070229166</v>
      </c>
      <c r="F256" s="26">
        <f>IFERROR(__xludf.DUMMYFUNCTION("""COMPUTED_VALUE"""),25.4)</f>
        <v>25.4</v>
      </c>
      <c r="G256" s="26">
        <f>IFERROR(__xludf.DUMMYFUNCTION("""COMPUTED_VALUE"""),1.677676223098E12)</f>
        <v>1677676223098</v>
      </c>
      <c r="H256" s="26">
        <f t="shared" si="1"/>
        <v>25299</v>
      </c>
    </row>
    <row r="257">
      <c r="B257" s="26">
        <f>IFERROR(__xludf.DUMMYFUNCTION("""COMPUTED_VALUE"""),-0.436710791774516)</f>
        <v>-0.4367107918</v>
      </c>
      <c r="C257" s="26">
        <f>IFERROR(__xludf.DUMMYFUNCTION("""COMPUTED_VALUE"""),-0.294981037932319)</f>
        <v>-0.2949810379</v>
      </c>
      <c r="D257" s="26">
        <f>IFERROR(__xludf.DUMMYFUNCTION("""COMPUTED_VALUE"""),-0.469831226861749)</f>
        <v>-0.4698312269</v>
      </c>
      <c r="E257" s="26">
        <f>IFERROR(__xludf.DUMMYFUNCTION("""COMPUTED_VALUE"""),0.708186762001114)</f>
        <v>0.708186762</v>
      </c>
      <c r="F257" s="26">
        <f>IFERROR(__xludf.DUMMYFUNCTION("""COMPUTED_VALUE"""),25.5)</f>
        <v>25.5</v>
      </c>
      <c r="G257" s="26">
        <f>IFERROR(__xludf.DUMMYFUNCTION("""COMPUTED_VALUE"""),1.677676223204E12)</f>
        <v>1677676223204</v>
      </c>
      <c r="H257" s="26">
        <f t="shared" si="1"/>
        <v>25405</v>
      </c>
    </row>
    <row r="258">
      <c r="B258" s="26">
        <f>IFERROR(__xludf.DUMMYFUNCTION("""COMPUTED_VALUE"""),-0.443169500171891)</f>
        <v>-0.4431695002</v>
      </c>
      <c r="C258" s="26">
        <f>IFERROR(__xludf.DUMMYFUNCTION("""COMPUTED_VALUE"""),-0.291245930260456)</f>
        <v>-0.2912459303</v>
      </c>
      <c r="D258" s="26">
        <f>IFERROR(__xludf.DUMMYFUNCTION("""COMPUTED_VALUE"""),-0.465235796124285)</f>
        <v>-0.4652357961</v>
      </c>
      <c r="E258" s="26">
        <f>IFERROR(__xludf.DUMMYFUNCTION("""COMPUTED_VALUE"""),0.708754016728449)</f>
        <v>0.7087540167</v>
      </c>
      <c r="F258" s="26">
        <f>IFERROR(__xludf.DUMMYFUNCTION("""COMPUTED_VALUE"""),25.6)</f>
        <v>25.6</v>
      </c>
      <c r="G258" s="26">
        <f>IFERROR(__xludf.DUMMYFUNCTION("""COMPUTED_VALUE"""),1.67767622331E12)</f>
        <v>1677676223310</v>
      </c>
      <c r="H258" s="26">
        <f t="shared" si="1"/>
        <v>25511</v>
      </c>
    </row>
    <row r="259">
      <c r="B259" s="26">
        <f>IFERROR(__xludf.DUMMYFUNCTION("""COMPUTED_VALUE"""),-0.449585054985678)</f>
        <v>-0.449585055</v>
      </c>
      <c r="C259" s="26">
        <f>IFERROR(__xludf.DUMMYFUNCTION("""COMPUTED_VALUE"""),-0.287502034220989)</f>
        <v>-0.2875020342</v>
      </c>
      <c r="D259" s="26">
        <f>IFERROR(__xludf.DUMMYFUNCTION("""COMPUTED_VALUE"""),-0.460582633467083)</f>
        <v>-0.4605826335</v>
      </c>
      <c r="E259" s="26">
        <f>IFERROR(__xludf.DUMMYFUNCTION("""COMPUTED_VALUE"""),0.709280971407549)</f>
        <v>0.7092809714</v>
      </c>
      <c r="F259" s="26">
        <f>IFERROR(__xludf.DUMMYFUNCTION("""COMPUTED_VALUE"""),25.7)</f>
        <v>25.7</v>
      </c>
      <c r="G259" s="26">
        <f>IFERROR(__xludf.DUMMYFUNCTION("""COMPUTED_VALUE"""),1.677676223396E12)</f>
        <v>1677676223396</v>
      </c>
      <c r="H259" s="26">
        <f t="shared" si="1"/>
        <v>25597</v>
      </c>
    </row>
    <row r="260">
      <c r="B260" s="26">
        <f>IFERROR(__xludf.DUMMYFUNCTION("""COMPUTED_VALUE"""),-0.452366921026533)</f>
        <v>-0.452366921</v>
      </c>
      <c r="C260" s="26">
        <f>IFERROR(__xludf.DUMMYFUNCTION("""COMPUTED_VALUE"""),-0.289308516472072)</f>
        <v>-0.2893085165</v>
      </c>
      <c r="D260" s="26">
        <f>IFERROR(__xludf.DUMMYFUNCTION("""COMPUTED_VALUE"""),-0.4594500671775)</f>
        <v>-0.4594500672</v>
      </c>
      <c r="E260" s="26">
        <f>IFERROR(__xludf.DUMMYFUNCTION("""COMPUTED_VALUE"""),0.707509990620829)</f>
        <v>0.7075099906</v>
      </c>
      <c r="F260" s="26">
        <f>IFERROR(__xludf.DUMMYFUNCTION("""COMPUTED_VALUE"""),25.8)</f>
        <v>25.8</v>
      </c>
      <c r="G260" s="26">
        <f>IFERROR(__xludf.DUMMYFUNCTION("""COMPUTED_VALUE"""),1.677676223494E12)</f>
        <v>1677676223494</v>
      </c>
      <c r="H260" s="26">
        <f t="shared" si="1"/>
        <v>25695</v>
      </c>
    </row>
    <row r="261">
      <c r="B261" s="26">
        <f>IFERROR(__xludf.DUMMYFUNCTION("""COMPUTED_VALUE"""),-0.452366921026533)</f>
        <v>-0.452366921</v>
      </c>
      <c r="C261" s="26">
        <f>IFERROR(__xludf.DUMMYFUNCTION("""COMPUTED_VALUE"""),-0.289308516472072)</f>
        <v>-0.2893085165</v>
      </c>
      <c r="D261" s="26">
        <f>IFERROR(__xludf.DUMMYFUNCTION("""COMPUTED_VALUE"""),-0.4594500671775)</f>
        <v>-0.4594500672</v>
      </c>
      <c r="E261" s="26">
        <f>IFERROR(__xludf.DUMMYFUNCTION("""COMPUTED_VALUE"""),0.707509990620829)</f>
        <v>0.7075099906</v>
      </c>
      <c r="F261" s="26">
        <f>IFERROR(__xludf.DUMMYFUNCTION("""COMPUTED_VALUE"""),25.9)</f>
        <v>25.9</v>
      </c>
      <c r="G261" s="26">
        <f>IFERROR(__xludf.DUMMYFUNCTION("""COMPUTED_VALUE"""),1.677676223617E12)</f>
        <v>1677676223617</v>
      </c>
      <c r="H261" s="26">
        <f t="shared" si="1"/>
        <v>25818</v>
      </c>
    </row>
    <row r="262">
      <c r="B262" s="26">
        <f>IFERROR(__xludf.DUMMYFUNCTION("""COMPUTED_VALUE"""),-0.452366921026533)</f>
        <v>-0.452366921</v>
      </c>
      <c r="C262" s="26">
        <f>IFERROR(__xludf.DUMMYFUNCTION("""COMPUTED_VALUE"""),-0.289308516472072)</f>
        <v>-0.2893085165</v>
      </c>
      <c r="D262" s="26">
        <f>IFERROR(__xludf.DUMMYFUNCTION("""COMPUTED_VALUE"""),-0.4594500671775)</f>
        <v>-0.4594500672</v>
      </c>
      <c r="E262" s="26">
        <f>IFERROR(__xludf.DUMMYFUNCTION("""COMPUTED_VALUE"""),0.707509990620829)</f>
        <v>0.7075099906</v>
      </c>
      <c r="F262" s="26">
        <f>IFERROR(__xludf.DUMMYFUNCTION("""COMPUTED_VALUE"""),26.0)</f>
        <v>26</v>
      </c>
      <c r="G262" s="26">
        <f>IFERROR(__xludf.DUMMYFUNCTION("""COMPUTED_VALUE"""),1.677676223694E12)</f>
        <v>1677676223694</v>
      </c>
      <c r="H262" s="26">
        <f t="shared" si="1"/>
        <v>25895</v>
      </c>
    </row>
    <row r="263">
      <c r="B263" s="26">
        <f>IFERROR(__xludf.DUMMYFUNCTION("""COMPUTED_VALUE"""),-0.452366921026533)</f>
        <v>-0.452366921</v>
      </c>
      <c r="C263" s="26">
        <f>IFERROR(__xludf.DUMMYFUNCTION("""COMPUTED_VALUE"""),-0.289308516472072)</f>
        <v>-0.2893085165</v>
      </c>
      <c r="D263" s="26">
        <f>IFERROR(__xludf.DUMMYFUNCTION("""COMPUTED_VALUE"""),-0.4594500671775)</f>
        <v>-0.4594500672</v>
      </c>
      <c r="E263" s="26">
        <f>IFERROR(__xludf.DUMMYFUNCTION("""COMPUTED_VALUE"""),0.707509990620829)</f>
        <v>0.7075099906</v>
      </c>
      <c r="F263" s="26">
        <f>IFERROR(__xludf.DUMMYFUNCTION("""COMPUTED_VALUE"""),26.1)</f>
        <v>26.1</v>
      </c>
      <c r="G263" s="26">
        <f>IFERROR(__xludf.DUMMYFUNCTION("""COMPUTED_VALUE"""),1.677676223796E12)</f>
        <v>1677676223796</v>
      </c>
      <c r="H263" s="26">
        <f t="shared" si="1"/>
        <v>25997</v>
      </c>
    </row>
    <row r="264">
      <c r="B264" s="26">
        <f>IFERROR(__xludf.DUMMYFUNCTION("""COMPUTED_VALUE"""),-0.452366921026533)</f>
        <v>-0.452366921</v>
      </c>
      <c r="C264" s="26">
        <f>IFERROR(__xludf.DUMMYFUNCTION("""COMPUTED_VALUE"""),-0.289308516472072)</f>
        <v>-0.2893085165</v>
      </c>
      <c r="D264" s="26">
        <f>IFERROR(__xludf.DUMMYFUNCTION("""COMPUTED_VALUE"""),-0.4594500671775)</f>
        <v>-0.4594500672</v>
      </c>
      <c r="E264" s="26">
        <f>IFERROR(__xludf.DUMMYFUNCTION("""COMPUTED_VALUE"""),0.707509990620829)</f>
        <v>0.7075099906</v>
      </c>
      <c r="F264" s="26">
        <f>IFERROR(__xludf.DUMMYFUNCTION("""COMPUTED_VALUE"""),26.2)</f>
        <v>26.2</v>
      </c>
      <c r="G264" s="26">
        <f>IFERROR(__xludf.DUMMYFUNCTION("""COMPUTED_VALUE"""),1.677676223938E12)</f>
        <v>1677676223938</v>
      </c>
      <c r="H264" s="26">
        <f t="shared" si="1"/>
        <v>26139</v>
      </c>
    </row>
    <row r="265">
      <c r="B265" s="26">
        <f>IFERROR(__xludf.DUMMYFUNCTION("""COMPUTED_VALUE"""),-0.466575380210521)</f>
        <v>-0.4665753802</v>
      </c>
      <c r="C265" s="26">
        <f>IFERROR(__xludf.DUMMYFUNCTION("""COMPUTED_VALUE"""),-0.266942334993089)</f>
        <v>-0.266942335</v>
      </c>
      <c r="D265" s="26">
        <f>IFERROR(__xludf.DUMMYFUNCTION("""COMPUTED_VALUE"""),-0.445014168369775)</f>
        <v>-0.4450141684</v>
      </c>
      <c r="E265" s="26">
        <f>IFERROR(__xludf.DUMMYFUNCTION("""COMPUTED_VALUE"""),0.71624827701014)</f>
        <v>0.716248277</v>
      </c>
      <c r="F265" s="26">
        <f>IFERROR(__xludf.DUMMYFUNCTION("""COMPUTED_VALUE"""),26.3)</f>
        <v>26.3</v>
      </c>
      <c r="G265" s="26">
        <f>IFERROR(__xludf.DUMMYFUNCTION("""COMPUTED_VALUE"""),1.677676223998E12)</f>
        <v>1677676223998</v>
      </c>
      <c r="H265" s="26">
        <f t="shared" si="1"/>
        <v>26199</v>
      </c>
    </row>
    <row r="266">
      <c r="B266" s="26">
        <f>IFERROR(__xludf.DUMMYFUNCTION("""COMPUTED_VALUE"""),-0.473507798509797)</f>
        <v>-0.4735077985</v>
      </c>
      <c r="C266" s="26">
        <f>IFERROR(__xludf.DUMMYFUNCTION("""COMPUTED_VALUE"""),-0.255659064355726)</f>
        <v>-0.2556590644</v>
      </c>
      <c r="D266" s="26">
        <f>IFERROR(__xludf.DUMMYFUNCTION("""COMPUTED_VALUE"""),-0.437630620750925)</f>
        <v>-0.4376306208</v>
      </c>
      <c r="E266" s="26">
        <f>IFERROR(__xludf.DUMMYFUNCTION("""COMPUTED_VALUE"""),0.72035286307775)</f>
        <v>0.7203528631</v>
      </c>
      <c r="F266" s="26">
        <f>IFERROR(__xludf.DUMMYFUNCTION("""COMPUTED_VALUE"""),26.4)</f>
        <v>26.4</v>
      </c>
      <c r="G266" s="26">
        <f>IFERROR(__xludf.DUMMYFUNCTION("""COMPUTED_VALUE"""),1.677676224098E12)</f>
        <v>1677676224098</v>
      </c>
      <c r="H266" s="26">
        <f t="shared" si="1"/>
        <v>26299</v>
      </c>
    </row>
    <row r="267">
      <c r="B267" s="26">
        <f>IFERROR(__xludf.DUMMYFUNCTION("""COMPUTED_VALUE"""),-0.492666587654719)</f>
        <v>-0.4926665877</v>
      </c>
      <c r="C267" s="26">
        <f>IFERROR(__xludf.DUMMYFUNCTION("""COMPUTED_VALUE"""),-0.236328000930074)</f>
        <v>-0.2363280009</v>
      </c>
      <c r="D267" s="26">
        <f>IFERROR(__xludf.DUMMYFUNCTION("""COMPUTED_VALUE"""),-0.42053156475247)</f>
        <v>-0.4205315648</v>
      </c>
      <c r="E267" s="26">
        <f>IFERROR(__xludf.DUMMYFUNCTION("""COMPUTED_VALUE"""),0.724280272016213)</f>
        <v>0.724280272</v>
      </c>
      <c r="F267" s="26">
        <f>IFERROR(__xludf.DUMMYFUNCTION("""COMPUTED_VALUE"""),26.5)</f>
        <v>26.5</v>
      </c>
      <c r="G267" s="26">
        <f>IFERROR(__xludf.DUMMYFUNCTION("""COMPUTED_VALUE"""),1.677676224201E12)</f>
        <v>1677676224201</v>
      </c>
      <c r="H267" s="26">
        <f t="shared" si="1"/>
        <v>26402</v>
      </c>
    </row>
    <row r="268">
      <c r="B268" s="26">
        <f>IFERROR(__xludf.DUMMYFUNCTION("""COMPUTED_VALUE"""),-0.494314208190165)</f>
        <v>-0.4943142082</v>
      </c>
      <c r="C268" s="26">
        <f>IFERROR(__xludf.DUMMYFUNCTION("""COMPUTED_VALUE"""),-0.23348194411301)</f>
        <v>-0.2334819441</v>
      </c>
      <c r="D268" s="26">
        <f>IFERROR(__xludf.DUMMYFUNCTION("""COMPUTED_VALUE"""),-0.41859363005884)</f>
        <v>-0.4185936301</v>
      </c>
      <c r="E268" s="26">
        <f>IFERROR(__xludf.DUMMYFUNCTION("""COMPUTED_VALUE"""),0.725202742844161)</f>
        <v>0.7252027428</v>
      </c>
      <c r="F268" s="26">
        <f>IFERROR(__xludf.DUMMYFUNCTION("""COMPUTED_VALUE"""),26.6)</f>
        <v>26.6</v>
      </c>
      <c r="G268" s="26">
        <f>IFERROR(__xludf.DUMMYFUNCTION("""COMPUTED_VALUE"""),1.677676224293E12)</f>
        <v>1677676224293</v>
      </c>
      <c r="H268" s="26">
        <f t="shared" si="1"/>
        <v>26494</v>
      </c>
    </row>
    <row r="269">
      <c r="B269" s="26">
        <f>IFERROR(__xludf.DUMMYFUNCTION("""COMPUTED_VALUE"""),-0.494314208190165)</f>
        <v>-0.4943142082</v>
      </c>
      <c r="C269" s="26">
        <f>IFERROR(__xludf.DUMMYFUNCTION("""COMPUTED_VALUE"""),-0.23348194411301)</f>
        <v>-0.2334819441</v>
      </c>
      <c r="D269" s="26">
        <f>IFERROR(__xludf.DUMMYFUNCTION("""COMPUTED_VALUE"""),-0.41859363005884)</f>
        <v>-0.4185936301</v>
      </c>
      <c r="E269" s="26">
        <f>IFERROR(__xludf.DUMMYFUNCTION("""COMPUTED_VALUE"""),0.725202742844161)</f>
        <v>0.7252027428</v>
      </c>
      <c r="F269" s="26">
        <f>IFERROR(__xludf.DUMMYFUNCTION("""COMPUTED_VALUE"""),26.7)</f>
        <v>26.7</v>
      </c>
      <c r="G269" s="26">
        <f>IFERROR(__xludf.DUMMYFUNCTION("""COMPUTED_VALUE"""),1.677676224395E12)</f>
        <v>1677676224395</v>
      </c>
      <c r="H269" s="26">
        <f t="shared" si="1"/>
        <v>26596</v>
      </c>
    </row>
    <row r="270">
      <c r="B270" s="26">
        <f>IFERROR(__xludf.DUMMYFUNCTION("""COMPUTED_VALUE"""),-0.513335589381932)</f>
        <v>-0.5133355894</v>
      </c>
      <c r="C270" s="26">
        <f>IFERROR(__xludf.DUMMYFUNCTION("""COMPUTED_VALUE"""),-0.23313445634139)</f>
        <v>-0.2331344563</v>
      </c>
      <c r="D270" s="26">
        <f>IFERROR(__xludf.DUMMYFUNCTION("""COMPUTED_VALUE"""),-0.408021087435274)</f>
        <v>-0.4080210874</v>
      </c>
      <c r="E270" s="26">
        <f>IFERROR(__xludf.DUMMYFUNCTION("""COMPUTED_VALUE"""),0.718090307794525)</f>
        <v>0.7180903078</v>
      </c>
      <c r="F270" s="26">
        <f>IFERROR(__xludf.DUMMYFUNCTION("""COMPUTED_VALUE"""),26.8)</f>
        <v>26.8</v>
      </c>
      <c r="G270" s="26">
        <f>IFERROR(__xludf.DUMMYFUNCTION("""COMPUTED_VALUE"""),1.677676224503E12)</f>
        <v>1677676224503</v>
      </c>
      <c r="H270" s="26">
        <f t="shared" si="1"/>
        <v>26704</v>
      </c>
    </row>
    <row r="271">
      <c r="B271" s="26">
        <f>IFERROR(__xludf.DUMMYFUNCTION("""COMPUTED_VALUE"""),-0.52495167383898)</f>
        <v>-0.5249516738</v>
      </c>
      <c r="C271" s="26">
        <f>IFERROR(__xludf.DUMMYFUNCTION("""COMPUTED_VALUE"""),-0.232270049300831)</f>
        <v>-0.2322700493</v>
      </c>
      <c r="D271" s="26">
        <f>IFERROR(__xludf.DUMMYFUNCTION("""COMPUTED_VALUE"""),-0.401213175772294)</f>
        <v>-0.4012131758</v>
      </c>
      <c r="E271" s="26">
        <f>IFERROR(__xludf.DUMMYFUNCTION("""COMPUTED_VALUE"""),0.713795735430062)</f>
        <v>0.7137957354</v>
      </c>
      <c r="F271" s="26">
        <f>IFERROR(__xludf.DUMMYFUNCTION("""COMPUTED_VALUE"""),26.9)</f>
        <v>26.9</v>
      </c>
      <c r="G271" s="26">
        <f>IFERROR(__xludf.DUMMYFUNCTION("""COMPUTED_VALUE"""),1.677676224605E12)</f>
        <v>1677676224605</v>
      </c>
      <c r="H271" s="26">
        <f t="shared" si="1"/>
        <v>26806</v>
      </c>
    </row>
    <row r="272">
      <c r="B272" s="26">
        <f>IFERROR(__xludf.DUMMYFUNCTION("""COMPUTED_VALUE"""),-0.52495167383898)</f>
        <v>-0.5249516738</v>
      </c>
      <c r="C272" s="26">
        <f>IFERROR(__xludf.DUMMYFUNCTION("""COMPUTED_VALUE"""),-0.232270049300831)</f>
        <v>-0.2322700493</v>
      </c>
      <c r="D272" s="26">
        <f>IFERROR(__xludf.DUMMYFUNCTION("""COMPUTED_VALUE"""),-0.401213175772294)</f>
        <v>-0.4012131758</v>
      </c>
      <c r="E272" s="26">
        <f>IFERROR(__xludf.DUMMYFUNCTION("""COMPUTED_VALUE"""),0.713795735430062)</f>
        <v>0.7137957354</v>
      </c>
      <c r="F272" s="26">
        <f>IFERROR(__xludf.DUMMYFUNCTION("""COMPUTED_VALUE"""),27.0)</f>
        <v>27</v>
      </c>
      <c r="G272" s="26">
        <f>IFERROR(__xludf.DUMMYFUNCTION("""COMPUTED_VALUE"""),1.67767622471E12)</f>
        <v>1677676224710</v>
      </c>
      <c r="H272" s="26">
        <f t="shared" si="1"/>
        <v>26911</v>
      </c>
    </row>
    <row r="273">
      <c r="B273" s="26">
        <f>IFERROR(__xludf.DUMMYFUNCTION("""COMPUTED_VALUE"""),-0.52495167383898)</f>
        <v>-0.5249516738</v>
      </c>
      <c r="C273" s="26">
        <f>IFERROR(__xludf.DUMMYFUNCTION("""COMPUTED_VALUE"""),-0.232270049300831)</f>
        <v>-0.2322700493</v>
      </c>
      <c r="D273" s="26">
        <f>IFERROR(__xludf.DUMMYFUNCTION("""COMPUTED_VALUE"""),-0.401213175772294)</f>
        <v>-0.4012131758</v>
      </c>
      <c r="E273" s="26">
        <f>IFERROR(__xludf.DUMMYFUNCTION("""COMPUTED_VALUE"""),0.713795735430062)</f>
        <v>0.7137957354</v>
      </c>
      <c r="F273" s="26">
        <f>IFERROR(__xludf.DUMMYFUNCTION("""COMPUTED_VALUE"""),27.1)</f>
        <v>27.1</v>
      </c>
      <c r="G273" s="26">
        <f>IFERROR(__xludf.DUMMYFUNCTION("""COMPUTED_VALUE"""),1.67767622479E12)</f>
        <v>1677676224790</v>
      </c>
      <c r="H273" s="26">
        <f t="shared" si="1"/>
        <v>26991</v>
      </c>
    </row>
    <row r="274">
      <c r="B274" s="26">
        <f>IFERROR(__xludf.DUMMYFUNCTION("""COMPUTED_VALUE"""),-0.526171080940518)</f>
        <v>-0.5261710809</v>
      </c>
      <c r="C274" s="26">
        <f>IFERROR(__xludf.DUMMYFUNCTION("""COMPUTED_VALUE"""),-0.23664507453091)</f>
        <v>-0.2366450745</v>
      </c>
      <c r="D274" s="26">
        <f>IFERROR(__xludf.DUMMYFUNCTION("""COMPUTED_VALUE"""),-0.402356340686569)</f>
        <v>-0.4023563407</v>
      </c>
      <c r="E274" s="26">
        <f>IFERROR(__xludf.DUMMYFUNCTION("""COMPUTED_VALUE"""),0.710811140452548)</f>
        <v>0.7108111405</v>
      </c>
      <c r="F274" s="26">
        <f>IFERROR(__xludf.DUMMYFUNCTION("""COMPUTED_VALUE"""),27.2)</f>
        <v>27.2</v>
      </c>
      <c r="G274" s="26">
        <f>IFERROR(__xludf.DUMMYFUNCTION("""COMPUTED_VALUE"""),1.677676224903E12)</f>
        <v>1677676224903</v>
      </c>
      <c r="H274" s="26">
        <f t="shared" si="1"/>
        <v>27104</v>
      </c>
    </row>
    <row r="275">
      <c r="B275" s="26">
        <f>IFERROR(__xludf.DUMMYFUNCTION("""COMPUTED_VALUE"""),-0.525782094809168)</f>
        <v>-0.5257820948</v>
      </c>
      <c r="C275" s="26">
        <f>IFERROR(__xludf.DUMMYFUNCTION("""COMPUTED_VALUE"""),-0.243798593799088)</f>
        <v>-0.2437985938</v>
      </c>
      <c r="D275" s="26">
        <f>IFERROR(__xludf.DUMMYFUNCTION("""COMPUTED_VALUE"""),-0.405543991664373)</f>
        <v>-0.4055439917</v>
      </c>
      <c r="E275" s="26">
        <f>IFERROR(__xludf.DUMMYFUNCTION("""COMPUTED_VALUE"""),0.70685890053432)</f>
        <v>0.7068589005</v>
      </c>
      <c r="F275" s="26">
        <f>IFERROR(__xludf.DUMMYFUNCTION("""COMPUTED_VALUE"""),27.3)</f>
        <v>27.3</v>
      </c>
      <c r="G275" s="26">
        <f>IFERROR(__xludf.DUMMYFUNCTION("""COMPUTED_VALUE"""),1.67767622499E12)</f>
        <v>1677676224990</v>
      </c>
      <c r="H275" s="26">
        <f t="shared" si="1"/>
        <v>27191</v>
      </c>
    </row>
    <row r="276">
      <c r="B276" s="26">
        <f>IFERROR(__xludf.DUMMYFUNCTION("""COMPUTED_VALUE"""),-0.526957241372203)</f>
        <v>-0.5269572414</v>
      </c>
      <c r="C276" s="26">
        <f>IFERROR(__xludf.DUMMYFUNCTION("""COMPUTED_VALUE"""),-0.248163207485203)</f>
        <v>-0.2481632075</v>
      </c>
      <c r="D276" s="26">
        <f>IFERROR(__xludf.DUMMYFUNCTION("""COMPUTED_VALUE"""),-0.406645078576553)</f>
        <v>-0.4066450786</v>
      </c>
      <c r="E276" s="26">
        <f>IFERROR(__xludf.DUMMYFUNCTION("""COMPUTED_VALUE"""),0.703825879238263)</f>
        <v>0.7038258792</v>
      </c>
      <c r="F276" s="26">
        <f>IFERROR(__xludf.DUMMYFUNCTION("""COMPUTED_VALUE"""),27.4)</f>
        <v>27.4</v>
      </c>
      <c r="G276" s="26">
        <f>IFERROR(__xludf.DUMMYFUNCTION("""COMPUTED_VALUE"""),1.677676225116E12)</f>
        <v>1677676225116</v>
      </c>
      <c r="H276" s="26">
        <f t="shared" si="1"/>
        <v>27317</v>
      </c>
    </row>
    <row r="277">
      <c r="B277" s="26">
        <f>IFERROR(__xludf.DUMMYFUNCTION("""COMPUTED_VALUE"""),-0.526957241372203)</f>
        <v>-0.5269572414</v>
      </c>
      <c r="C277" s="26">
        <f>IFERROR(__xludf.DUMMYFUNCTION("""COMPUTED_VALUE"""),-0.248163207485203)</f>
        <v>-0.2481632075</v>
      </c>
      <c r="D277" s="26">
        <f>IFERROR(__xludf.DUMMYFUNCTION("""COMPUTED_VALUE"""),-0.406645078576553)</f>
        <v>-0.4066450786</v>
      </c>
      <c r="E277" s="26">
        <f>IFERROR(__xludf.DUMMYFUNCTION("""COMPUTED_VALUE"""),0.703825879238263)</f>
        <v>0.7038258792</v>
      </c>
      <c r="F277" s="26">
        <f>IFERROR(__xludf.DUMMYFUNCTION("""COMPUTED_VALUE"""),27.5)</f>
        <v>27.5</v>
      </c>
      <c r="G277" s="26">
        <f>IFERROR(__xludf.DUMMYFUNCTION("""COMPUTED_VALUE"""),1.67767622519E12)</f>
        <v>1677676225190</v>
      </c>
      <c r="H277" s="26">
        <f t="shared" si="1"/>
        <v>27391</v>
      </c>
    </row>
    <row r="278">
      <c r="B278" s="26">
        <f>IFERROR(__xludf.DUMMYFUNCTION("""COMPUTED_VALUE"""),-0.528116135292014)</f>
        <v>-0.5281161353</v>
      </c>
      <c r="C278" s="26">
        <f>IFERROR(__xludf.DUMMYFUNCTION("""COMPUTED_VALUE"""),-0.252520167214306)</f>
        <v>-0.2525201672</v>
      </c>
      <c r="D278" s="26">
        <f>IFERROR(__xludf.DUMMYFUNCTION("""COMPUTED_VALUE"""),-0.407733623565287)</f>
        <v>-0.4077336236</v>
      </c>
      <c r="E278" s="26">
        <f>IFERROR(__xludf.DUMMYFUNCTION("""COMPUTED_VALUE"""),0.700771150239932)</f>
        <v>0.7007711502</v>
      </c>
      <c r="F278" s="26">
        <f>IFERROR(__xludf.DUMMYFUNCTION("""COMPUTED_VALUE"""),27.6)</f>
        <v>27.6</v>
      </c>
      <c r="G278" s="26">
        <f>IFERROR(__xludf.DUMMYFUNCTION("""COMPUTED_VALUE"""),1.677676225322E12)</f>
        <v>1677676225322</v>
      </c>
      <c r="H278" s="26">
        <f t="shared" si="1"/>
        <v>27523</v>
      </c>
    </row>
    <row r="279">
      <c r="B279" s="26">
        <f>IFERROR(__xludf.DUMMYFUNCTION("""COMPUTED_VALUE"""),-0.528116135292014)</f>
        <v>-0.5281161353</v>
      </c>
      <c r="C279" s="26">
        <f>IFERROR(__xludf.DUMMYFUNCTION("""COMPUTED_VALUE"""),-0.252520167214306)</f>
        <v>-0.2525201672</v>
      </c>
      <c r="D279" s="26">
        <f>IFERROR(__xludf.DUMMYFUNCTION("""COMPUTED_VALUE"""),-0.407733623565287)</f>
        <v>-0.4077336236</v>
      </c>
      <c r="E279" s="26">
        <f>IFERROR(__xludf.DUMMYFUNCTION("""COMPUTED_VALUE"""),0.700771150239932)</f>
        <v>0.7007711502</v>
      </c>
      <c r="F279" s="26">
        <f>IFERROR(__xludf.DUMMYFUNCTION("""COMPUTED_VALUE"""),27.7)</f>
        <v>27.7</v>
      </c>
      <c r="G279" s="26">
        <f>IFERROR(__xludf.DUMMYFUNCTION("""COMPUTED_VALUE"""),1.67767622539E12)</f>
        <v>1677676225390</v>
      </c>
      <c r="H279" s="26">
        <f t="shared" si="1"/>
        <v>27591</v>
      </c>
    </row>
    <row r="280">
      <c r="B280" s="26">
        <f>IFERROR(__xludf.DUMMYFUNCTION("""COMPUTED_VALUE"""),-0.526510901157709)</f>
        <v>-0.5265109012</v>
      </c>
      <c r="C280" s="26">
        <f>IFERROR(__xludf.DUMMYFUNCTION("""COMPUTED_VALUE"""),-0.255270134844552)</f>
        <v>-0.2552701348</v>
      </c>
      <c r="D280" s="26">
        <f>IFERROR(__xludf.DUMMYFUNCTION("""COMPUTED_VALUE"""),-0.409804381508482)</f>
        <v>-0.4098043815</v>
      </c>
      <c r="E280" s="26">
        <f>IFERROR(__xludf.DUMMYFUNCTION("""COMPUTED_VALUE"""),0.699774105061757)</f>
        <v>0.6997741051</v>
      </c>
      <c r="F280" s="26">
        <f>IFERROR(__xludf.DUMMYFUNCTION("""COMPUTED_VALUE"""),27.8)</f>
        <v>27.8</v>
      </c>
      <c r="G280" s="26">
        <f>IFERROR(__xludf.DUMMYFUNCTION("""COMPUTED_VALUE"""),1.677676225493E12)</f>
        <v>1677676225493</v>
      </c>
      <c r="H280" s="26">
        <f t="shared" si="1"/>
        <v>27694</v>
      </c>
    </row>
    <row r="281">
      <c r="B281" s="26">
        <f>IFERROR(__xludf.DUMMYFUNCTION("""COMPUTED_VALUE"""),-0.526510901157709)</f>
        <v>-0.5265109012</v>
      </c>
      <c r="C281" s="26">
        <f>IFERROR(__xludf.DUMMYFUNCTION("""COMPUTED_VALUE"""),-0.255270134844552)</f>
        <v>-0.2552701348</v>
      </c>
      <c r="D281" s="26">
        <f>IFERROR(__xludf.DUMMYFUNCTION("""COMPUTED_VALUE"""),-0.409804381508482)</f>
        <v>-0.4098043815</v>
      </c>
      <c r="E281" s="26">
        <f>IFERROR(__xludf.DUMMYFUNCTION("""COMPUTED_VALUE"""),0.699774105061757)</f>
        <v>0.6997741051</v>
      </c>
      <c r="F281" s="26">
        <f>IFERROR(__xludf.DUMMYFUNCTION("""COMPUTED_VALUE"""),27.9)</f>
        <v>27.9</v>
      </c>
      <c r="G281" s="26">
        <f>IFERROR(__xludf.DUMMYFUNCTION("""COMPUTED_VALUE"""),1.677676225592E12)</f>
        <v>1677676225592</v>
      </c>
      <c r="H281" s="26">
        <f t="shared" si="1"/>
        <v>27793</v>
      </c>
    </row>
    <row r="282">
      <c r="B282" s="26">
        <f>IFERROR(__xludf.DUMMYFUNCTION("""COMPUTED_VALUE"""),-0.524897547574467)</f>
        <v>-0.5248975476</v>
      </c>
      <c r="C282" s="26">
        <f>IFERROR(__xludf.DUMMYFUNCTION("""COMPUTED_VALUE"""),-0.25801616589377)</f>
        <v>-0.2580161659</v>
      </c>
      <c r="D282" s="26">
        <f>IFERROR(__xludf.DUMMYFUNCTION("""COMPUTED_VALUE"""),-0.411868819761538)</f>
        <v>-0.4118688198</v>
      </c>
      <c r="E282" s="26">
        <f>IFERROR(__xludf.DUMMYFUNCTION("""COMPUTED_VALUE"""),0.698766268501862)</f>
        <v>0.6987662685</v>
      </c>
      <c r="F282" s="26">
        <f>IFERROR(__xludf.DUMMYFUNCTION("""COMPUTED_VALUE"""),28.0)</f>
        <v>28</v>
      </c>
      <c r="G282" s="26">
        <f>IFERROR(__xludf.DUMMYFUNCTION("""COMPUTED_VALUE"""),1.677676225726E12)</f>
        <v>1677676225726</v>
      </c>
      <c r="H282" s="26">
        <f t="shared" si="1"/>
        <v>27927</v>
      </c>
    </row>
    <row r="283">
      <c r="B283" s="26">
        <f>IFERROR(__xludf.DUMMYFUNCTION("""COMPUTED_VALUE"""),-0.524897547574467)</f>
        <v>-0.5248975476</v>
      </c>
      <c r="C283" s="26">
        <f>IFERROR(__xludf.DUMMYFUNCTION("""COMPUTED_VALUE"""),-0.25801616589377)</f>
        <v>-0.2580161659</v>
      </c>
      <c r="D283" s="26">
        <f>IFERROR(__xludf.DUMMYFUNCTION("""COMPUTED_VALUE"""),-0.411868819761538)</f>
        <v>-0.4118688198</v>
      </c>
      <c r="E283" s="26">
        <f>IFERROR(__xludf.DUMMYFUNCTION("""COMPUTED_VALUE"""),0.698766268501862)</f>
        <v>0.6987662685</v>
      </c>
      <c r="F283" s="26">
        <f>IFERROR(__xludf.DUMMYFUNCTION("""COMPUTED_VALUE"""),28.1)</f>
        <v>28.1</v>
      </c>
      <c r="G283" s="26">
        <f>IFERROR(__xludf.DUMMYFUNCTION("""COMPUTED_VALUE"""),1.677676225803E12)</f>
        <v>1677676225803</v>
      </c>
      <c r="H283" s="26">
        <f t="shared" si="1"/>
        <v>28004</v>
      </c>
    </row>
    <row r="284">
      <c r="B284" s="26">
        <f>IFERROR(__xludf.DUMMYFUNCTION("""COMPUTED_VALUE"""),-0.524897547574467)</f>
        <v>-0.5248975476</v>
      </c>
      <c r="C284" s="26">
        <f>IFERROR(__xludf.DUMMYFUNCTION("""COMPUTED_VALUE"""),-0.25801616589377)</f>
        <v>-0.2580161659</v>
      </c>
      <c r="D284" s="26">
        <f>IFERROR(__xludf.DUMMYFUNCTION("""COMPUTED_VALUE"""),-0.411868819761538)</f>
        <v>-0.4118688198</v>
      </c>
      <c r="E284" s="26">
        <f>IFERROR(__xludf.DUMMYFUNCTION("""COMPUTED_VALUE"""),0.698766268501862)</f>
        <v>0.6987662685</v>
      </c>
      <c r="F284" s="26">
        <f>IFERROR(__xludf.DUMMYFUNCTION("""COMPUTED_VALUE"""),28.2)</f>
        <v>28.2</v>
      </c>
      <c r="G284" s="26">
        <f>IFERROR(__xludf.DUMMYFUNCTION("""COMPUTED_VALUE"""),1.677676225893E12)</f>
        <v>1677676225893</v>
      </c>
      <c r="H284" s="26">
        <f t="shared" si="1"/>
        <v>28094</v>
      </c>
    </row>
    <row r="285">
      <c r="B285" s="26">
        <f>IFERROR(__xludf.DUMMYFUNCTION("""COMPUTED_VALUE"""),-0.524897547574467)</f>
        <v>-0.5248975476</v>
      </c>
      <c r="C285" s="26">
        <f>IFERROR(__xludf.DUMMYFUNCTION("""COMPUTED_VALUE"""),-0.25801616589377)</f>
        <v>-0.2580161659</v>
      </c>
      <c r="D285" s="26">
        <f>IFERROR(__xludf.DUMMYFUNCTION("""COMPUTED_VALUE"""),-0.411868819761538)</f>
        <v>-0.4118688198</v>
      </c>
      <c r="E285" s="26">
        <f>IFERROR(__xludf.DUMMYFUNCTION("""COMPUTED_VALUE"""),0.698766268501862)</f>
        <v>0.6987662685</v>
      </c>
      <c r="F285" s="26">
        <f>IFERROR(__xludf.DUMMYFUNCTION("""COMPUTED_VALUE"""),28.3)</f>
        <v>28.3</v>
      </c>
      <c r="G285" s="26">
        <f>IFERROR(__xludf.DUMMYFUNCTION("""COMPUTED_VALUE"""),1.677676225993E12)</f>
        <v>1677676225993</v>
      </c>
      <c r="H285" s="26">
        <f t="shared" si="1"/>
        <v>28194</v>
      </c>
    </row>
    <row r="286">
      <c r="B286" s="26">
        <f>IFERROR(__xludf.DUMMYFUNCTION("""COMPUTED_VALUE"""),-0.524897547574467)</f>
        <v>-0.5248975476</v>
      </c>
      <c r="C286" s="26">
        <f>IFERROR(__xludf.DUMMYFUNCTION("""COMPUTED_VALUE"""),-0.25801616589377)</f>
        <v>-0.2580161659</v>
      </c>
      <c r="D286" s="26">
        <f>IFERROR(__xludf.DUMMYFUNCTION("""COMPUTED_VALUE"""),-0.411868819761538)</f>
        <v>-0.4118688198</v>
      </c>
      <c r="E286" s="26">
        <f>IFERROR(__xludf.DUMMYFUNCTION("""COMPUTED_VALUE"""),0.698766268501862)</f>
        <v>0.6987662685</v>
      </c>
      <c r="F286" s="26">
        <f>IFERROR(__xludf.DUMMYFUNCTION("""COMPUTED_VALUE"""),28.4)</f>
        <v>28.4</v>
      </c>
      <c r="G286" s="26">
        <f>IFERROR(__xludf.DUMMYFUNCTION("""COMPUTED_VALUE"""),1.677676226094E12)</f>
        <v>1677676226094</v>
      </c>
      <c r="H286" s="26">
        <f t="shared" si="1"/>
        <v>28295</v>
      </c>
    </row>
    <row r="287">
      <c r="B287" s="26">
        <f>IFERROR(__xludf.DUMMYFUNCTION("""COMPUTED_VALUE"""),-0.524897547574467)</f>
        <v>-0.5248975476</v>
      </c>
      <c r="C287" s="26">
        <f>IFERROR(__xludf.DUMMYFUNCTION("""COMPUTED_VALUE"""),-0.25801616589377)</f>
        <v>-0.2580161659</v>
      </c>
      <c r="D287" s="26">
        <f>IFERROR(__xludf.DUMMYFUNCTION("""COMPUTED_VALUE"""),-0.411868819761538)</f>
        <v>-0.4118688198</v>
      </c>
      <c r="E287" s="26">
        <f>IFERROR(__xludf.DUMMYFUNCTION("""COMPUTED_VALUE"""),0.698766268501862)</f>
        <v>0.6987662685</v>
      </c>
      <c r="F287" s="26">
        <f>IFERROR(__xludf.DUMMYFUNCTION("""COMPUTED_VALUE"""),28.5)</f>
        <v>28.5</v>
      </c>
      <c r="G287" s="26">
        <f>IFERROR(__xludf.DUMMYFUNCTION("""COMPUTED_VALUE"""),1.677676226213E12)</f>
        <v>1677676226213</v>
      </c>
      <c r="H287" s="26">
        <f t="shared" si="1"/>
        <v>28414</v>
      </c>
    </row>
    <row r="288">
      <c r="B288" s="26">
        <f>IFERROR(__xludf.DUMMYFUNCTION("""COMPUTED_VALUE"""),-0.524897547574467)</f>
        <v>-0.5248975476</v>
      </c>
      <c r="C288" s="26">
        <f>IFERROR(__xludf.DUMMYFUNCTION("""COMPUTED_VALUE"""),-0.25801616589377)</f>
        <v>-0.2580161659</v>
      </c>
      <c r="D288" s="26">
        <f>IFERROR(__xludf.DUMMYFUNCTION("""COMPUTED_VALUE"""),-0.411868819761538)</f>
        <v>-0.4118688198</v>
      </c>
      <c r="E288" s="26">
        <f>IFERROR(__xludf.DUMMYFUNCTION("""COMPUTED_VALUE"""),0.698766268501862)</f>
        <v>0.6987662685</v>
      </c>
      <c r="F288" s="26">
        <f>IFERROR(__xludf.DUMMYFUNCTION("""COMPUTED_VALUE"""),28.6)</f>
        <v>28.6</v>
      </c>
      <c r="G288" s="26">
        <f>IFERROR(__xludf.DUMMYFUNCTION("""COMPUTED_VALUE"""),1.677676226293E12)</f>
        <v>1677676226293</v>
      </c>
      <c r="H288" s="26">
        <f t="shared" si="1"/>
        <v>28494</v>
      </c>
    </row>
    <row r="289">
      <c r="B289" s="26">
        <f>IFERROR(__xludf.DUMMYFUNCTION("""COMPUTED_VALUE"""),-0.524897547574467)</f>
        <v>-0.5248975476</v>
      </c>
      <c r="C289" s="26">
        <f>IFERROR(__xludf.DUMMYFUNCTION("""COMPUTED_VALUE"""),-0.25801616589377)</f>
        <v>-0.2580161659</v>
      </c>
      <c r="D289" s="26">
        <f>IFERROR(__xludf.DUMMYFUNCTION("""COMPUTED_VALUE"""),-0.411868819761538)</f>
        <v>-0.4118688198</v>
      </c>
      <c r="E289" s="26">
        <f>IFERROR(__xludf.DUMMYFUNCTION("""COMPUTED_VALUE"""),0.698766268501862)</f>
        <v>0.6987662685</v>
      </c>
      <c r="F289" s="26">
        <f>IFERROR(__xludf.DUMMYFUNCTION("""COMPUTED_VALUE"""),28.7)</f>
        <v>28.7</v>
      </c>
      <c r="G289" s="26">
        <f>IFERROR(__xludf.DUMMYFUNCTION("""COMPUTED_VALUE"""),1.677676226402E12)</f>
        <v>1677676226402</v>
      </c>
      <c r="H289" s="26">
        <f t="shared" si="1"/>
        <v>28603</v>
      </c>
    </row>
    <row r="290">
      <c r="B290" s="26">
        <f>IFERROR(__xludf.DUMMYFUNCTION("""COMPUTED_VALUE"""),-0.524897547574467)</f>
        <v>-0.5248975476</v>
      </c>
      <c r="C290" s="26">
        <f>IFERROR(__xludf.DUMMYFUNCTION("""COMPUTED_VALUE"""),-0.25801616589377)</f>
        <v>-0.2580161659</v>
      </c>
      <c r="D290" s="26">
        <f>IFERROR(__xludf.DUMMYFUNCTION("""COMPUTED_VALUE"""),-0.411868819761538)</f>
        <v>-0.4118688198</v>
      </c>
      <c r="E290" s="26">
        <f>IFERROR(__xludf.DUMMYFUNCTION("""COMPUTED_VALUE"""),0.698766268501862)</f>
        <v>0.6987662685</v>
      </c>
      <c r="F290" s="26">
        <f>IFERROR(__xludf.DUMMYFUNCTION("""COMPUTED_VALUE"""),28.8)</f>
        <v>28.8</v>
      </c>
      <c r="G290" s="26">
        <f>IFERROR(__xludf.DUMMYFUNCTION("""COMPUTED_VALUE"""),1.677676226514E12)</f>
        <v>1677676226514</v>
      </c>
      <c r="H290" s="26">
        <f t="shared" si="1"/>
        <v>28715</v>
      </c>
    </row>
    <row r="291">
      <c r="B291" s="26">
        <f>IFERROR(__xludf.DUMMYFUNCTION("""COMPUTED_VALUE"""),-0.524897547574467)</f>
        <v>-0.5248975476</v>
      </c>
      <c r="C291" s="26">
        <f>IFERROR(__xludf.DUMMYFUNCTION("""COMPUTED_VALUE"""),-0.25801616589377)</f>
        <v>-0.2580161659</v>
      </c>
      <c r="D291" s="26">
        <f>IFERROR(__xludf.DUMMYFUNCTION("""COMPUTED_VALUE"""),-0.411868819761538)</f>
        <v>-0.4118688198</v>
      </c>
      <c r="E291" s="26">
        <f>IFERROR(__xludf.DUMMYFUNCTION("""COMPUTED_VALUE"""),0.698766268501862)</f>
        <v>0.6987662685</v>
      </c>
      <c r="F291" s="26">
        <f>IFERROR(__xludf.DUMMYFUNCTION("""COMPUTED_VALUE"""),28.9)</f>
        <v>28.9</v>
      </c>
      <c r="G291" s="26">
        <f>IFERROR(__xludf.DUMMYFUNCTION("""COMPUTED_VALUE"""),1.677676226593E12)</f>
        <v>1677676226593</v>
      </c>
      <c r="H291" s="26">
        <f t="shared" si="1"/>
        <v>28794</v>
      </c>
    </row>
    <row r="292">
      <c r="B292" s="26">
        <f>IFERROR(__xludf.DUMMYFUNCTION("""COMPUTED_VALUE"""),-0.524897547574467)</f>
        <v>-0.5248975476</v>
      </c>
      <c r="C292" s="26">
        <f>IFERROR(__xludf.DUMMYFUNCTION("""COMPUTED_VALUE"""),-0.25801616589377)</f>
        <v>-0.2580161659</v>
      </c>
      <c r="D292" s="26">
        <f>IFERROR(__xludf.DUMMYFUNCTION("""COMPUTED_VALUE"""),-0.411868819761538)</f>
        <v>-0.4118688198</v>
      </c>
      <c r="E292" s="26">
        <f>IFERROR(__xludf.DUMMYFUNCTION("""COMPUTED_VALUE"""),0.698766268501862)</f>
        <v>0.6987662685</v>
      </c>
      <c r="F292" s="26">
        <f>IFERROR(__xludf.DUMMYFUNCTION("""COMPUTED_VALUE"""),29.0)</f>
        <v>29</v>
      </c>
      <c r="G292" s="26">
        <f>IFERROR(__xludf.DUMMYFUNCTION("""COMPUTED_VALUE"""),1.677676226693E12)</f>
        <v>1677676226693</v>
      </c>
      <c r="H292" s="26">
        <f t="shared" si="1"/>
        <v>28894</v>
      </c>
    </row>
    <row r="293">
      <c r="B293" s="26">
        <f>IFERROR(__xludf.DUMMYFUNCTION("""COMPUTED_VALUE"""),-0.524897547574467)</f>
        <v>-0.5248975476</v>
      </c>
      <c r="C293" s="26">
        <f>IFERROR(__xludf.DUMMYFUNCTION("""COMPUTED_VALUE"""),-0.25801616589377)</f>
        <v>-0.2580161659</v>
      </c>
      <c r="D293" s="26">
        <f>IFERROR(__xludf.DUMMYFUNCTION("""COMPUTED_VALUE"""),-0.411868819761538)</f>
        <v>-0.4118688198</v>
      </c>
      <c r="E293" s="26">
        <f>IFERROR(__xludf.DUMMYFUNCTION("""COMPUTED_VALUE"""),0.698766268501862)</f>
        <v>0.6987662685</v>
      </c>
      <c r="F293" s="26">
        <f>IFERROR(__xludf.DUMMYFUNCTION("""COMPUTED_VALUE"""),29.1)</f>
        <v>29.1</v>
      </c>
      <c r="G293" s="26">
        <f>IFERROR(__xludf.DUMMYFUNCTION("""COMPUTED_VALUE"""),1.677676226796E12)</f>
        <v>1677676226796</v>
      </c>
      <c r="H293" s="26">
        <f t="shared" si="1"/>
        <v>28997</v>
      </c>
    </row>
    <row r="294">
      <c r="B294" s="26">
        <f>IFERROR(__xludf.DUMMYFUNCTION("""COMPUTED_VALUE"""),-0.524897547574467)</f>
        <v>-0.5248975476</v>
      </c>
      <c r="C294" s="26">
        <f>IFERROR(__xludf.DUMMYFUNCTION("""COMPUTED_VALUE"""),-0.25801616589377)</f>
        <v>-0.2580161659</v>
      </c>
      <c r="D294" s="26">
        <f>IFERROR(__xludf.DUMMYFUNCTION("""COMPUTED_VALUE"""),-0.411868819761538)</f>
        <v>-0.4118688198</v>
      </c>
      <c r="E294" s="26">
        <f>IFERROR(__xludf.DUMMYFUNCTION("""COMPUTED_VALUE"""),0.698766268501862)</f>
        <v>0.6987662685</v>
      </c>
      <c r="F294" s="26">
        <f>IFERROR(__xludf.DUMMYFUNCTION("""COMPUTED_VALUE"""),29.2)</f>
        <v>29.2</v>
      </c>
      <c r="G294" s="26">
        <f>IFERROR(__xludf.DUMMYFUNCTION("""COMPUTED_VALUE"""),1.677676226914E12)</f>
        <v>1677676226914</v>
      </c>
      <c r="H294" s="26">
        <f t="shared" si="1"/>
        <v>29115</v>
      </c>
    </row>
    <row r="295">
      <c r="B295" s="26">
        <f>IFERROR(__xludf.DUMMYFUNCTION("""COMPUTED_VALUE"""),-0.524897547574467)</f>
        <v>-0.5248975476</v>
      </c>
      <c r="C295" s="26">
        <f>IFERROR(__xludf.DUMMYFUNCTION("""COMPUTED_VALUE"""),-0.25801616589377)</f>
        <v>-0.2580161659</v>
      </c>
      <c r="D295" s="26">
        <f>IFERROR(__xludf.DUMMYFUNCTION("""COMPUTED_VALUE"""),-0.411868819761538)</f>
        <v>-0.4118688198</v>
      </c>
      <c r="E295" s="26">
        <f>IFERROR(__xludf.DUMMYFUNCTION("""COMPUTED_VALUE"""),0.698766268501862)</f>
        <v>0.6987662685</v>
      </c>
      <c r="F295" s="26">
        <f>IFERROR(__xludf.DUMMYFUNCTION("""COMPUTED_VALUE"""),29.3)</f>
        <v>29.3</v>
      </c>
      <c r="G295" s="26">
        <f>IFERROR(__xludf.DUMMYFUNCTION("""COMPUTED_VALUE"""),1.677676227003E12)</f>
        <v>1677676227003</v>
      </c>
      <c r="H295" s="26">
        <f t="shared" si="1"/>
        <v>29204</v>
      </c>
    </row>
    <row r="296">
      <c r="B296" s="26">
        <f>IFERROR(__xludf.DUMMYFUNCTION("""COMPUTED_VALUE"""),-0.524897547574467)</f>
        <v>-0.5248975476</v>
      </c>
      <c r="C296" s="26">
        <f>IFERROR(__xludf.DUMMYFUNCTION("""COMPUTED_VALUE"""),-0.25801616589377)</f>
        <v>-0.2580161659</v>
      </c>
      <c r="D296" s="26">
        <f>IFERROR(__xludf.DUMMYFUNCTION("""COMPUTED_VALUE"""),-0.411868819761538)</f>
        <v>-0.4118688198</v>
      </c>
      <c r="E296" s="26">
        <f>IFERROR(__xludf.DUMMYFUNCTION("""COMPUTED_VALUE"""),0.698766268501862)</f>
        <v>0.6987662685</v>
      </c>
      <c r="F296" s="26">
        <f>IFERROR(__xludf.DUMMYFUNCTION("""COMPUTED_VALUE"""),29.4)</f>
        <v>29.4</v>
      </c>
      <c r="G296" s="26">
        <f>IFERROR(__xludf.DUMMYFUNCTION("""COMPUTED_VALUE"""),1.677676227097E12)</f>
        <v>1677676227097</v>
      </c>
      <c r="H296" s="26">
        <f t="shared" si="1"/>
        <v>29298</v>
      </c>
    </row>
    <row r="297">
      <c r="B297" s="26">
        <f>IFERROR(__xludf.DUMMYFUNCTION("""COMPUTED_VALUE"""),-0.524897547574467)</f>
        <v>-0.5248975476</v>
      </c>
      <c r="C297" s="26">
        <f>IFERROR(__xludf.DUMMYFUNCTION("""COMPUTED_VALUE"""),-0.25801616589377)</f>
        <v>-0.2580161659</v>
      </c>
      <c r="D297" s="26">
        <f>IFERROR(__xludf.DUMMYFUNCTION("""COMPUTED_VALUE"""),-0.411868819761538)</f>
        <v>-0.4118688198</v>
      </c>
      <c r="E297" s="26">
        <f>IFERROR(__xludf.DUMMYFUNCTION("""COMPUTED_VALUE"""),0.698766268501862)</f>
        <v>0.6987662685</v>
      </c>
      <c r="F297" s="26">
        <f>IFERROR(__xludf.DUMMYFUNCTION("""COMPUTED_VALUE"""),29.5)</f>
        <v>29.5</v>
      </c>
      <c r="G297" s="26">
        <f>IFERROR(__xludf.DUMMYFUNCTION("""COMPUTED_VALUE"""),1.677676227191E12)</f>
        <v>1677676227191</v>
      </c>
      <c r="H297" s="26">
        <f t="shared" si="1"/>
        <v>29392</v>
      </c>
    </row>
    <row r="298">
      <c r="B298" s="26">
        <f>IFERROR(__xludf.DUMMYFUNCTION("""COMPUTED_VALUE"""),-0.524897547574467)</f>
        <v>-0.5248975476</v>
      </c>
      <c r="C298" s="26">
        <f>IFERROR(__xludf.DUMMYFUNCTION("""COMPUTED_VALUE"""),-0.25801616589377)</f>
        <v>-0.2580161659</v>
      </c>
      <c r="D298" s="26">
        <f>IFERROR(__xludf.DUMMYFUNCTION("""COMPUTED_VALUE"""),-0.411868819761538)</f>
        <v>-0.4118688198</v>
      </c>
      <c r="E298" s="26">
        <f>IFERROR(__xludf.DUMMYFUNCTION("""COMPUTED_VALUE"""),0.698766268501862)</f>
        <v>0.6987662685</v>
      </c>
      <c r="F298" s="26">
        <f>IFERROR(__xludf.DUMMYFUNCTION("""COMPUTED_VALUE"""),29.6)</f>
        <v>29.6</v>
      </c>
      <c r="G298" s="26">
        <f>IFERROR(__xludf.DUMMYFUNCTION("""COMPUTED_VALUE"""),1.677676227294E12)</f>
        <v>1677676227294</v>
      </c>
      <c r="H298" s="26">
        <f t="shared" si="1"/>
        <v>29495</v>
      </c>
    </row>
    <row r="299">
      <c r="B299" s="26">
        <f>IFERROR(__xludf.DUMMYFUNCTION("""COMPUTED_VALUE"""),-0.524897547574467)</f>
        <v>-0.5248975476</v>
      </c>
      <c r="C299" s="26">
        <f>IFERROR(__xludf.DUMMYFUNCTION("""COMPUTED_VALUE"""),-0.25801616589377)</f>
        <v>-0.2580161659</v>
      </c>
      <c r="D299" s="26">
        <f>IFERROR(__xludf.DUMMYFUNCTION("""COMPUTED_VALUE"""),-0.411868819761538)</f>
        <v>-0.4118688198</v>
      </c>
      <c r="E299" s="26">
        <f>IFERROR(__xludf.DUMMYFUNCTION("""COMPUTED_VALUE"""),0.698766268501862)</f>
        <v>0.6987662685</v>
      </c>
      <c r="F299" s="26">
        <f>IFERROR(__xludf.DUMMYFUNCTION("""COMPUTED_VALUE"""),29.7)</f>
        <v>29.7</v>
      </c>
      <c r="G299" s="26">
        <f>IFERROR(__xludf.DUMMYFUNCTION("""COMPUTED_VALUE"""),1.677676227395E12)</f>
        <v>1677676227395</v>
      </c>
      <c r="H299" s="26">
        <f t="shared" si="1"/>
        <v>29596</v>
      </c>
    </row>
    <row r="300">
      <c r="B300" s="26">
        <f>IFERROR(__xludf.DUMMYFUNCTION("""COMPUTED_VALUE"""),-0.524897547574467)</f>
        <v>-0.5248975476</v>
      </c>
      <c r="C300" s="26">
        <f>IFERROR(__xludf.DUMMYFUNCTION("""COMPUTED_VALUE"""),-0.25801616589377)</f>
        <v>-0.2580161659</v>
      </c>
      <c r="D300" s="26">
        <f>IFERROR(__xludf.DUMMYFUNCTION("""COMPUTED_VALUE"""),-0.411868819761538)</f>
        <v>-0.4118688198</v>
      </c>
      <c r="E300" s="26">
        <f>IFERROR(__xludf.DUMMYFUNCTION("""COMPUTED_VALUE"""),0.698766268501862)</f>
        <v>0.6987662685</v>
      </c>
      <c r="F300" s="26">
        <f>IFERROR(__xludf.DUMMYFUNCTION("""COMPUTED_VALUE"""),29.8)</f>
        <v>29.8</v>
      </c>
      <c r="G300" s="26">
        <f>IFERROR(__xludf.DUMMYFUNCTION("""COMPUTED_VALUE"""),1.677676227497E12)</f>
        <v>1677676227497</v>
      </c>
      <c r="H300" s="26">
        <f t="shared" si="1"/>
        <v>29698</v>
      </c>
    </row>
    <row r="301">
      <c r="B301" s="26">
        <f>IFERROR(__xludf.DUMMYFUNCTION("""COMPUTED_VALUE"""),-0.524897547574467)</f>
        <v>-0.5248975476</v>
      </c>
      <c r="C301" s="26">
        <f>IFERROR(__xludf.DUMMYFUNCTION("""COMPUTED_VALUE"""),-0.25801616589377)</f>
        <v>-0.2580161659</v>
      </c>
      <c r="D301" s="26">
        <f>IFERROR(__xludf.DUMMYFUNCTION("""COMPUTED_VALUE"""),-0.411868819761538)</f>
        <v>-0.4118688198</v>
      </c>
      <c r="E301" s="26">
        <f>IFERROR(__xludf.DUMMYFUNCTION("""COMPUTED_VALUE"""),0.698766268501862)</f>
        <v>0.6987662685</v>
      </c>
      <c r="F301" s="26">
        <f>IFERROR(__xludf.DUMMYFUNCTION("""COMPUTED_VALUE"""),29.9)</f>
        <v>29.9</v>
      </c>
      <c r="G301" s="26">
        <f>IFERROR(__xludf.DUMMYFUNCTION("""COMPUTED_VALUE"""),1.677676227598E12)</f>
        <v>1677676227598</v>
      </c>
      <c r="H301" s="26">
        <f t="shared" si="1"/>
        <v>29799</v>
      </c>
    </row>
    <row r="302">
      <c r="B302" s="26">
        <f>IFERROR(__xludf.DUMMYFUNCTION("""COMPUTED_VALUE"""),-0.524897547574467)</f>
        <v>-0.5248975476</v>
      </c>
      <c r="C302" s="26">
        <f>IFERROR(__xludf.DUMMYFUNCTION("""COMPUTED_VALUE"""),-0.25801616589377)</f>
        <v>-0.2580161659</v>
      </c>
      <c r="D302" s="26">
        <f>IFERROR(__xludf.DUMMYFUNCTION("""COMPUTED_VALUE"""),-0.411868819761538)</f>
        <v>-0.4118688198</v>
      </c>
      <c r="E302" s="26">
        <f>IFERROR(__xludf.DUMMYFUNCTION("""COMPUTED_VALUE"""),0.698766268501862)</f>
        <v>0.6987662685</v>
      </c>
      <c r="F302" s="26">
        <f>IFERROR(__xludf.DUMMYFUNCTION("""COMPUTED_VALUE"""),30.0)</f>
        <v>30</v>
      </c>
      <c r="G302" s="26">
        <f>IFERROR(__xludf.DUMMYFUNCTION("""COMPUTED_VALUE"""),1.677676227696E12)</f>
        <v>1677676227696</v>
      </c>
      <c r="H302" s="26">
        <f t="shared" si="1"/>
        <v>29897</v>
      </c>
    </row>
    <row r="303">
      <c r="B303" s="26">
        <f>IFERROR(__xludf.DUMMYFUNCTION("""COMPUTED_VALUE"""),-0.524897547574467)</f>
        <v>-0.5248975476</v>
      </c>
      <c r="C303" s="26">
        <f>IFERROR(__xludf.DUMMYFUNCTION("""COMPUTED_VALUE"""),-0.25801616589377)</f>
        <v>-0.2580161659</v>
      </c>
      <c r="D303" s="26">
        <f>IFERROR(__xludf.DUMMYFUNCTION("""COMPUTED_VALUE"""),-0.411868819761538)</f>
        <v>-0.4118688198</v>
      </c>
      <c r="E303" s="26">
        <f>IFERROR(__xludf.DUMMYFUNCTION("""COMPUTED_VALUE"""),0.698766268501862)</f>
        <v>0.6987662685</v>
      </c>
      <c r="F303" s="26">
        <f>IFERROR(__xludf.DUMMYFUNCTION("""COMPUTED_VALUE"""),30.1)</f>
        <v>30.1</v>
      </c>
      <c r="G303" s="26">
        <f>IFERROR(__xludf.DUMMYFUNCTION("""COMPUTED_VALUE"""),1.677676227798E12)</f>
        <v>1677676227798</v>
      </c>
      <c r="H303" s="26">
        <f t="shared" si="1"/>
        <v>29999</v>
      </c>
    </row>
    <row r="304">
      <c r="B304" s="26">
        <f>IFERROR(__xludf.DUMMYFUNCTION("""COMPUTED_VALUE"""),-0.524897547574467)</f>
        <v>-0.5248975476</v>
      </c>
      <c r="C304" s="26">
        <f>IFERROR(__xludf.DUMMYFUNCTION("""COMPUTED_VALUE"""),-0.25801616589377)</f>
        <v>-0.2580161659</v>
      </c>
      <c r="D304" s="26">
        <f>IFERROR(__xludf.DUMMYFUNCTION("""COMPUTED_VALUE"""),-0.411868819761538)</f>
        <v>-0.4118688198</v>
      </c>
      <c r="E304" s="26">
        <f>IFERROR(__xludf.DUMMYFUNCTION("""COMPUTED_VALUE"""),0.698766268501862)</f>
        <v>0.6987662685</v>
      </c>
      <c r="F304" s="26">
        <f>IFERROR(__xludf.DUMMYFUNCTION("""COMPUTED_VALUE"""),30.2)</f>
        <v>30.2</v>
      </c>
      <c r="G304" s="26">
        <f>IFERROR(__xludf.DUMMYFUNCTION("""COMPUTED_VALUE"""),1.677676227897E12)</f>
        <v>1677676227897</v>
      </c>
      <c r="H304" s="26">
        <f t="shared" si="1"/>
        <v>30098</v>
      </c>
    </row>
    <row r="305">
      <c r="B305" s="26">
        <f>IFERROR(__xludf.DUMMYFUNCTION("""COMPUTED_VALUE"""),-0.524897547574467)</f>
        <v>-0.5248975476</v>
      </c>
      <c r="C305" s="26">
        <f>IFERROR(__xludf.DUMMYFUNCTION("""COMPUTED_VALUE"""),-0.25801616589377)</f>
        <v>-0.2580161659</v>
      </c>
      <c r="D305" s="26">
        <f>IFERROR(__xludf.DUMMYFUNCTION("""COMPUTED_VALUE"""),-0.411868819761538)</f>
        <v>-0.4118688198</v>
      </c>
      <c r="E305" s="26">
        <f>IFERROR(__xludf.DUMMYFUNCTION("""COMPUTED_VALUE"""),0.698766268501862)</f>
        <v>0.6987662685</v>
      </c>
      <c r="F305" s="26">
        <f>IFERROR(__xludf.DUMMYFUNCTION("""COMPUTED_VALUE"""),30.3)</f>
        <v>30.3</v>
      </c>
      <c r="G305" s="26">
        <f>IFERROR(__xludf.DUMMYFUNCTION("""COMPUTED_VALUE"""),1.677676227997E12)</f>
        <v>1677676227997</v>
      </c>
      <c r="H305" s="26">
        <f t="shared" si="1"/>
        <v>30198</v>
      </c>
    </row>
    <row r="306">
      <c r="B306" s="26">
        <f>IFERROR(__xludf.DUMMYFUNCTION("""COMPUTED_VALUE"""),-0.524897547574467)</f>
        <v>-0.5248975476</v>
      </c>
      <c r="C306" s="26">
        <f>IFERROR(__xludf.DUMMYFUNCTION("""COMPUTED_VALUE"""),-0.25801616589377)</f>
        <v>-0.2580161659</v>
      </c>
      <c r="D306" s="26">
        <f>IFERROR(__xludf.DUMMYFUNCTION("""COMPUTED_VALUE"""),-0.411868819761538)</f>
        <v>-0.4118688198</v>
      </c>
      <c r="E306" s="26">
        <f>IFERROR(__xludf.DUMMYFUNCTION("""COMPUTED_VALUE"""),0.698766268501862)</f>
        <v>0.6987662685</v>
      </c>
      <c r="F306" s="26">
        <f>IFERROR(__xludf.DUMMYFUNCTION("""COMPUTED_VALUE"""),30.4)</f>
        <v>30.4</v>
      </c>
      <c r="G306" s="26">
        <f>IFERROR(__xludf.DUMMYFUNCTION("""COMPUTED_VALUE"""),1.677676228098E12)</f>
        <v>1677676228098</v>
      </c>
      <c r="H306" s="26">
        <f t="shared" si="1"/>
        <v>30299</v>
      </c>
    </row>
    <row r="307">
      <c r="B307" s="26">
        <f>IFERROR(__xludf.DUMMYFUNCTION("""COMPUTED_VALUE"""),-0.524897547574467)</f>
        <v>-0.5248975476</v>
      </c>
      <c r="C307" s="26">
        <f>IFERROR(__xludf.DUMMYFUNCTION("""COMPUTED_VALUE"""),-0.25801616589377)</f>
        <v>-0.2580161659</v>
      </c>
      <c r="D307" s="26">
        <f>IFERROR(__xludf.DUMMYFUNCTION("""COMPUTED_VALUE"""),-0.411868819761538)</f>
        <v>-0.4118688198</v>
      </c>
      <c r="E307" s="26">
        <f>IFERROR(__xludf.DUMMYFUNCTION("""COMPUTED_VALUE"""),0.698766268501862)</f>
        <v>0.6987662685</v>
      </c>
      <c r="F307" s="26">
        <f>IFERROR(__xludf.DUMMYFUNCTION("""COMPUTED_VALUE"""),30.5)</f>
        <v>30.5</v>
      </c>
      <c r="G307" s="26">
        <f>IFERROR(__xludf.DUMMYFUNCTION("""COMPUTED_VALUE"""),1.677676228199E12)</f>
        <v>1677676228199</v>
      </c>
      <c r="H307" s="26">
        <f t="shared" si="1"/>
        <v>30400</v>
      </c>
    </row>
    <row r="308">
      <c r="B308" s="26">
        <f>IFERROR(__xludf.DUMMYFUNCTION("""COMPUTED_VALUE"""),-0.524897547574467)</f>
        <v>-0.5248975476</v>
      </c>
      <c r="C308" s="26">
        <f>IFERROR(__xludf.DUMMYFUNCTION("""COMPUTED_VALUE"""),-0.25801616589377)</f>
        <v>-0.2580161659</v>
      </c>
      <c r="D308" s="26">
        <f>IFERROR(__xludf.DUMMYFUNCTION("""COMPUTED_VALUE"""),-0.411868819761538)</f>
        <v>-0.4118688198</v>
      </c>
      <c r="E308" s="26">
        <f>IFERROR(__xludf.DUMMYFUNCTION("""COMPUTED_VALUE"""),0.698766268501862)</f>
        <v>0.6987662685</v>
      </c>
      <c r="F308" s="26">
        <f>IFERROR(__xludf.DUMMYFUNCTION("""COMPUTED_VALUE"""),30.6)</f>
        <v>30.6</v>
      </c>
      <c r="G308" s="26">
        <f>IFERROR(__xludf.DUMMYFUNCTION("""COMPUTED_VALUE"""),1.677676228298E12)</f>
        <v>1677676228298</v>
      </c>
      <c r="H308" s="26">
        <f t="shared" si="1"/>
        <v>30499</v>
      </c>
    </row>
    <row r="309">
      <c r="B309" s="26">
        <f>IFERROR(__xludf.DUMMYFUNCTION("""COMPUTED_VALUE"""),-0.524897547574467)</f>
        <v>-0.5248975476</v>
      </c>
      <c r="C309" s="26">
        <f>IFERROR(__xludf.DUMMYFUNCTION("""COMPUTED_VALUE"""),-0.25801616589377)</f>
        <v>-0.2580161659</v>
      </c>
      <c r="D309" s="26">
        <f>IFERROR(__xludf.DUMMYFUNCTION("""COMPUTED_VALUE"""),-0.411868819761538)</f>
        <v>-0.4118688198</v>
      </c>
      <c r="E309" s="26">
        <f>IFERROR(__xludf.DUMMYFUNCTION("""COMPUTED_VALUE"""),0.698766268501862)</f>
        <v>0.6987662685</v>
      </c>
      <c r="F309" s="26">
        <f>IFERROR(__xludf.DUMMYFUNCTION("""COMPUTED_VALUE"""),30.7)</f>
        <v>30.7</v>
      </c>
      <c r="G309" s="26">
        <f>IFERROR(__xludf.DUMMYFUNCTION("""COMPUTED_VALUE"""),1.677676228397E12)</f>
        <v>1677676228397</v>
      </c>
      <c r="H309" s="26">
        <f t="shared" si="1"/>
        <v>30598</v>
      </c>
    </row>
    <row r="310">
      <c r="B310" s="26">
        <f>IFERROR(__xludf.DUMMYFUNCTION("""COMPUTED_VALUE"""),-0.524897547574467)</f>
        <v>-0.5248975476</v>
      </c>
      <c r="C310" s="26">
        <f>IFERROR(__xludf.DUMMYFUNCTION("""COMPUTED_VALUE"""),-0.25801616589377)</f>
        <v>-0.2580161659</v>
      </c>
      <c r="D310" s="26">
        <f>IFERROR(__xludf.DUMMYFUNCTION("""COMPUTED_VALUE"""),-0.411868819761538)</f>
        <v>-0.4118688198</v>
      </c>
      <c r="E310" s="26">
        <f>IFERROR(__xludf.DUMMYFUNCTION("""COMPUTED_VALUE"""),0.698766268501862)</f>
        <v>0.6987662685</v>
      </c>
      <c r="F310" s="26">
        <f>IFERROR(__xludf.DUMMYFUNCTION("""COMPUTED_VALUE"""),30.8)</f>
        <v>30.8</v>
      </c>
      <c r="G310" s="26">
        <f>IFERROR(__xludf.DUMMYFUNCTION("""COMPUTED_VALUE"""),1.677676228496E12)</f>
        <v>1677676228496</v>
      </c>
      <c r="H310" s="26">
        <f t="shared" si="1"/>
        <v>30697</v>
      </c>
    </row>
    <row r="311">
      <c r="B311" s="26">
        <f>IFERROR(__xludf.DUMMYFUNCTION("""COMPUTED_VALUE"""),-0.524897547574467)</f>
        <v>-0.5248975476</v>
      </c>
      <c r="C311" s="26">
        <f>IFERROR(__xludf.DUMMYFUNCTION("""COMPUTED_VALUE"""),-0.25801616589377)</f>
        <v>-0.2580161659</v>
      </c>
      <c r="D311" s="26">
        <f>IFERROR(__xludf.DUMMYFUNCTION("""COMPUTED_VALUE"""),-0.411868819761538)</f>
        <v>-0.4118688198</v>
      </c>
      <c r="E311" s="26">
        <f>IFERROR(__xludf.DUMMYFUNCTION("""COMPUTED_VALUE"""),0.698766268501862)</f>
        <v>0.6987662685</v>
      </c>
      <c r="F311" s="26">
        <f>IFERROR(__xludf.DUMMYFUNCTION("""COMPUTED_VALUE"""),30.9)</f>
        <v>30.9</v>
      </c>
      <c r="G311" s="26">
        <f>IFERROR(__xludf.DUMMYFUNCTION("""COMPUTED_VALUE"""),1.677676228596E12)</f>
        <v>1677676228596</v>
      </c>
      <c r="H311" s="26">
        <f t="shared" si="1"/>
        <v>30797</v>
      </c>
    </row>
    <row r="312">
      <c r="B312" s="26">
        <f>IFERROR(__xludf.DUMMYFUNCTION("""COMPUTED_VALUE"""),-0.524897547574467)</f>
        <v>-0.5248975476</v>
      </c>
      <c r="C312" s="26">
        <f>IFERROR(__xludf.DUMMYFUNCTION("""COMPUTED_VALUE"""),-0.25801616589377)</f>
        <v>-0.2580161659</v>
      </c>
      <c r="D312" s="26">
        <f>IFERROR(__xludf.DUMMYFUNCTION("""COMPUTED_VALUE"""),-0.411868819761538)</f>
        <v>-0.4118688198</v>
      </c>
      <c r="E312" s="26">
        <f>IFERROR(__xludf.DUMMYFUNCTION("""COMPUTED_VALUE"""),0.698766268501862)</f>
        <v>0.6987662685</v>
      </c>
      <c r="F312" s="26">
        <f>IFERROR(__xludf.DUMMYFUNCTION("""COMPUTED_VALUE"""),31.0)</f>
        <v>31</v>
      </c>
      <c r="G312" s="26">
        <f>IFERROR(__xludf.DUMMYFUNCTION("""COMPUTED_VALUE"""),1.677676228695E12)</f>
        <v>1677676228695</v>
      </c>
      <c r="H312" s="26">
        <f t="shared" si="1"/>
        <v>30896</v>
      </c>
    </row>
    <row r="313">
      <c r="B313" s="26">
        <f>IFERROR(__xludf.DUMMYFUNCTION("""COMPUTED_VALUE"""),-0.524897547574467)</f>
        <v>-0.5248975476</v>
      </c>
      <c r="C313" s="26">
        <f>IFERROR(__xludf.DUMMYFUNCTION("""COMPUTED_VALUE"""),-0.25801616589377)</f>
        <v>-0.2580161659</v>
      </c>
      <c r="D313" s="26">
        <f>IFERROR(__xludf.DUMMYFUNCTION("""COMPUTED_VALUE"""),-0.411868819761538)</f>
        <v>-0.4118688198</v>
      </c>
      <c r="E313" s="26">
        <f>IFERROR(__xludf.DUMMYFUNCTION("""COMPUTED_VALUE"""),0.698766268501862)</f>
        <v>0.6987662685</v>
      </c>
      <c r="F313" s="26">
        <f>IFERROR(__xludf.DUMMYFUNCTION("""COMPUTED_VALUE"""),31.1)</f>
        <v>31.1</v>
      </c>
      <c r="G313" s="26">
        <f>IFERROR(__xludf.DUMMYFUNCTION("""COMPUTED_VALUE"""),1.677676228795E12)</f>
        <v>1677676228795</v>
      </c>
      <c r="H313" s="26">
        <f t="shared" si="1"/>
        <v>30996</v>
      </c>
    </row>
    <row r="314">
      <c r="B314" s="26">
        <f>IFERROR(__xludf.DUMMYFUNCTION("""COMPUTED_VALUE"""),-0.524897547574467)</f>
        <v>-0.5248975476</v>
      </c>
      <c r="C314" s="26">
        <f>IFERROR(__xludf.DUMMYFUNCTION("""COMPUTED_VALUE"""),-0.25801616589377)</f>
        <v>-0.2580161659</v>
      </c>
      <c r="D314" s="26">
        <f>IFERROR(__xludf.DUMMYFUNCTION("""COMPUTED_VALUE"""),-0.411868819761538)</f>
        <v>-0.4118688198</v>
      </c>
      <c r="E314" s="26">
        <f>IFERROR(__xludf.DUMMYFUNCTION("""COMPUTED_VALUE"""),0.698766268501862)</f>
        <v>0.6987662685</v>
      </c>
      <c r="F314" s="26">
        <f>IFERROR(__xludf.DUMMYFUNCTION("""COMPUTED_VALUE"""),31.2)</f>
        <v>31.2</v>
      </c>
      <c r="G314" s="26">
        <f>IFERROR(__xludf.DUMMYFUNCTION("""COMPUTED_VALUE"""),1.677676228896E12)</f>
        <v>1677676228896</v>
      </c>
      <c r="H314" s="26">
        <f t="shared" si="1"/>
        <v>31097</v>
      </c>
    </row>
    <row r="315">
      <c r="B315" s="26">
        <f>IFERROR(__xludf.DUMMYFUNCTION("""COMPUTED_VALUE"""),-0.524897547574467)</f>
        <v>-0.5248975476</v>
      </c>
      <c r="C315" s="26">
        <f>IFERROR(__xludf.DUMMYFUNCTION("""COMPUTED_VALUE"""),-0.25801616589377)</f>
        <v>-0.2580161659</v>
      </c>
      <c r="D315" s="26">
        <f>IFERROR(__xludf.DUMMYFUNCTION("""COMPUTED_VALUE"""),-0.411868819761538)</f>
        <v>-0.4118688198</v>
      </c>
      <c r="E315" s="26">
        <f>IFERROR(__xludf.DUMMYFUNCTION("""COMPUTED_VALUE"""),0.698766268501862)</f>
        <v>0.6987662685</v>
      </c>
      <c r="F315" s="26">
        <f>IFERROR(__xludf.DUMMYFUNCTION("""COMPUTED_VALUE"""),31.3)</f>
        <v>31.3</v>
      </c>
      <c r="G315" s="26">
        <f>IFERROR(__xludf.DUMMYFUNCTION("""COMPUTED_VALUE"""),1.677676228998E12)</f>
        <v>1677676228998</v>
      </c>
      <c r="H315" s="26">
        <f t="shared" si="1"/>
        <v>31199</v>
      </c>
    </row>
    <row r="316">
      <c r="B316" s="26">
        <f>IFERROR(__xludf.DUMMYFUNCTION("""COMPUTED_VALUE"""),-0.524897547574467)</f>
        <v>-0.5248975476</v>
      </c>
      <c r="C316" s="26">
        <f>IFERROR(__xludf.DUMMYFUNCTION("""COMPUTED_VALUE"""),-0.25801616589377)</f>
        <v>-0.2580161659</v>
      </c>
      <c r="D316" s="26">
        <f>IFERROR(__xludf.DUMMYFUNCTION("""COMPUTED_VALUE"""),-0.411868819761538)</f>
        <v>-0.4118688198</v>
      </c>
      <c r="E316" s="26">
        <f>IFERROR(__xludf.DUMMYFUNCTION("""COMPUTED_VALUE"""),0.698766268501862)</f>
        <v>0.6987662685</v>
      </c>
      <c r="F316" s="26">
        <f>IFERROR(__xludf.DUMMYFUNCTION("""COMPUTED_VALUE"""),31.4)</f>
        <v>31.4</v>
      </c>
      <c r="G316" s="26">
        <f>IFERROR(__xludf.DUMMYFUNCTION("""COMPUTED_VALUE"""),1.677676229095E12)</f>
        <v>1677676229095</v>
      </c>
      <c r="H316" s="26">
        <f t="shared" si="1"/>
        <v>31296</v>
      </c>
    </row>
    <row r="317">
      <c r="B317" s="26">
        <f>IFERROR(__xludf.DUMMYFUNCTION("""COMPUTED_VALUE"""),-0.524897547574467)</f>
        <v>-0.5248975476</v>
      </c>
      <c r="C317" s="26">
        <f>IFERROR(__xludf.DUMMYFUNCTION("""COMPUTED_VALUE"""),-0.25801616589377)</f>
        <v>-0.2580161659</v>
      </c>
      <c r="D317" s="26">
        <f>IFERROR(__xludf.DUMMYFUNCTION("""COMPUTED_VALUE"""),-0.411868819761538)</f>
        <v>-0.4118688198</v>
      </c>
      <c r="E317" s="26">
        <f>IFERROR(__xludf.DUMMYFUNCTION("""COMPUTED_VALUE"""),0.698766268501862)</f>
        <v>0.6987662685</v>
      </c>
      <c r="F317" s="26">
        <f>IFERROR(__xludf.DUMMYFUNCTION("""COMPUTED_VALUE"""),31.5)</f>
        <v>31.5</v>
      </c>
      <c r="G317" s="26">
        <f>IFERROR(__xludf.DUMMYFUNCTION("""COMPUTED_VALUE"""),1.677676229197E12)</f>
        <v>1677676229197</v>
      </c>
      <c r="H317" s="26">
        <f t="shared" si="1"/>
        <v>31398</v>
      </c>
    </row>
    <row r="318">
      <c r="B318" s="26">
        <f>IFERROR(__xludf.DUMMYFUNCTION("""COMPUTED_VALUE"""),-0.524897547574467)</f>
        <v>-0.5248975476</v>
      </c>
      <c r="C318" s="26">
        <f>IFERROR(__xludf.DUMMYFUNCTION("""COMPUTED_VALUE"""),-0.25801616589377)</f>
        <v>-0.2580161659</v>
      </c>
      <c r="D318" s="26">
        <f>IFERROR(__xludf.DUMMYFUNCTION("""COMPUTED_VALUE"""),-0.411868819761538)</f>
        <v>-0.4118688198</v>
      </c>
      <c r="E318" s="26">
        <f>IFERROR(__xludf.DUMMYFUNCTION("""COMPUTED_VALUE"""),0.698766268501862)</f>
        <v>0.6987662685</v>
      </c>
      <c r="F318" s="26">
        <f>IFERROR(__xludf.DUMMYFUNCTION("""COMPUTED_VALUE"""),31.6)</f>
        <v>31.6</v>
      </c>
      <c r="G318" s="26">
        <f>IFERROR(__xludf.DUMMYFUNCTION("""COMPUTED_VALUE"""),1.677676229297E12)</f>
        <v>1677676229297</v>
      </c>
      <c r="H318" s="26">
        <f t="shared" si="1"/>
        <v>31498</v>
      </c>
    </row>
    <row r="319">
      <c r="B319" s="26">
        <f>IFERROR(__xludf.DUMMYFUNCTION("""COMPUTED_VALUE"""),-0.524897547574467)</f>
        <v>-0.5248975476</v>
      </c>
      <c r="C319" s="26">
        <f>IFERROR(__xludf.DUMMYFUNCTION("""COMPUTED_VALUE"""),-0.25801616589377)</f>
        <v>-0.2580161659</v>
      </c>
      <c r="D319" s="26">
        <f>IFERROR(__xludf.DUMMYFUNCTION("""COMPUTED_VALUE"""),-0.411868819761538)</f>
        <v>-0.4118688198</v>
      </c>
      <c r="E319" s="26">
        <f>IFERROR(__xludf.DUMMYFUNCTION("""COMPUTED_VALUE"""),0.698766268501862)</f>
        <v>0.6987662685</v>
      </c>
      <c r="F319" s="26">
        <f>IFERROR(__xludf.DUMMYFUNCTION("""COMPUTED_VALUE"""),31.7)</f>
        <v>31.7</v>
      </c>
      <c r="G319" s="26">
        <f>IFERROR(__xludf.DUMMYFUNCTION("""COMPUTED_VALUE"""),1.677676229396E12)</f>
        <v>1677676229396</v>
      </c>
      <c r="H319" s="26">
        <f t="shared" si="1"/>
        <v>31597</v>
      </c>
    </row>
    <row r="320">
      <c r="B320" s="26">
        <f>IFERROR(__xludf.DUMMYFUNCTION("""COMPUTED_VALUE"""),-0.524897547574467)</f>
        <v>-0.5248975476</v>
      </c>
      <c r="C320" s="26">
        <f>IFERROR(__xludf.DUMMYFUNCTION("""COMPUTED_VALUE"""),-0.25801616589377)</f>
        <v>-0.2580161659</v>
      </c>
      <c r="D320" s="26">
        <f>IFERROR(__xludf.DUMMYFUNCTION("""COMPUTED_VALUE"""),-0.411868819761538)</f>
        <v>-0.4118688198</v>
      </c>
      <c r="E320" s="26">
        <f>IFERROR(__xludf.DUMMYFUNCTION("""COMPUTED_VALUE"""),0.698766268501862)</f>
        <v>0.6987662685</v>
      </c>
      <c r="F320" s="26">
        <f>IFERROR(__xludf.DUMMYFUNCTION("""COMPUTED_VALUE"""),31.8)</f>
        <v>31.8</v>
      </c>
      <c r="G320" s="26">
        <f>IFERROR(__xludf.DUMMYFUNCTION("""COMPUTED_VALUE"""),1.677676229497E12)</f>
        <v>1677676229497</v>
      </c>
      <c r="H320" s="26">
        <f t="shared" si="1"/>
        <v>31698</v>
      </c>
    </row>
    <row r="321">
      <c r="B321" s="26">
        <f>IFERROR(__xludf.DUMMYFUNCTION("""COMPUTED_VALUE"""),-0.524897547574467)</f>
        <v>-0.5248975476</v>
      </c>
      <c r="C321" s="26">
        <f>IFERROR(__xludf.DUMMYFUNCTION("""COMPUTED_VALUE"""),-0.25801616589377)</f>
        <v>-0.2580161659</v>
      </c>
      <c r="D321" s="26">
        <f>IFERROR(__xludf.DUMMYFUNCTION("""COMPUTED_VALUE"""),-0.411868819761538)</f>
        <v>-0.4118688198</v>
      </c>
      <c r="E321" s="26">
        <f>IFERROR(__xludf.DUMMYFUNCTION("""COMPUTED_VALUE"""),0.698766268501862)</f>
        <v>0.6987662685</v>
      </c>
      <c r="F321" s="26">
        <f>IFERROR(__xludf.DUMMYFUNCTION("""COMPUTED_VALUE"""),31.9)</f>
        <v>31.9</v>
      </c>
      <c r="G321" s="26">
        <f>IFERROR(__xludf.DUMMYFUNCTION("""COMPUTED_VALUE"""),1.677676229602E12)</f>
        <v>1677676229602</v>
      </c>
      <c r="H321" s="26">
        <f t="shared" si="1"/>
        <v>31803</v>
      </c>
    </row>
    <row r="322">
      <c r="B322" s="26">
        <f>IFERROR(__xludf.DUMMYFUNCTION("""COMPUTED_VALUE"""),-0.524897547574467)</f>
        <v>-0.5248975476</v>
      </c>
      <c r="C322" s="26">
        <f>IFERROR(__xludf.DUMMYFUNCTION("""COMPUTED_VALUE"""),-0.25801616589377)</f>
        <v>-0.2580161659</v>
      </c>
      <c r="D322" s="26">
        <f>IFERROR(__xludf.DUMMYFUNCTION("""COMPUTED_VALUE"""),-0.411868819761538)</f>
        <v>-0.4118688198</v>
      </c>
      <c r="E322" s="26">
        <f>IFERROR(__xludf.DUMMYFUNCTION("""COMPUTED_VALUE"""),0.698766268501862)</f>
        <v>0.6987662685</v>
      </c>
      <c r="F322" s="26">
        <f>IFERROR(__xludf.DUMMYFUNCTION("""COMPUTED_VALUE"""),32.0)</f>
        <v>32</v>
      </c>
      <c r="G322" s="26">
        <f>IFERROR(__xludf.DUMMYFUNCTION("""COMPUTED_VALUE"""),1.677676229696E12)</f>
        <v>1677676229696</v>
      </c>
      <c r="H322" s="26">
        <f t="shared" si="1"/>
        <v>31897</v>
      </c>
    </row>
    <row r="323">
      <c r="B323" s="26">
        <f>IFERROR(__xludf.DUMMYFUNCTION("""COMPUTED_VALUE"""),-0.524897547574467)</f>
        <v>-0.5248975476</v>
      </c>
      <c r="C323" s="26">
        <f>IFERROR(__xludf.DUMMYFUNCTION("""COMPUTED_VALUE"""),-0.25801616589377)</f>
        <v>-0.2580161659</v>
      </c>
      <c r="D323" s="26">
        <f>IFERROR(__xludf.DUMMYFUNCTION("""COMPUTED_VALUE"""),-0.411868819761538)</f>
        <v>-0.4118688198</v>
      </c>
      <c r="E323" s="26">
        <f>IFERROR(__xludf.DUMMYFUNCTION("""COMPUTED_VALUE"""),0.698766268501862)</f>
        <v>0.6987662685</v>
      </c>
      <c r="F323" s="26">
        <f>IFERROR(__xludf.DUMMYFUNCTION("""COMPUTED_VALUE"""),32.1)</f>
        <v>32.1</v>
      </c>
      <c r="G323" s="26">
        <f>IFERROR(__xludf.DUMMYFUNCTION("""COMPUTED_VALUE"""),1.677676229796E12)</f>
        <v>1677676229796</v>
      </c>
      <c r="H323" s="26">
        <f t="shared" si="1"/>
        <v>31997</v>
      </c>
    </row>
    <row r="324">
      <c r="B324" s="26">
        <f>IFERROR(__xludf.DUMMYFUNCTION("""COMPUTED_VALUE"""),-0.524897547574467)</f>
        <v>-0.5248975476</v>
      </c>
      <c r="C324" s="26">
        <f>IFERROR(__xludf.DUMMYFUNCTION("""COMPUTED_VALUE"""),-0.25801616589377)</f>
        <v>-0.2580161659</v>
      </c>
      <c r="D324" s="26">
        <f>IFERROR(__xludf.DUMMYFUNCTION("""COMPUTED_VALUE"""),-0.411868819761538)</f>
        <v>-0.4118688198</v>
      </c>
      <c r="E324" s="26">
        <f>IFERROR(__xludf.DUMMYFUNCTION("""COMPUTED_VALUE"""),0.698766268501862)</f>
        <v>0.6987662685</v>
      </c>
      <c r="F324" s="26">
        <f>IFERROR(__xludf.DUMMYFUNCTION("""COMPUTED_VALUE"""),32.2)</f>
        <v>32.2</v>
      </c>
      <c r="G324" s="26">
        <f>IFERROR(__xludf.DUMMYFUNCTION("""COMPUTED_VALUE"""),1.677676229897E12)</f>
        <v>1677676229897</v>
      </c>
      <c r="H324" s="26">
        <f t="shared" si="1"/>
        <v>32098</v>
      </c>
    </row>
    <row r="325">
      <c r="B325" s="26">
        <f>IFERROR(__xludf.DUMMYFUNCTION("""COMPUTED_VALUE"""),-0.524897547574467)</f>
        <v>-0.5248975476</v>
      </c>
      <c r="C325" s="26">
        <f>IFERROR(__xludf.DUMMYFUNCTION("""COMPUTED_VALUE"""),-0.25801616589377)</f>
        <v>-0.2580161659</v>
      </c>
      <c r="D325" s="26">
        <f>IFERROR(__xludf.DUMMYFUNCTION("""COMPUTED_VALUE"""),-0.411868819761538)</f>
        <v>-0.4118688198</v>
      </c>
      <c r="E325" s="26">
        <f>IFERROR(__xludf.DUMMYFUNCTION("""COMPUTED_VALUE"""),0.698766268501862)</f>
        <v>0.6987662685</v>
      </c>
      <c r="F325" s="26">
        <f>IFERROR(__xludf.DUMMYFUNCTION("""COMPUTED_VALUE"""),32.3)</f>
        <v>32.3</v>
      </c>
      <c r="G325" s="26">
        <f>IFERROR(__xludf.DUMMYFUNCTION("""COMPUTED_VALUE"""),1.677676229998E12)</f>
        <v>1677676229998</v>
      </c>
      <c r="H325" s="26">
        <f t="shared" si="1"/>
        <v>32199</v>
      </c>
    </row>
    <row r="326">
      <c r="B326" s="26">
        <f>IFERROR(__xludf.DUMMYFUNCTION("""COMPUTED_VALUE"""),-0.524897547574467)</f>
        <v>-0.5248975476</v>
      </c>
      <c r="C326" s="26">
        <f>IFERROR(__xludf.DUMMYFUNCTION("""COMPUTED_VALUE"""),-0.25801616589377)</f>
        <v>-0.2580161659</v>
      </c>
      <c r="D326" s="26">
        <f>IFERROR(__xludf.DUMMYFUNCTION("""COMPUTED_VALUE"""),-0.411868819761538)</f>
        <v>-0.4118688198</v>
      </c>
      <c r="E326" s="26">
        <f>IFERROR(__xludf.DUMMYFUNCTION("""COMPUTED_VALUE"""),0.698766268501862)</f>
        <v>0.6987662685</v>
      </c>
      <c r="F326" s="26">
        <f>IFERROR(__xludf.DUMMYFUNCTION("""COMPUTED_VALUE"""),32.4)</f>
        <v>32.4</v>
      </c>
      <c r="G326" s="26">
        <f>IFERROR(__xludf.DUMMYFUNCTION("""COMPUTED_VALUE"""),1.677676230095E12)</f>
        <v>1677676230095</v>
      </c>
      <c r="H326" s="26">
        <f t="shared" si="1"/>
        <v>32296</v>
      </c>
    </row>
    <row r="327">
      <c r="B327" s="26">
        <f>IFERROR(__xludf.DUMMYFUNCTION("""COMPUTED_VALUE"""),-0.524897547574467)</f>
        <v>-0.5248975476</v>
      </c>
      <c r="C327" s="26">
        <f>IFERROR(__xludf.DUMMYFUNCTION("""COMPUTED_VALUE"""),-0.25801616589377)</f>
        <v>-0.2580161659</v>
      </c>
      <c r="D327" s="26">
        <f>IFERROR(__xludf.DUMMYFUNCTION("""COMPUTED_VALUE"""),-0.411868819761538)</f>
        <v>-0.4118688198</v>
      </c>
      <c r="E327" s="26">
        <f>IFERROR(__xludf.DUMMYFUNCTION("""COMPUTED_VALUE"""),0.698766268501862)</f>
        <v>0.6987662685</v>
      </c>
      <c r="F327" s="26">
        <f>IFERROR(__xludf.DUMMYFUNCTION("""COMPUTED_VALUE"""),32.5)</f>
        <v>32.5</v>
      </c>
      <c r="G327" s="26">
        <f>IFERROR(__xludf.DUMMYFUNCTION("""COMPUTED_VALUE"""),1.677676230198E12)</f>
        <v>1677676230198</v>
      </c>
      <c r="H327" s="26">
        <f t="shared" si="1"/>
        <v>32399</v>
      </c>
    </row>
    <row r="328">
      <c r="B328" s="26">
        <f>IFERROR(__xludf.DUMMYFUNCTION("""COMPUTED_VALUE"""),-0.524897547574467)</f>
        <v>-0.5248975476</v>
      </c>
      <c r="C328" s="26">
        <f>IFERROR(__xludf.DUMMYFUNCTION("""COMPUTED_VALUE"""),-0.25801616589377)</f>
        <v>-0.2580161659</v>
      </c>
      <c r="D328" s="26">
        <f>IFERROR(__xludf.DUMMYFUNCTION("""COMPUTED_VALUE"""),-0.411868819761538)</f>
        <v>-0.4118688198</v>
      </c>
      <c r="E328" s="26">
        <f>IFERROR(__xludf.DUMMYFUNCTION("""COMPUTED_VALUE"""),0.698766268501862)</f>
        <v>0.6987662685</v>
      </c>
      <c r="F328" s="26">
        <f>IFERROR(__xludf.DUMMYFUNCTION("""COMPUTED_VALUE"""),32.6)</f>
        <v>32.6</v>
      </c>
      <c r="G328" s="26">
        <f>IFERROR(__xludf.DUMMYFUNCTION("""COMPUTED_VALUE"""),1.677676230298E12)</f>
        <v>1677676230298</v>
      </c>
      <c r="H328" s="26">
        <f t="shared" si="1"/>
        <v>32499</v>
      </c>
    </row>
    <row r="329">
      <c r="B329" s="26">
        <f>IFERROR(__xludf.DUMMYFUNCTION("""COMPUTED_VALUE"""),-0.524897547574467)</f>
        <v>-0.5248975476</v>
      </c>
      <c r="C329" s="26">
        <f>IFERROR(__xludf.DUMMYFUNCTION("""COMPUTED_VALUE"""),-0.25801616589377)</f>
        <v>-0.2580161659</v>
      </c>
      <c r="D329" s="26">
        <f>IFERROR(__xludf.DUMMYFUNCTION("""COMPUTED_VALUE"""),-0.411868819761538)</f>
        <v>-0.4118688198</v>
      </c>
      <c r="E329" s="26">
        <f>IFERROR(__xludf.DUMMYFUNCTION("""COMPUTED_VALUE"""),0.698766268501862)</f>
        <v>0.6987662685</v>
      </c>
      <c r="F329" s="26">
        <f>IFERROR(__xludf.DUMMYFUNCTION("""COMPUTED_VALUE"""),32.7)</f>
        <v>32.7</v>
      </c>
      <c r="G329" s="26">
        <f>IFERROR(__xludf.DUMMYFUNCTION("""COMPUTED_VALUE"""),1.677676230396E12)</f>
        <v>1677676230396</v>
      </c>
      <c r="H329" s="26">
        <f t="shared" si="1"/>
        <v>32597</v>
      </c>
    </row>
    <row r="330">
      <c r="B330" s="26">
        <f>IFERROR(__xludf.DUMMYFUNCTION("""COMPUTED_VALUE"""),-0.524897547574467)</f>
        <v>-0.5248975476</v>
      </c>
      <c r="C330" s="26">
        <f>IFERROR(__xludf.DUMMYFUNCTION("""COMPUTED_VALUE"""),-0.25801616589377)</f>
        <v>-0.2580161659</v>
      </c>
      <c r="D330" s="26">
        <f>IFERROR(__xludf.DUMMYFUNCTION("""COMPUTED_VALUE"""),-0.411868819761538)</f>
        <v>-0.4118688198</v>
      </c>
      <c r="E330" s="26">
        <f>IFERROR(__xludf.DUMMYFUNCTION("""COMPUTED_VALUE"""),0.698766268501862)</f>
        <v>0.6987662685</v>
      </c>
      <c r="F330" s="26">
        <f>IFERROR(__xludf.DUMMYFUNCTION("""COMPUTED_VALUE"""),32.8)</f>
        <v>32.8</v>
      </c>
      <c r="G330" s="26">
        <f>IFERROR(__xludf.DUMMYFUNCTION("""COMPUTED_VALUE"""),1.677676230504E12)</f>
        <v>1677676230504</v>
      </c>
      <c r="H330" s="26">
        <f t="shared" si="1"/>
        <v>32705</v>
      </c>
    </row>
    <row r="331">
      <c r="B331" s="26">
        <f>IFERROR(__xludf.DUMMYFUNCTION("""COMPUTED_VALUE"""),-0.524897547574467)</f>
        <v>-0.5248975476</v>
      </c>
      <c r="C331" s="26">
        <f>IFERROR(__xludf.DUMMYFUNCTION("""COMPUTED_VALUE"""),-0.25801616589377)</f>
        <v>-0.2580161659</v>
      </c>
      <c r="D331" s="26">
        <f>IFERROR(__xludf.DUMMYFUNCTION("""COMPUTED_VALUE"""),-0.411868819761538)</f>
        <v>-0.4118688198</v>
      </c>
      <c r="E331" s="26">
        <f>IFERROR(__xludf.DUMMYFUNCTION("""COMPUTED_VALUE"""),0.698766268501862)</f>
        <v>0.6987662685</v>
      </c>
      <c r="F331" s="26">
        <f>IFERROR(__xludf.DUMMYFUNCTION("""COMPUTED_VALUE"""),32.9)</f>
        <v>32.9</v>
      </c>
      <c r="G331" s="26">
        <f>IFERROR(__xludf.DUMMYFUNCTION("""COMPUTED_VALUE"""),1.677676230595E12)</f>
        <v>1677676230595</v>
      </c>
      <c r="H331" s="26">
        <f t="shared" si="1"/>
        <v>32796</v>
      </c>
    </row>
    <row r="332">
      <c r="B332" s="26">
        <f>IFERROR(__xludf.DUMMYFUNCTION("""COMPUTED_VALUE"""),-0.524897547574467)</f>
        <v>-0.5248975476</v>
      </c>
      <c r="C332" s="26">
        <f>IFERROR(__xludf.DUMMYFUNCTION("""COMPUTED_VALUE"""),-0.25801616589377)</f>
        <v>-0.2580161659</v>
      </c>
      <c r="D332" s="26">
        <f>IFERROR(__xludf.DUMMYFUNCTION("""COMPUTED_VALUE"""),-0.411868819761538)</f>
        <v>-0.4118688198</v>
      </c>
      <c r="E332" s="26">
        <f>IFERROR(__xludf.DUMMYFUNCTION("""COMPUTED_VALUE"""),0.698766268501862)</f>
        <v>0.6987662685</v>
      </c>
      <c r="F332" s="26">
        <f>IFERROR(__xludf.DUMMYFUNCTION("""COMPUTED_VALUE"""),33.0)</f>
        <v>33</v>
      </c>
      <c r="G332" s="26">
        <f>IFERROR(__xludf.DUMMYFUNCTION("""COMPUTED_VALUE"""),1.677676230697E12)</f>
        <v>1677676230697</v>
      </c>
      <c r="H332" s="26">
        <f t="shared" si="1"/>
        <v>32898</v>
      </c>
    </row>
    <row r="333">
      <c r="B333" s="26">
        <f>IFERROR(__xludf.DUMMYFUNCTION("""COMPUTED_VALUE"""),-0.524897547574467)</f>
        <v>-0.5248975476</v>
      </c>
      <c r="C333" s="26">
        <f>IFERROR(__xludf.DUMMYFUNCTION("""COMPUTED_VALUE"""),-0.25801616589377)</f>
        <v>-0.2580161659</v>
      </c>
      <c r="D333" s="26">
        <f>IFERROR(__xludf.DUMMYFUNCTION("""COMPUTED_VALUE"""),-0.411868819761538)</f>
        <v>-0.4118688198</v>
      </c>
      <c r="E333" s="26">
        <f>IFERROR(__xludf.DUMMYFUNCTION("""COMPUTED_VALUE"""),0.698766268501862)</f>
        <v>0.6987662685</v>
      </c>
      <c r="F333" s="26">
        <f>IFERROR(__xludf.DUMMYFUNCTION("""COMPUTED_VALUE"""),33.1)</f>
        <v>33.1</v>
      </c>
      <c r="G333" s="26">
        <f>IFERROR(__xludf.DUMMYFUNCTION("""COMPUTED_VALUE"""),1.677676230797E12)</f>
        <v>1677676230797</v>
      </c>
      <c r="H333" s="26">
        <f t="shared" si="1"/>
        <v>32998</v>
      </c>
    </row>
    <row r="334">
      <c r="B334" s="26">
        <f>IFERROR(__xludf.DUMMYFUNCTION("""COMPUTED_VALUE"""),-0.524897547574467)</f>
        <v>-0.5248975476</v>
      </c>
      <c r="C334" s="26">
        <f>IFERROR(__xludf.DUMMYFUNCTION("""COMPUTED_VALUE"""),-0.25801616589377)</f>
        <v>-0.2580161659</v>
      </c>
      <c r="D334" s="26">
        <f>IFERROR(__xludf.DUMMYFUNCTION("""COMPUTED_VALUE"""),-0.411868819761538)</f>
        <v>-0.4118688198</v>
      </c>
      <c r="E334" s="26">
        <f>IFERROR(__xludf.DUMMYFUNCTION("""COMPUTED_VALUE"""),0.698766268501862)</f>
        <v>0.6987662685</v>
      </c>
      <c r="F334" s="26">
        <f>IFERROR(__xludf.DUMMYFUNCTION("""COMPUTED_VALUE"""),33.2)</f>
        <v>33.2</v>
      </c>
      <c r="G334" s="26">
        <f>IFERROR(__xludf.DUMMYFUNCTION("""COMPUTED_VALUE"""),1.677676230898E12)</f>
        <v>1677676230898</v>
      </c>
      <c r="H334" s="26">
        <f t="shared" si="1"/>
        <v>33099</v>
      </c>
    </row>
    <row r="335">
      <c r="B335" s="26">
        <f>IFERROR(__xludf.DUMMYFUNCTION("""COMPUTED_VALUE"""),-0.524897547574467)</f>
        <v>-0.5248975476</v>
      </c>
      <c r="C335" s="26">
        <f>IFERROR(__xludf.DUMMYFUNCTION("""COMPUTED_VALUE"""),-0.25801616589377)</f>
        <v>-0.2580161659</v>
      </c>
      <c r="D335" s="26">
        <f>IFERROR(__xludf.DUMMYFUNCTION("""COMPUTED_VALUE"""),-0.411868819761538)</f>
        <v>-0.4118688198</v>
      </c>
      <c r="E335" s="26">
        <f>IFERROR(__xludf.DUMMYFUNCTION("""COMPUTED_VALUE"""),0.698766268501862)</f>
        <v>0.6987662685</v>
      </c>
      <c r="F335" s="26">
        <f>IFERROR(__xludf.DUMMYFUNCTION("""COMPUTED_VALUE"""),33.3)</f>
        <v>33.3</v>
      </c>
      <c r="G335" s="26">
        <f>IFERROR(__xludf.DUMMYFUNCTION("""COMPUTED_VALUE"""),1.677676230997E12)</f>
        <v>1677676230997</v>
      </c>
      <c r="H335" s="26">
        <f t="shared" si="1"/>
        <v>33198</v>
      </c>
    </row>
    <row r="336">
      <c r="B336" s="26">
        <f>IFERROR(__xludf.DUMMYFUNCTION("""COMPUTED_VALUE"""),-0.524897547574467)</f>
        <v>-0.5248975476</v>
      </c>
      <c r="C336" s="26">
        <f>IFERROR(__xludf.DUMMYFUNCTION("""COMPUTED_VALUE"""),-0.25801616589377)</f>
        <v>-0.2580161659</v>
      </c>
      <c r="D336" s="26">
        <f>IFERROR(__xludf.DUMMYFUNCTION("""COMPUTED_VALUE"""),-0.411868819761538)</f>
        <v>-0.4118688198</v>
      </c>
      <c r="E336" s="26">
        <f>IFERROR(__xludf.DUMMYFUNCTION("""COMPUTED_VALUE"""),0.698766268501862)</f>
        <v>0.6987662685</v>
      </c>
      <c r="F336" s="26">
        <f>IFERROR(__xludf.DUMMYFUNCTION("""COMPUTED_VALUE"""),33.4)</f>
        <v>33.4</v>
      </c>
      <c r="G336" s="26">
        <f>IFERROR(__xludf.DUMMYFUNCTION("""COMPUTED_VALUE"""),1.677676231098E12)</f>
        <v>1677676231098</v>
      </c>
      <c r="H336" s="26">
        <f t="shared" si="1"/>
        <v>33299</v>
      </c>
    </row>
    <row r="337">
      <c r="B337" s="26">
        <f>IFERROR(__xludf.DUMMYFUNCTION("""COMPUTED_VALUE"""),-0.524897547574467)</f>
        <v>-0.5248975476</v>
      </c>
      <c r="C337" s="26">
        <f>IFERROR(__xludf.DUMMYFUNCTION("""COMPUTED_VALUE"""),-0.25801616589377)</f>
        <v>-0.2580161659</v>
      </c>
      <c r="D337" s="26">
        <f>IFERROR(__xludf.DUMMYFUNCTION("""COMPUTED_VALUE"""),-0.411868819761538)</f>
        <v>-0.4118688198</v>
      </c>
      <c r="E337" s="26">
        <f>IFERROR(__xludf.DUMMYFUNCTION("""COMPUTED_VALUE"""),0.698766268501862)</f>
        <v>0.6987662685</v>
      </c>
      <c r="F337" s="26">
        <f>IFERROR(__xludf.DUMMYFUNCTION("""COMPUTED_VALUE"""),33.5)</f>
        <v>33.5</v>
      </c>
      <c r="G337" s="26">
        <f>IFERROR(__xludf.DUMMYFUNCTION("""COMPUTED_VALUE"""),1.677676231197E12)</f>
        <v>1677676231197</v>
      </c>
      <c r="H337" s="26">
        <f t="shared" si="1"/>
        <v>33398</v>
      </c>
    </row>
    <row r="338">
      <c r="B338" s="26">
        <f>IFERROR(__xludf.DUMMYFUNCTION("""COMPUTED_VALUE"""),-0.524897547574467)</f>
        <v>-0.5248975476</v>
      </c>
      <c r="C338" s="26">
        <f>IFERROR(__xludf.DUMMYFUNCTION("""COMPUTED_VALUE"""),-0.25801616589377)</f>
        <v>-0.2580161659</v>
      </c>
      <c r="D338" s="26">
        <f>IFERROR(__xludf.DUMMYFUNCTION("""COMPUTED_VALUE"""),-0.411868819761538)</f>
        <v>-0.4118688198</v>
      </c>
      <c r="E338" s="26">
        <f>IFERROR(__xludf.DUMMYFUNCTION("""COMPUTED_VALUE"""),0.698766268501862)</f>
        <v>0.6987662685</v>
      </c>
      <c r="F338" s="26">
        <f>IFERROR(__xludf.DUMMYFUNCTION("""COMPUTED_VALUE"""),33.6)</f>
        <v>33.6</v>
      </c>
      <c r="G338" s="26">
        <f>IFERROR(__xludf.DUMMYFUNCTION("""COMPUTED_VALUE"""),1.677676231295E12)</f>
        <v>1677676231295</v>
      </c>
      <c r="H338" s="26">
        <f t="shared" si="1"/>
        <v>33496</v>
      </c>
    </row>
    <row r="339">
      <c r="B339" s="26">
        <f>IFERROR(__xludf.DUMMYFUNCTION("""COMPUTED_VALUE"""),-0.524897547574467)</f>
        <v>-0.5248975476</v>
      </c>
      <c r="C339" s="26">
        <f>IFERROR(__xludf.DUMMYFUNCTION("""COMPUTED_VALUE"""),-0.25801616589377)</f>
        <v>-0.2580161659</v>
      </c>
      <c r="D339" s="26">
        <f>IFERROR(__xludf.DUMMYFUNCTION("""COMPUTED_VALUE"""),-0.411868819761538)</f>
        <v>-0.4118688198</v>
      </c>
      <c r="E339" s="26">
        <f>IFERROR(__xludf.DUMMYFUNCTION("""COMPUTED_VALUE"""),0.698766268501862)</f>
        <v>0.6987662685</v>
      </c>
      <c r="F339" s="26">
        <f>IFERROR(__xludf.DUMMYFUNCTION("""COMPUTED_VALUE"""),33.7)</f>
        <v>33.7</v>
      </c>
      <c r="G339" s="26">
        <f>IFERROR(__xludf.DUMMYFUNCTION("""COMPUTED_VALUE"""),1.677676231399E12)</f>
        <v>1677676231399</v>
      </c>
      <c r="H339" s="26">
        <f t="shared" si="1"/>
        <v>33600</v>
      </c>
    </row>
    <row r="340">
      <c r="B340" s="26">
        <f>IFERROR(__xludf.DUMMYFUNCTION("""COMPUTED_VALUE"""),-0.524897547574467)</f>
        <v>-0.5248975476</v>
      </c>
      <c r="C340" s="26">
        <f>IFERROR(__xludf.DUMMYFUNCTION("""COMPUTED_VALUE"""),-0.25801616589377)</f>
        <v>-0.2580161659</v>
      </c>
      <c r="D340" s="26">
        <f>IFERROR(__xludf.DUMMYFUNCTION("""COMPUTED_VALUE"""),-0.411868819761538)</f>
        <v>-0.4118688198</v>
      </c>
      <c r="E340" s="26">
        <f>IFERROR(__xludf.DUMMYFUNCTION("""COMPUTED_VALUE"""),0.698766268501862)</f>
        <v>0.6987662685</v>
      </c>
      <c r="F340" s="26">
        <f>IFERROR(__xludf.DUMMYFUNCTION("""COMPUTED_VALUE"""),33.8)</f>
        <v>33.8</v>
      </c>
      <c r="G340" s="26">
        <f>IFERROR(__xludf.DUMMYFUNCTION("""COMPUTED_VALUE"""),1.677676231499E12)</f>
        <v>1677676231499</v>
      </c>
      <c r="H340" s="26">
        <f t="shared" si="1"/>
        <v>33700</v>
      </c>
    </row>
    <row r="341">
      <c r="B341" s="26">
        <f>IFERROR(__xludf.DUMMYFUNCTION("""COMPUTED_VALUE"""),-0.524897547574467)</f>
        <v>-0.5248975476</v>
      </c>
      <c r="C341" s="26">
        <f>IFERROR(__xludf.DUMMYFUNCTION("""COMPUTED_VALUE"""),-0.25801616589377)</f>
        <v>-0.2580161659</v>
      </c>
      <c r="D341" s="26">
        <f>IFERROR(__xludf.DUMMYFUNCTION("""COMPUTED_VALUE"""),-0.411868819761538)</f>
        <v>-0.4118688198</v>
      </c>
      <c r="E341" s="26">
        <f>IFERROR(__xludf.DUMMYFUNCTION("""COMPUTED_VALUE"""),0.698766268501862)</f>
        <v>0.6987662685</v>
      </c>
      <c r="F341" s="26">
        <f>IFERROR(__xludf.DUMMYFUNCTION("""COMPUTED_VALUE"""),33.9)</f>
        <v>33.9</v>
      </c>
      <c r="G341" s="26">
        <f>IFERROR(__xludf.DUMMYFUNCTION("""COMPUTED_VALUE"""),1.677676231597E12)</f>
        <v>1677676231597</v>
      </c>
      <c r="H341" s="26">
        <f t="shared" si="1"/>
        <v>33798</v>
      </c>
    </row>
    <row r="342">
      <c r="B342" s="26">
        <f>IFERROR(__xludf.DUMMYFUNCTION("""COMPUTED_VALUE"""),-0.524897547574467)</f>
        <v>-0.5248975476</v>
      </c>
      <c r="C342" s="26">
        <f>IFERROR(__xludf.DUMMYFUNCTION("""COMPUTED_VALUE"""),-0.25801616589377)</f>
        <v>-0.2580161659</v>
      </c>
      <c r="D342" s="26">
        <f>IFERROR(__xludf.DUMMYFUNCTION("""COMPUTED_VALUE"""),-0.411868819761538)</f>
        <v>-0.4118688198</v>
      </c>
      <c r="E342" s="26">
        <f>IFERROR(__xludf.DUMMYFUNCTION("""COMPUTED_VALUE"""),0.698766268501862)</f>
        <v>0.6987662685</v>
      </c>
      <c r="F342" s="26">
        <f>IFERROR(__xludf.DUMMYFUNCTION("""COMPUTED_VALUE"""),34.0)</f>
        <v>34</v>
      </c>
      <c r="G342" s="26">
        <f>IFERROR(__xludf.DUMMYFUNCTION("""COMPUTED_VALUE"""),1.677676231697E12)</f>
        <v>1677676231697</v>
      </c>
      <c r="H342" s="26">
        <f t="shared" si="1"/>
        <v>33898</v>
      </c>
    </row>
    <row r="343">
      <c r="B343" s="26">
        <f>IFERROR(__xludf.DUMMYFUNCTION("""COMPUTED_VALUE"""),-0.524897547574467)</f>
        <v>-0.5248975476</v>
      </c>
      <c r="C343" s="26">
        <f>IFERROR(__xludf.DUMMYFUNCTION("""COMPUTED_VALUE"""),-0.25801616589377)</f>
        <v>-0.2580161659</v>
      </c>
      <c r="D343" s="26">
        <f>IFERROR(__xludf.DUMMYFUNCTION("""COMPUTED_VALUE"""),-0.411868819761538)</f>
        <v>-0.4118688198</v>
      </c>
      <c r="E343" s="26">
        <f>IFERROR(__xludf.DUMMYFUNCTION("""COMPUTED_VALUE"""),0.698766268501862)</f>
        <v>0.6987662685</v>
      </c>
      <c r="F343" s="26">
        <f>IFERROR(__xludf.DUMMYFUNCTION("""COMPUTED_VALUE"""),34.1)</f>
        <v>34.1</v>
      </c>
      <c r="G343" s="26">
        <f>IFERROR(__xludf.DUMMYFUNCTION("""COMPUTED_VALUE"""),1.677676231796E12)</f>
        <v>1677676231796</v>
      </c>
      <c r="H343" s="26">
        <f t="shared" si="1"/>
        <v>33997</v>
      </c>
    </row>
    <row r="344">
      <c r="B344" s="26">
        <f>IFERROR(__xludf.DUMMYFUNCTION("""COMPUTED_VALUE"""),-0.524897547574467)</f>
        <v>-0.5248975476</v>
      </c>
      <c r="C344" s="26">
        <f>IFERROR(__xludf.DUMMYFUNCTION("""COMPUTED_VALUE"""),-0.25801616589377)</f>
        <v>-0.2580161659</v>
      </c>
      <c r="D344" s="26">
        <f>IFERROR(__xludf.DUMMYFUNCTION("""COMPUTED_VALUE"""),-0.411868819761538)</f>
        <v>-0.4118688198</v>
      </c>
      <c r="E344" s="26">
        <f>IFERROR(__xludf.DUMMYFUNCTION("""COMPUTED_VALUE"""),0.698766268501862)</f>
        <v>0.6987662685</v>
      </c>
      <c r="F344" s="26">
        <f>IFERROR(__xludf.DUMMYFUNCTION("""COMPUTED_VALUE"""),34.2)</f>
        <v>34.2</v>
      </c>
      <c r="G344" s="26">
        <f>IFERROR(__xludf.DUMMYFUNCTION("""COMPUTED_VALUE"""),1.677676231896E12)</f>
        <v>1677676231896</v>
      </c>
      <c r="H344" s="26">
        <f t="shared" si="1"/>
        <v>34097</v>
      </c>
    </row>
    <row r="345">
      <c r="B345" s="26">
        <f>IFERROR(__xludf.DUMMYFUNCTION("""COMPUTED_VALUE"""),-0.524897547574467)</f>
        <v>-0.5248975476</v>
      </c>
      <c r="C345" s="26">
        <f>IFERROR(__xludf.DUMMYFUNCTION("""COMPUTED_VALUE"""),-0.25801616589377)</f>
        <v>-0.2580161659</v>
      </c>
      <c r="D345" s="26">
        <f>IFERROR(__xludf.DUMMYFUNCTION("""COMPUTED_VALUE"""),-0.411868819761538)</f>
        <v>-0.4118688198</v>
      </c>
      <c r="E345" s="26">
        <f>IFERROR(__xludf.DUMMYFUNCTION("""COMPUTED_VALUE"""),0.698766268501862)</f>
        <v>0.6987662685</v>
      </c>
      <c r="F345" s="26">
        <f>IFERROR(__xludf.DUMMYFUNCTION("""COMPUTED_VALUE"""),34.3)</f>
        <v>34.3</v>
      </c>
      <c r="G345" s="26">
        <f>IFERROR(__xludf.DUMMYFUNCTION("""COMPUTED_VALUE"""),1.677676231995E12)</f>
        <v>1677676231995</v>
      </c>
      <c r="H345" s="26">
        <f t="shared" si="1"/>
        <v>34196</v>
      </c>
    </row>
    <row r="346">
      <c r="B346" s="26">
        <f>IFERROR(__xludf.DUMMYFUNCTION("""COMPUTED_VALUE"""),-0.486167394837941)</f>
        <v>-0.4861673948</v>
      </c>
      <c r="C346" s="26">
        <f>IFERROR(__xludf.DUMMYFUNCTION("""COMPUTED_VALUE"""),-0.272095437923159)</f>
        <v>-0.2720954379</v>
      </c>
      <c r="D346" s="26">
        <f>IFERROR(__xludf.DUMMYFUNCTION("""COMPUTED_VALUE"""),-0.440172704036081)</f>
        <v>-0.440172704</v>
      </c>
      <c r="E346" s="26">
        <f>IFERROR(__xludf.DUMMYFUNCTION("""COMPUTED_VALUE"""),0.704168536274838)</f>
        <v>0.7041685363</v>
      </c>
      <c r="F346" s="26">
        <f>IFERROR(__xludf.DUMMYFUNCTION("""COMPUTED_VALUE"""),34.4)</f>
        <v>34.4</v>
      </c>
      <c r="G346" s="26">
        <f>IFERROR(__xludf.DUMMYFUNCTION("""COMPUTED_VALUE"""),1.677676232098E12)</f>
        <v>1677676232098</v>
      </c>
      <c r="H346" s="26">
        <f t="shared" si="1"/>
        <v>34299</v>
      </c>
    </row>
    <row r="347">
      <c r="B347" s="26">
        <f>IFERROR(__xludf.DUMMYFUNCTION("""COMPUTED_VALUE"""),-0.481661930324558)</f>
        <v>-0.4816619303</v>
      </c>
      <c r="C347" s="26">
        <f>IFERROR(__xludf.DUMMYFUNCTION("""COMPUTED_VALUE"""),-0.273135437684465)</f>
        <v>-0.2731354377</v>
      </c>
      <c r="D347" s="26">
        <f>IFERROR(__xludf.DUMMYFUNCTION("""COMPUTED_VALUE"""),-0.44313271742697)</f>
        <v>-0.4431327174</v>
      </c>
      <c r="E347" s="26">
        <f>IFERROR(__xludf.DUMMYFUNCTION("""COMPUTED_VALUE"""),0.705005115089753)</f>
        <v>0.7050051151</v>
      </c>
      <c r="F347" s="26">
        <f>IFERROR(__xludf.DUMMYFUNCTION("""COMPUTED_VALUE"""),34.5)</f>
        <v>34.5</v>
      </c>
      <c r="G347" s="26">
        <f>IFERROR(__xludf.DUMMYFUNCTION("""COMPUTED_VALUE"""),1.677676232198E12)</f>
        <v>1677676232198</v>
      </c>
      <c r="H347" s="26">
        <f t="shared" si="1"/>
        <v>34399</v>
      </c>
    </row>
    <row r="348">
      <c r="B348" s="26">
        <f>IFERROR(__xludf.DUMMYFUNCTION("""COMPUTED_VALUE"""),-0.481661930324558)</f>
        <v>-0.4816619303</v>
      </c>
      <c r="C348" s="26">
        <f>IFERROR(__xludf.DUMMYFUNCTION("""COMPUTED_VALUE"""),-0.273135437684465)</f>
        <v>-0.2731354377</v>
      </c>
      <c r="D348" s="26">
        <f>IFERROR(__xludf.DUMMYFUNCTION("""COMPUTED_VALUE"""),-0.44313271742697)</f>
        <v>-0.4431327174</v>
      </c>
      <c r="E348" s="26">
        <f>IFERROR(__xludf.DUMMYFUNCTION("""COMPUTED_VALUE"""),0.705005115089753)</f>
        <v>0.7050051151</v>
      </c>
      <c r="F348" s="26">
        <f>IFERROR(__xludf.DUMMYFUNCTION("""COMPUTED_VALUE"""),34.6)</f>
        <v>34.6</v>
      </c>
      <c r="G348" s="26">
        <f>IFERROR(__xludf.DUMMYFUNCTION("""COMPUTED_VALUE"""),1.677676232297E12)</f>
        <v>1677676232297</v>
      </c>
      <c r="H348" s="26">
        <f t="shared" si="1"/>
        <v>34498</v>
      </c>
    </row>
    <row r="349">
      <c r="B349" s="26">
        <f>IFERROR(__xludf.DUMMYFUNCTION("""COMPUTED_VALUE"""),-0.486934241369117)</f>
        <v>-0.4869342414</v>
      </c>
      <c r="C349" s="26">
        <f>IFERROR(__xludf.DUMMYFUNCTION("""COMPUTED_VALUE"""),-0.226259836735006)</f>
        <v>-0.2262598367</v>
      </c>
      <c r="D349" s="26">
        <f>IFERROR(__xludf.DUMMYFUNCTION("""COMPUTED_VALUE"""),-0.424340298252045)</f>
        <v>-0.4243402983</v>
      </c>
      <c r="E349" s="26">
        <f>IFERROR(__xludf.DUMMYFUNCTION("""COMPUTED_VALUE"""),0.729134310084423)</f>
        <v>0.7291343101</v>
      </c>
      <c r="F349" s="26">
        <f>IFERROR(__xludf.DUMMYFUNCTION("""COMPUTED_VALUE"""),34.7)</f>
        <v>34.7</v>
      </c>
      <c r="G349" s="26">
        <f>IFERROR(__xludf.DUMMYFUNCTION("""COMPUTED_VALUE"""),1.677676232398E12)</f>
        <v>1677676232398</v>
      </c>
      <c r="H349" s="26">
        <f t="shared" si="1"/>
        <v>34599</v>
      </c>
    </row>
    <row r="350">
      <c r="B350" s="26">
        <f>IFERROR(__xludf.DUMMYFUNCTION("""COMPUTED_VALUE"""),-0.490251949717451)</f>
        <v>-0.4902519497</v>
      </c>
      <c r="C350" s="26">
        <f>IFERROR(__xludf.DUMMYFUNCTION("""COMPUTED_VALUE"""),-0.220526309913799)</f>
        <v>-0.2205263099</v>
      </c>
      <c r="D350" s="26">
        <f>IFERROR(__xludf.DUMMYFUNCTION("""COMPUTED_VALUE"""),-0.42050287744151)</f>
        <v>-0.4205028774</v>
      </c>
      <c r="E350" s="26">
        <f>IFERROR(__xludf.DUMMYFUNCTION("""COMPUTED_VALUE"""),0.73088884414625)</f>
        <v>0.7308888441</v>
      </c>
      <c r="F350" s="26">
        <f>IFERROR(__xludf.DUMMYFUNCTION("""COMPUTED_VALUE"""),34.8)</f>
        <v>34.8</v>
      </c>
      <c r="G350" s="26">
        <f>IFERROR(__xludf.DUMMYFUNCTION("""COMPUTED_VALUE"""),1.677676232497E12)</f>
        <v>1677676232497</v>
      </c>
      <c r="H350" s="26">
        <f t="shared" si="1"/>
        <v>34698</v>
      </c>
    </row>
    <row r="351">
      <c r="B351" s="26">
        <f>IFERROR(__xludf.DUMMYFUNCTION("""COMPUTED_VALUE"""),-0.493539417018036)</f>
        <v>-0.493539417</v>
      </c>
      <c r="C351" s="26">
        <f>IFERROR(__xludf.DUMMYFUNCTION("""COMPUTED_VALUE"""),-0.214779179991835)</f>
        <v>-0.21477918</v>
      </c>
      <c r="D351" s="26">
        <f>IFERROR(__xludf.DUMMYFUNCTION("""COMPUTED_VALUE"""),-0.416639518034294)</f>
        <v>-0.416639518</v>
      </c>
      <c r="E351" s="26">
        <f>IFERROR(__xludf.DUMMYFUNCTION("""COMPUTED_VALUE"""),0.732598293544063)</f>
        <v>0.7325982935</v>
      </c>
      <c r="F351" s="26">
        <f>IFERROR(__xludf.DUMMYFUNCTION("""COMPUTED_VALUE"""),34.9)</f>
        <v>34.9</v>
      </c>
      <c r="G351" s="26">
        <f>IFERROR(__xludf.DUMMYFUNCTION("""COMPUTED_VALUE"""),1.677676232598E12)</f>
        <v>1677676232598</v>
      </c>
      <c r="H351" s="26">
        <f t="shared" si="1"/>
        <v>34799</v>
      </c>
    </row>
    <row r="352">
      <c r="B352" s="26">
        <f>IFERROR(__xludf.DUMMYFUNCTION("""COMPUTED_VALUE"""),-0.493539417018036)</f>
        <v>-0.493539417</v>
      </c>
      <c r="C352" s="26">
        <f>IFERROR(__xludf.DUMMYFUNCTION("""COMPUTED_VALUE"""),-0.214779179991835)</f>
        <v>-0.21477918</v>
      </c>
      <c r="D352" s="26">
        <f>IFERROR(__xludf.DUMMYFUNCTION("""COMPUTED_VALUE"""),-0.416639518034294)</f>
        <v>-0.416639518</v>
      </c>
      <c r="E352" s="26">
        <f>IFERROR(__xludf.DUMMYFUNCTION("""COMPUTED_VALUE"""),0.732598293544063)</f>
        <v>0.7325982935</v>
      </c>
      <c r="F352" s="26">
        <f>IFERROR(__xludf.DUMMYFUNCTION("""COMPUTED_VALUE"""),35.0)</f>
        <v>35</v>
      </c>
      <c r="G352" s="26">
        <f>IFERROR(__xludf.DUMMYFUNCTION("""COMPUTED_VALUE"""),1.677676232696E12)</f>
        <v>1677676232696</v>
      </c>
      <c r="H352" s="26">
        <f t="shared" si="1"/>
        <v>34897</v>
      </c>
    </row>
    <row r="353">
      <c r="B353" s="26">
        <f>IFERROR(__xludf.DUMMYFUNCTION("""COMPUTED_VALUE"""),-0.493539417018036)</f>
        <v>-0.493539417</v>
      </c>
      <c r="C353" s="26">
        <f>IFERROR(__xludf.DUMMYFUNCTION("""COMPUTED_VALUE"""),-0.214779179991835)</f>
        <v>-0.21477918</v>
      </c>
      <c r="D353" s="26">
        <f>IFERROR(__xludf.DUMMYFUNCTION("""COMPUTED_VALUE"""),-0.416639518034294)</f>
        <v>-0.416639518</v>
      </c>
      <c r="E353" s="26">
        <f>IFERROR(__xludf.DUMMYFUNCTION("""COMPUTED_VALUE"""),0.732598293544063)</f>
        <v>0.7325982935</v>
      </c>
      <c r="F353" s="26">
        <f>IFERROR(__xludf.DUMMYFUNCTION("""COMPUTED_VALUE"""),35.1)</f>
        <v>35.1</v>
      </c>
      <c r="G353" s="26">
        <f>IFERROR(__xludf.DUMMYFUNCTION("""COMPUTED_VALUE"""),1.677676232797E12)</f>
        <v>1677676232797</v>
      </c>
      <c r="H353" s="26">
        <f t="shared" si="1"/>
        <v>34998</v>
      </c>
    </row>
    <row r="354">
      <c r="B354" s="26">
        <f>IFERROR(__xludf.DUMMYFUNCTION("""COMPUTED_VALUE"""),-0.493539417018036)</f>
        <v>-0.493539417</v>
      </c>
      <c r="C354" s="26">
        <f>IFERROR(__xludf.DUMMYFUNCTION("""COMPUTED_VALUE"""),-0.214779179991835)</f>
        <v>-0.21477918</v>
      </c>
      <c r="D354" s="26">
        <f>IFERROR(__xludf.DUMMYFUNCTION("""COMPUTED_VALUE"""),-0.416639518034294)</f>
        <v>-0.416639518</v>
      </c>
      <c r="E354" s="26">
        <f>IFERROR(__xludf.DUMMYFUNCTION("""COMPUTED_VALUE"""),0.732598293544063)</f>
        <v>0.7325982935</v>
      </c>
      <c r="F354" s="26">
        <f>IFERROR(__xludf.DUMMYFUNCTION("""COMPUTED_VALUE"""),35.2)</f>
        <v>35.2</v>
      </c>
      <c r="G354" s="26">
        <f>IFERROR(__xludf.DUMMYFUNCTION("""COMPUTED_VALUE"""),1.677676232897E12)</f>
        <v>1677676232897</v>
      </c>
      <c r="H354" s="26">
        <f t="shared" si="1"/>
        <v>35098</v>
      </c>
    </row>
    <row r="355">
      <c r="B355" s="26">
        <f>IFERROR(__xludf.DUMMYFUNCTION("""COMPUTED_VALUE"""),-0.493539417018036)</f>
        <v>-0.493539417</v>
      </c>
      <c r="C355" s="26">
        <f>IFERROR(__xludf.DUMMYFUNCTION("""COMPUTED_VALUE"""),-0.214779179991835)</f>
        <v>-0.21477918</v>
      </c>
      <c r="D355" s="26">
        <f>IFERROR(__xludf.DUMMYFUNCTION("""COMPUTED_VALUE"""),-0.416639518034294)</f>
        <v>-0.416639518</v>
      </c>
      <c r="E355" s="26">
        <f>IFERROR(__xludf.DUMMYFUNCTION("""COMPUTED_VALUE"""),0.732598293544063)</f>
        <v>0.7325982935</v>
      </c>
      <c r="F355" s="26">
        <f>IFERROR(__xludf.DUMMYFUNCTION("""COMPUTED_VALUE"""),35.3)</f>
        <v>35.3</v>
      </c>
      <c r="G355" s="26">
        <f>IFERROR(__xludf.DUMMYFUNCTION("""COMPUTED_VALUE"""),1.677676232996E12)</f>
        <v>1677676232996</v>
      </c>
      <c r="H355" s="26">
        <f t="shared" si="1"/>
        <v>35197</v>
      </c>
    </row>
    <row r="356">
      <c r="B356" s="26">
        <f>IFERROR(__xludf.DUMMYFUNCTION("""COMPUTED_VALUE"""),-0.493539417018036)</f>
        <v>-0.493539417</v>
      </c>
      <c r="C356" s="26">
        <f>IFERROR(__xludf.DUMMYFUNCTION("""COMPUTED_VALUE"""),-0.214779179991835)</f>
        <v>-0.21477918</v>
      </c>
      <c r="D356" s="26">
        <f>IFERROR(__xludf.DUMMYFUNCTION("""COMPUTED_VALUE"""),-0.416639518034294)</f>
        <v>-0.416639518</v>
      </c>
      <c r="E356" s="26">
        <f>IFERROR(__xludf.DUMMYFUNCTION("""COMPUTED_VALUE"""),0.732598293544063)</f>
        <v>0.7325982935</v>
      </c>
      <c r="F356" s="26">
        <f>IFERROR(__xludf.DUMMYFUNCTION("""COMPUTED_VALUE"""),35.4)</f>
        <v>35.4</v>
      </c>
      <c r="G356" s="26">
        <f>IFERROR(__xludf.DUMMYFUNCTION("""COMPUTED_VALUE"""),1.677676233097E12)</f>
        <v>1677676233097</v>
      </c>
      <c r="H356" s="26">
        <f t="shared" si="1"/>
        <v>35298</v>
      </c>
    </row>
    <row r="357">
      <c r="B357" s="26">
        <f>IFERROR(__xludf.DUMMYFUNCTION("""COMPUTED_VALUE"""),-0.493539417018036)</f>
        <v>-0.493539417</v>
      </c>
      <c r="C357" s="26">
        <f>IFERROR(__xludf.DUMMYFUNCTION("""COMPUTED_VALUE"""),-0.214779179991835)</f>
        <v>-0.21477918</v>
      </c>
      <c r="D357" s="26">
        <f>IFERROR(__xludf.DUMMYFUNCTION("""COMPUTED_VALUE"""),-0.416639518034294)</f>
        <v>-0.416639518</v>
      </c>
      <c r="E357" s="26">
        <f>IFERROR(__xludf.DUMMYFUNCTION("""COMPUTED_VALUE"""),0.732598293544063)</f>
        <v>0.7325982935</v>
      </c>
      <c r="F357" s="26">
        <f>IFERROR(__xludf.DUMMYFUNCTION("""COMPUTED_VALUE"""),35.5)</f>
        <v>35.5</v>
      </c>
      <c r="G357" s="26">
        <f>IFERROR(__xludf.DUMMYFUNCTION("""COMPUTED_VALUE"""),1.677676233197E12)</f>
        <v>1677676233197</v>
      </c>
      <c r="H357" s="26">
        <f t="shared" si="1"/>
        <v>35398</v>
      </c>
    </row>
    <row r="358">
      <c r="B358" s="26">
        <f>IFERROR(__xludf.DUMMYFUNCTION("""COMPUTED_VALUE"""),-0.493539417018036)</f>
        <v>-0.493539417</v>
      </c>
      <c r="C358" s="26">
        <f>IFERROR(__xludf.DUMMYFUNCTION("""COMPUTED_VALUE"""),-0.214779179991835)</f>
        <v>-0.21477918</v>
      </c>
      <c r="D358" s="26">
        <f>IFERROR(__xludf.DUMMYFUNCTION("""COMPUTED_VALUE"""),-0.416639518034294)</f>
        <v>-0.416639518</v>
      </c>
      <c r="E358" s="26">
        <f>IFERROR(__xludf.DUMMYFUNCTION("""COMPUTED_VALUE"""),0.732598293544063)</f>
        <v>0.7325982935</v>
      </c>
      <c r="F358" s="26">
        <f>IFERROR(__xludf.DUMMYFUNCTION("""COMPUTED_VALUE"""),35.6)</f>
        <v>35.6</v>
      </c>
      <c r="G358" s="26">
        <f>IFERROR(__xludf.DUMMYFUNCTION("""COMPUTED_VALUE"""),1.677676233298E12)</f>
        <v>1677676233298</v>
      </c>
      <c r="H358" s="26">
        <f t="shared" si="1"/>
        <v>35499</v>
      </c>
    </row>
    <row r="359">
      <c r="B359" s="26">
        <f>IFERROR(__xludf.DUMMYFUNCTION("""COMPUTED_VALUE"""),-0.493539417018036)</f>
        <v>-0.493539417</v>
      </c>
      <c r="C359" s="26">
        <f>IFERROR(__xludf.DUMMYFUNCTION("""COMPUTED_VALUE"""),-0.214779179991835)</f>
        <v>-0.21477918</v>
      </c>
      <c r="D359" s="26">
        <f>IFERROR(__xludf.DUMMYFUNCTION("""COMPUTED_VALUE"""),-0.416639518034294)</f>
        <v>-0.416639518</v>
      </c>
      <c r="E359" s="26">
        <f>IFERROR(__xludf.DUMMYFUNCTION("""COMPUTED_VALUE"""),0.732598293544063)</f>
        <v>0.7325982935</v>
      </c>
      <c r="F359" s="26">
        <f>IFERROR(__xludf.DUMMYFUNCTION("""COMPUTED_VALUE"""),35.7)</f>
        <v>35.7</v>
      </c>
      <c r="G359" s="26">
        <f>IFERROR(__xludf.DUMMYFUNCTION("""COMPUTED_VALUE"""),1.677676233396E12)</f>
        <v>1677676233396</v>
      </c>
      <c r="H359" s="26">
        <f t="shared" si="1"/>
        <v>35597</v>
      </c>
    </row>
    <row r="360">
      <c r="B360" s="26">
        <f>IFERROR(__xludf.DUMMYFUNCTION("""COMPUTED_VALUE"""),-0.493539417018036)</f>
        <v>-0.493539417</v>
      </c>
      <c r="C360" s="26">
        <f>IFERROR(__xludf.DUMMYFUNCTION("""COMPUTED_VALUE"""),-0.214779179991835)</f>
        <v>-0.21477918</v>
      </c>
      <c r="D360" s="26">
        <f>IFERROR(__xludf.DUMMYFUNCTION("""COMPUTED_VALUE"""),-0.416639518034294)</f>
        <v>-0.416639518</v>
      </c>
      <c r="E360" s="26">
        <f>IFERROR(__xludf.DUMMYFUNCTION("""COMPUTED_VALUE"""),0.732598293544063)</f>
        <v>0.7325982935</v>
      </c>
      <c r="F360" s="26">
        <f>IFERROR(__xludf.DUMMYFUNCTION("""COMPUTED_VALUE"""),35.8)</f>
        <v>35.8</v>
      </c>
      <c r="G360" s="26">
        <f>IFERROR(__xludf.DUMMYFUNCTION("""COMPUTED_VALUE"""),1.677676233497E12)</f>
        <v>1677676233497</v>
      </c>
      <c r="H360" s="26">
        <f t="shared" si="1"/>
        <v>35698</v>
      </c>
    </row>
    <row r="361">
      <c r="B361" s="26">
        <f>IFERROR(__xludf.DUMMYFUNCTION("""COMPUTED_VALUE"""),-0.493539417018036)</f>
        <v>-0.493539417</v>
      </c>
      <c r="C361" s="26">
        <f>IFERROR(__xludf.DUMMYFUNCTION("""COMPUTED_VALUE"""),-0.214779179991835)</f>
        <v>-0.21477918</v>
      </c>
      <c r="D361" s="26">
        <f>IFERROR(__xludf.DUMMYFUNCTION("""COMPUTED_VALUE"""),-0.416639518034294)</f>
        <v>-0.416639518</v>
      </c>
      <c r="E361" s="26">
        <f>IFERROR(__xludf.DUMMYFUNCTION("""COMPUTED_VALUE"""),0.732598293544063)</f>
        <v>0.7325982935</v>
      </c>
      <c r="F361" s="26">
        <f>IFERROR(__xludf.DUMMYFUNCTION("""COMPUTED_VALUE"""),35.9)</f>
        <v>35.9</v>
      </c>
      <c r="G361" s="26">
        <f>IFERROR(__xludf.DUMMYFUNCTION("""COMPUTED_VALUE"""),1.677676233596E12)</f>
        <v>1677676233596</v>
      </c>
      <c r="H361" s="26">
        <f t="shared" si="1"/>
        <v>35797</v>
      </c>
    </row>
    <row r="362">
      <c r="B362" s="26">
        <f>IFERROR(__xludf.DUMMYFUNCTION("""COMPUTED_VALUE"""),-0.493539417018036)</f>
        <v>-0.493539417</v>
      </c>
      <c r="C362" s="26">
        <f>IFERROR(__xludf.DUMMYFUNCTION("""COMPUTED_VALUE"""),-0.214779179991835)</f>
        <v>-0.21477918</v>
      </c>
      <c r="D362" s="26">
        <f>IFERROR(__xludf.DUMMYFUNCTION("""COMPUTED_VALUE"""),-0.416639518034294)</f>
        <v>-0.416639518</v>
      </c>
      <c r="E362" s="26">
        <f>IFERROR(__xludf.DUMMYFUNCTION("""COMPUTED_VALUE"""),0.732598293544063)</f>
        <v>0.7325982935</v>
      </c>
      <c r="F362" s="26">
        <f>IFERROR(__xludf.DUMMYFUNCTION("""COMPUTED_VALUE"""),36.0)</f>
        <v>36</v>
      </c>
      <c r="G362" s="26">
        <f>IFERROR(__xludf.DUMMYFUNCTION("""COMPUTED_VALUE"""),1.677676233698E12)</f>
        <v>1677676233698</v>
      </c>
      <c r="H362" s="26">
        <f t="shared" si="1"/>
        <v>35899</v>
      </c>
    </row>
    <row r="363">
      <c r="B363" s="26">
        <f>IFERROR(__xludf.DUMMYFUNCTION("""COMPUTED_VALUE"""),-0.493539417018036)</f>
        <v>-0.493539417</v>
      </c>
      <c r="C363" s="26">
        <f>IFERROR(__xludf.DUMMYFUNCTION("""COMPUTED_VALUE"""),-0.214779179991835)</f>
        <v>-0.21477918</v>
      </c>
      <c r="D363" s="26">
        <f>IFERROR(__xludf.DUMMYFUNCTION("""COMPUTED_VALUE"""),-0.416639518034294)</f>
        <v>-0.416639518</v>
      </c>
      <c r="E363" s="26">
        <f>IFERROR(__xludf.DUMMYFUNCTION("""COMPUTED_VALUE"""),0.732598293544063)</f>
        <v>0.7325982935</v>
      </c>
      <c r="F363" s="26">
        <f>IFERROR(__xludf.DUMMYFUNCTION("""COMPUTED_VALUE"""),36.1)</f>
        <v>36.1</v>
      </c>
      <c r="G363" s="26">
        <f>IFERROR(__xludf.DUMMYFUNCTION("""COMPUTED_VALUE"""),1.677676233795E12)</f>
        <v>1677676233795</v>
      </c>
      <c r="H363" s="26">
        <f t="shared" si="1"/>
        <v>35996</v>
      </c>
    </row>
    <row r="364">
      <c r="B364" s="26">
        <f>IFERROR(__xludf.DUMMYFUNCTION("""COMPUTED_VALUE"""),-0.493539417018036)</f>
        <v>-0.493539417</v>
      </c>
      <c r="C364" s="26">
        <f>IFERROR(__xludf.DUMMYFUNCTION("""COMPUTED_VALUE"""),-0.214779179991835)</f>
        <v>-0.21477918</v>
      </c>
      <c r="D364" s="26">
        <f>IFERROR(__xludf.DUMMYFUNCTION("""COMPUTED_VALUE"""),-0.416639518034294)</f>
        <v>-0.416639518</v>
      </c>
      <c r="E364" s="26">
        <f>IFERROR(__xludf.DUMMYFUNCTION("""COMPUTED_VALUE"""),0.732598293544063)</f>
        <v>0.7325982935</v>
      </c>
      <c r="F364" s="26">
        <f>IFERROR(__xludf.DUMMYFUNCTION("""COMPUTED_VALUE"""),36.2)</f>
        <v>36.2</v>
      </c>
      <c r="G364" s="26">
        <f>IFERROR(__xludf.DUMMYFUNCTION("""COMPUTED_VALUE"""),1.677676233896E12)</f>
        <v>1677676233896</v>
      </c>
      <c r="H364" s="26">
        <f t="shared" si="1"/>
        <v>36097</v>
      </c>
    </row>
    <row r="365">
      <c r="B365" s="26">
        <f>IFERROR(__xludf.DUMMYFUNCTION("""COMPUTED_VALUE"""),-0.493539417018036)</f>
        <v>-0.493539417</v>
      </c>
      <c r="C365" s="26">
        <f>IFERROR(__xludf.DUMMYFUNCTION("""COMPUTED_VALUE"""),-0.214779179991835)</f>
        <v>-0.21477918</v>
      </c>
      <c r="D365" s="26">
        <f>IFERROR(__xludf.DUMMYFUNCTION("""COMPUTED_VALUE"""),-0.416639518034294)</f>
        <v>-0.416639518</v>
      </c>
      <c r="E365" s="26">
        <f>IFERROR(__xludf.DUMMYFUNCTION("""COMPUTED_VALUE"""),0.732598293544063)</f>
        <v>0.7325982935</v>
      </c>
      <c r="F365" s="26">
        <f>IFERROR(__xludf.DUMMYFUNCTION("""COMPUTED_VALUE"""),36.3)</f>
        <v>36.3</v>
      </c>
      <c r="G365" s="26">
        <f>IFERROR(__xludf.DUMMYFUNCTION("""COMPUTED_VALUE"""),1.677676233997E12)</f>
        <v>1677676233997</v>
      </c>
      <c r="H365" s="26">
        <f t="shared" si="1"/>
        <v>36198</v>
      </c>
    </row>
    <row r="366">
      <c r="B366" s="26">
        <f>IFERROR(__xludf.DUMMYFUNCTION("""COMPUTED_VALUE"""),-0.499522304169648)</f>
        <v>-0.4995223042</v>
      </c>
      <c r="C366" s="26">
        <f>IFERROR(__xludf.DUMMYFUNCTION("""COMPUTED_VALUE"""),-0.237326902446526)</f>
        <v>-0.2373269024</v>
      </c>
      <c r="D366" s="26">
        <f>IFERROR(__xludf.DUMMYFUNCTION("""COMPUTED_VALUE"""),-0.421849901733738)</f>
        <v>-0.4218499017</v>
      </c>
      <c r="E366" s="26">
        <f>IFERROR(__xludf.DUMMYFUNCTION("""COMPUTED_VALUE"""),0.718467862481968)</f>
        <v>0.7184678625</v>
      </c>
      <c r="F366" s="26">
        <f>IFERROR(__xludf.DUMMYFUNCTION("""COMPUTED_VALUE"""),36.4)</f>
        <v>36.4</v>
      </c>
      <c r="G366" s="26">
        <f>IFERROR(__xludf.DUMMYFUNCTION("""COMPUTED_VALUE"""),1.677676234097E12)</f>
        <v>1677676234097</v>
      </c>
      <c r="H366" s="26">
        <f t="shared" si="1"/>
        <v>36298</v>
      </c>
    </row>
    <row r="367">
      <c r="B367" s="26">
        <f>IFERROR(__xludf.DUMMYFUNCTION("""COMPUTED_VALUE"""),-0.497861856160846)</f>
        <v>-0.4978618562</v>
      </c>
      <c r="C367" s="26">
        <f>IFERROR(__xludf.DUMMYFUNCTION("""COMPUTED_VALUE"""),-0.240146481872013)</f>
        <v>-0.2401464819</v>
      </c>
      <c r="D367" s="26">
        <f>IFERROR(__xludf.DUMMYFUNCTION("""COMPUTED_VALUE"""),-0.423808263411411)</f>
        <v>-0.4238082634</v>
      </c>
      <c r="E367" s="26">
        <f>IFERROR(__xludf.DUMMYFUNCTION("""COMPUTED_VALUE"""),0.717530344507301)</f>
        <v>0.7175303445</v>
      </c>
      <c r="F367" s="26">
        <f>IFERROR(__xludf.DUMMYFUNCTION("""COMPUTED_VALUE"""),36.5)</f>
        <v>36.5</v>
      </c>
      <c r="G367" s="26">
        <f>IFERROR(__xludf.DUMMYFUNCTION("""COMPUTED_VALUE"""),1.677676234197E12)</f>
        <v>1677676234197</v>
      </c>
      <c r="H367" s="26">
        <f t="shared" si="1"/>
        <v>36398</v>
      </c>
    </row>
    <row r="368">
      <c r="B368" s="26">
        <f>IFERROR(__xludf.DUMMYFUNCTION("""COMPUTED_VALUE"""),-0.50181374398391)</f>
        <v>-0.501813744</v>
      </c>
      <c r="C368" s="26">
        <f>IFERROR(__xludf.DUMMYFUNCTION("""COMPUTED_VALUE"""),-0.246283473648681)</f>
        <v>-0.2462834736</v>
      </c>
      <c r="D368" s="26">
        <f>IFERROR(__xludf.DUMMYFUNCTION("""COMPUTED_VALUE"""),-0.423860946230025)</f>
        <v>-0.4238609462</v>
      </c>
      <c r="E368" s="26">
        <f>IFERROR(__xludf.DUMMYFUNCTION("""COMPUTED_VALUE"""),0.712649503765609)</f>
        <v>0.7126495038</v>
      </c>
      <c r="F368" s="26">
        <f>IFERROR(__xludf.DUMMYFUNCTION("""COMPUTED_VALUE"""),36.6)</f>
        <v>36.6</v>
      </c>
      <c r="G368" s="26">
        <f>IFERROR(__xludf.DUMMYFUNCTION("""COMPUTED_VALUE"""),1.677676234295E12)</f>
        <v>1677676234295</v>
      </c>
      <c r="H368" s="26">
        <f t="shared" si="1"/>
        <v>36496</v>
      </c>
    </row>
    <row r="369">
      <c r="B369" s="26">
        <f>IFERROR(__xludf.DUMMYFUNCTION("""COMPUTED_VALUE"""),-0.50181374398391)</f>
        <v>-0.501813744</v>
      </c>
      <c r="C369" s="26">
        <f>IFERROR(__xludf.DUMMYFUNCTION("""COMPUTED_VALUE"""),-0.246283473648681)</f>
        <v>-0.2462834736</v>
      </c>
      <c r="D369" s="26">
        <f>IFERROR(__xludf.DUMMYFUNCTION("""COMPUTED_VALUE"""),-0.423860946230025)</f>
        <v>-0.4238609462</v>
      </c>
      <c r="E369" s="26">
        <f>IFERROR(__xludf.DUMMYFUNCTION("""COMPUTED_VALUE"""),0.712649503765609)</f>
        <v>0.7126495038</v>
      </c>
      <c r="F369" s="26">
        <f>IFERROR(__xludf.DUMMYFUNCTION("""COMPUTED_VALUE"""),36.7)</f>
        <v>36.7</v>
      </c>
      <c r="G369" s="26">
        <f>IFERROR(__xludf.DUMMYFUNCTION("""COMPUTED_VALUE"""),1.677676234397E12)</f>
        <v>1677676234397</v>
      </c>
      <c r="H369" s="26">
        <f t="shared" si="1"/>
        <v>36598</v>
      </c>
    </row>
    <row r="370">
      <c r="B370" s="26">
        <f>IFERROR(__xludf.DUMMYFUNCTION("""COMPUTED_VALUE"""),-0.509597468353992)</f>
        <v>-0.5095974684</v>
      </c>
      <c r="C370" s="26">
        <f>IFERROR(__xludf.DUMMYFUNCTION("""COMPUTED_VALUE"""),-0.258507673216044)</f>
        <v>-0.2585076732</v>
      </c>
      <c r="D370" s="26">
        <f>IFERROR(__xludf.DUMMYFUNCTION("""COMPUTED_VALUE"""),-0.423857174204432)</f>
        <v>-0.4238571742</v>
      </c>
      <c r="E370" s="26">
        <f>IFERROR(__xludf.DUMMYFUNCTION("""COMPUTED_VALUE"""),0.70272989050634)</f>
        <v>0.7027298905</v>
      </c>
      <c r="F370" s="26">
        <f>IFERROR(__xludf.DUMMYFUNCTION("""COMPUTED_VALUE"""),36.8)</f>
        <v>36.8</v>
      </c>
      <c r="G370" s="26">
        <f>IFERROR(__xludf.DUMMYFUNCTION("""COMPUTED_VALUE"""),1.677676234497E12)</f>
        <v>1677676234497</v>
      </c>
      <c r="H370" s="26">
        <f t="shared" si="1"/>
        <v>36698</v>
      </c>
    </row>
    <row r="371">
      <c r="B371" s="26">
        <f>IFERROR(__xludf.DUMMYFUNCTION("""COMPUTED_VALUE"""),-0.509597468353992)</f>
        <v>-0.5095974684</v>
      </c>
      <c r="C371" s="26">
        <f>IFERROR(__xludf.DUMMYFUNCTION("""COMPUTED_VALUE"""),-0.258507673216044)</f>
        <v>-0.2585076732</v>
      </c>
      <c r="D371" s="26">
        <f>IFERROR(__xludf.DUMMYFUNCTION("""COMPUTED_VALUE"""),-0.423857174204432)</f>
        <v>-0.4238571742</v>
      </c>
      <c r="E371" s="26">
        <f>IFERROR(__xludf.DUMMYFUNCTION("""COMPUTED_VALUE"""),0.70272989050634)</f>
        <v>0.7027298905</v>
      </c>
      <c r="F371" s="26">
        <f>IFERROR(__xludf.DUMMYFUNCTION("""COMPUTED_VALUE"""),36.9)</f>
        <v>36.9</v>
      </c>
      <c r="G371" s="26">
        <f>IFERROR(__xludf.DUMMYFUNCTION("""COMPUTED_VALUE"""),1.677676234597E12)</f>
        <v>1677676234597</v>
      </c>
      <c r="H371" s="26">
        <f t="shared" si="1"/>
        <v>36798</v>
      </c>
    </row>
    <row r="372">
      <c r="B372" s="26">
        <f>IFERROR(__xludf.DUMMYFUNCTION("""COMPUTED_VALUE"""),-0.509597468353992)</f>
        <v>-0.5095974684</v>
      </c>
      <c r="C372" s="26">
        <f>IFERROR(__xludf.DUMMYFUNCTION("""COMPUTED_VALUE"""),-0.258507673216044)</f>
        <v>-0.2585076732</v>
      </c>
      <c r="D372" s="26">
        <f>IFERROR(__xludf.DUMMYFUNCTION("""COMPUTED_VALUE"""),-0.423857174204432)</f>
        <v>-0.4238571742</v>
      </c>
      <c r="E372" s="26">
        <f>IFERROR(__xludf.DUMMYFUNCTION("""COMPUTED_VALUE"""),0.70272989050634)</f>
        <v>0.7027298905</v>
      </c>
      <c r="F372" s="26">
        <f>IFERROR(__xludf.DUMMYFUNCTION("""COMPUTED_VALUE"""),37.0)</f>
        <v>37</v>
      </c>
      <c r="G372" s="26">
        <f>IFERROR(__xludf.DUMMYFUNCTION("""COMPUTED_VALUE"""),1.677676234698E12)</f>
        <v>1677676234698</v>
      </c>
      <c r="H372" s="26">
        <f t="shared" si="1"/>
        <v>36899</v>
      </c>
    </row>
    <row r="373">
      <c r="B373" s="26">
        <f>IFERROR(__xludf.DUMMYFUNCTION("""COMPUTED_VALUE"""),-0.509597468353992)</f>
        <v>-0.5095974684</v>
      </c>
      <c r="C373" s="26">
        <f>IFERROR(__xludf.DUMMYFUNCTION("""COMPUTED_VALUE"""),-0.258507673216044)</f>
        <v>-0.2585076732</v>
      </c>
      <c r="D373" s="26">
        <f>IFERROR(__xludf.DUMMYFUNCTION("""COMPUTED_VALUE"""),-0.423857174204432)</f>
        <v>-0.4238571742</v>
      </c>
      <c r="E373" s="26">
        <f>IFERROR(__xludf.DUMMYFUNCTION("""COMPUTED_VALUE"""),0.70272989050634)</f>
        <v>0.7027298905</v>
      </c>
      <c r="F373" s="26">
        <f>IFERROR(__xludf.DUMMYFUNCTION("""COMPUTED_VALUE"""),37.1)</f>
        <v>37.1</v>
      </c>
      <c r="G373" s="26">
        <f>IFERROR(__xludf.DUMMYFUNCTION("""COMPUTED_VALUE"""),1.677676234797E12)</f>
        <v>1677676234797</v>
      </c>
      <c r="H373" s="26">
        <f t="shared" si="1"/>
        <v>36998</v>
      </c>
    </row>
    <row r="374">
      <c r="B374" s="26">
        <f>IFERROR(__xludf.DUMMYFUNCTION("""COMPUTED_VALUE"""),-0.509597468353992)</f>
        <v>-0.5095974684</v>
      </c>
      <c r="C374" s="26">
        <f>IFERROR(__xludf.DUMMYFUNCTION("""COMPUTED_VALUE"""),-0.258507673216044)</f>
        <v>-0.2585076732</v>
      </c>
      <c r="D374" s="26">
        <f>IFERROR(__xludf.DUMMYFUNCTION("""COMPUTED_VALUE"""),-0.423857174204432)</f>
        <v>-0.4238571742</v>
      </c>
      <c r="E374" s="26">
        <f>IFERROR(__xludf.DUMMYFUNCTION("""COMPUTED_VALUE"""),0.70272989050634)</f>
        <v>0.7027298905</v>
      </c>
      <c r="F374" s="26">
        <f>IFERROR(__xludf.DUMMYFUNCTION("""COMPUTED_VALUE"""),37.2)</f>
        <v>37.2</v>
      </c>
      <c r="G374" s="26">
        <f>IFERROR(__xludf.DUMMYFUNCTION("""COMPUTED_VALUE"""),1.677676234897E12)</f>
        <v>1677676234897</v>
      </c>
      <c r="H374" s="26">
        <f t="shared" si="1"/>
        <v>37098</v>
      </c>
    </row>
    <row r="375">
      <c r="B375" s="26">
        <f>IFERROR(__xludf.DUMMYFUNCTION("""COMPUTED_VALUE"""),-0.509597468353992)</f>
        <v>-0.5095974684</v>
      </c>
      <c r="C375" s="26">
        <f>IFERROR(__xludf.DUMMYFUNCTION("""COMPUTED_VALUE"""),-0.258507673216044)</f>
        <v>-0.2585076732</v>
      </c>
      <c r="D375" s="26">
        <f>IFERROR(__xludf.DUMMYFUNCTION("""COMPUTED_VALUE"""),-0.423857174204432)</f>
        <v>-0.4238571742</v>
      </c>
      <c r="E375" s="26">
        <f>IFERROR(__xludf.DUMMYFUNCTION("""COMPUTED_VALUE"""),0.70272989050634)</f>
        <v>0.7027298905</v>
      </c>
      <c r="F375" s="26">
        <f>IFERROR(__xludf.DUMMYFUNCTION("""COMPUTED_VALUE"""),37.3)</f>
        <v>37.3</v>
      </c>
      <c r="G375" s="26">
        <f>IFERROR(__xludf.DUMMYFUNCTION("""COMPUTED_VALUE"""),1.677676235002E12)</f>
        <v>1677676235002</v>
      </c>
      <c r="H375" s="26">
        <f t="shared" si="1"/>
        <v>37203</v>
      </c>
    </row>
    <row r="376">
      <c r="B376" s="26">
        <f>IFERROR(__xludf.DUMMYFUNCTION("""COMPUTED_VALUE"""),-0.509597468353992)</f>
        <v>-0.5095974684</v>
      </c>
      <c r="C376" s="26">
        <f>IFERROR(__xludf.DUMMYFUNCTION("""COMPUTED_VALUE"""),-0.258507673216044)</f>
        <v>-0.2585076732</v>
      </c>
      <c r="D376" s="26">
        <f>IFERROR(__xludf.DUMMYFUNCTION("""COMPUTED_VALUE"""),-0.423857174204432)</f>
        <v>-0.4238571742</v>
      </c>
      <c r="E376" s="26">
        <f>IFERROR(__xludf.DUMMYFUNCTION("""COMPUTED_VALUE"""),0.70272989050634)</f>
        <v>0.7027298905</v>
      </c>
      <c r="F376" s="26">
        <f>IFERROR(__xludf.DUMMYFUNCTION("""COMPUTED_VALUE"""),37.4)</f>
        <v>37.4</v>
      </c>
      <c r="G376" s="26">
        <f>IFERROR(__xludf.DUMMYFUNCTION("""COMPUTED_VALUE"""),1.677676235102E12)</f>
        <v>1677676235102</v>
      </c>
      <c r="H376" s="26">
        <f t="shared" si="1"/>
        <v>37303</v>
      </c>
    </row>
    <row r="377">
      <c r="B377" s="26">
        <f>IFERROR(__xludf.DUMMYFUNCTION("""COMPUTED_VALUE"""),-0.509597468353992)</f>
        <v>-0.5095974684</v>
      </c>
      <c r="C377" s="26">
        <f>IFERROR(__xludf.DUMMYFUNCTION("""COMPUTED_VALUE"""),-0.258507673216044)</f>
        <v>-0.2585076732</v>
      </c>
      <c r="D377" s="26">
        <f>IFERROR(__xludf.DUMMYFUNCTION("""COMPUTED_VALUE"""),-0.423857174204432)</f>
        <v>-0.4238571742</v>
      </c>
      <c r="E377" s="26">
        <f>IFERROR(__xludf.DUMMYFUNCTION("""COMPUTED_VALUE"""),0.70272989050634)</f>
        <v>0.7027298905</v>
      </c>
      <c r="F377" s="26">
        <f>IFERROR(__xludf.DUMMYFUNCTION("""COMPUTED_VALUE"""),37.5)</f>
        <v>37.5</v>
      </c>
      <c r="G377" s="26">
        <f>IFERROR(__xludf.DUMMYFUNCTION("""COMPUTED_VALUE"""),1.677676235203E12)</f>
        <v>1677676235203</v>
      </c>
      <c r="H377" s="26">
        <f t="shared" si="1"/>
        <v>37404</v>
      </c>
    </row>
    <row r="378">
      <c r="B378" s="26">
        <f>IFERROR(__xludf.DUMMYFUNCTION("""COMPUTED_VALUE"""),-0.509597468353992)</f>
        <v>-0.5095974684</v>
      </c>
      <c r="C378" s="26">
        <f>IFERROR(__xludf.DUMMYFUNCTION("""COMPUTED_VALUE"""),-0.258507673216044)</f>
        <v>-0.2585076732</v>
      </c>
      <c r="D378" s="26">
        <f>IFERROR(__xludf.DUMMYFUNCTION("""COMPUTED_VALUE"""),-0.423857174204432)</f>
        <v>-0.4238571742</v>
      </c>
      <c r="E378" s="26">
        <f>IFERROR(__xludf.DUMMYFUNCTION("""COMPUTED_VALUE"""),0.70272989050634)</f>
        <v>0.7027298905</v>
      </c>
      <c r="F378" s="26">
        <f>IFERROR(__xludf.DUMMYFUNCTION("""COMPUTED_VALUE"""),37.6)</f>
        <v>37.6</v>
      </c>
      <c r="G378" s="26">
        <f>IFERROR(__xludf.DUMMYFUNCTION("""COMPUTED_VALUE"""),1.677676235299E12)</f>
        <v>1677676235299</v>
      </c>
      <c r="H378" s="26">
        <f t="shared" si="1"/>
        <v>37500</v>
      </c>
    </row>
    <row r="379">
      <c r="B379" s="26">
        <f>IFERROR(__xludf.DUMMYFUNCTION("""COMPUTED_VALUE"""),-0.512353145694395)</f>
        <v>-0.5123531457</v>
      </c>
      <c r="C379" s="26">
        <f>IFERROR(__xludf.DUMMYFUNCTION("""COMPUTED_VALUE"""),-0.260170158865269)</f>
        <v>-0.2601701589</v>
      </c>
      <c r="D379" s="26">
        <f>IFERROR(__xludf.DUMMYFUNCTION("""COMPUTED_VALUE"""),-0.422838751384212)</f>
        <v>-0.4228387514</v>
      </c>
      <c r="E379" s="26">
        <f>IFERROR(__xludf.DUMMYFUNCTION("""COMPUTED_VALUE"""),0.700723292649038)</f>
        <v>0.7007232926</v>
      </c>
      <c r="F379" s="26">
        <f>IFERROR(__xludf.DUMMYFUNCTION("""COMPUTED_VALUE"""),37.7)</f>
        <v>37.7</v>
      </c>
      <c r="G379" s="26">
        <f>IFERROR(__xludf.DUMMYFUNCTION("""COMPUTED_VALUE"""),1.677676235402E12)</f>
        <v>1677676235402</v>
      </c>
      <c r="H379" s="26">
        <f t="shared" si="1"/>
        <v>37603</v>
      </c>
    </row>
    <row r="380">
      <c r="B380" s="26">
        <f>IFERROR(__xludf.DUMMYFUNCTION("""COMPUTED_VALUE"""),-0.512353145694395)</f>
        <v>-0.5123531457</v>
      </c>
      <c r="C380" s="26">
        <f>IFERROR(__xludf.DUMMYFUNCTION("""COMPUTED_VALUE"""),-0.260170158865269)</f>
        <v>-0.2601701589</v>
      </c>
      <c r="D380" s="26">
        <f>IFERROR(__xludf.DUMMYFUNCTION("""COMPUTED_VALUE"""),-0.422838751384212)</f>
        <v>-0.4228387514</v>
      </c>
      <c r="E380" s="26">
        <f>IFERROR(__xludf.DUMMYFUNCTION("""COMPUTED_VALUE"""),0.700723292649038)</f>
        <v>0.7007232926</v>
      </c>
      <c r="F380" s="26">
        <f>IFERROR(__xludf.DUMMYFUNCTION("""COMPUTED_VALUE"""),37.8)</f>
        <v>37.8</v>
      </c>
      <c r="G380" s="26">
        <f>IFERROR(__xludf.DUMMYFUNCTION("""COMPUTED_VALUE"""),1.677676235501E12)</f>
        <v>1677676235501</v>
      </c>
      <c r="H380" s="26">
        <f t="shared" si="1"/>
        <v>37702</v>
      </c>
    </row>
    <row r="381">
      <c r="B381" s="26">
        <f>IFERROR(__xludf.DUMMYFUNCTION("""COMPUTED_VALUE"""),-0.512353145694395)</f>
        <v>-0.5123531457</v>
      </c>
      <c r="C381" s="26">
        <f>IFERROR(__xludf.DUMMYFUNCTION("""COMPUTED_VALUE"""),-0.260170158865269)</f>
        <v>-0.2601701589</v>
      </c>
      <c r="D381" s="26">
        <f>IFERROR(__xludf.DUMMYFUNCTION("""COMPUTED_VALUE"""),-0.422838751384212)</f>
        <v>-0.4228387514</v>
      </c>
      <c r="E381" s="26">
        <f>IFERROR(__xludf.DUMMYFUNCTION("""COMPUTED_VALUE"""),0.700723292649038)</f>
        <v>0.7007232926</v>
      </c>
      <c r="F381" s="26">
        <f>IFERROR(__xludf.DUMMYFUNCTION("""COMPUTED_VALUE"""),37.9)</f>
        <v>37.9</v>
      </c>
      <c r="G381" s="26">
        <f>IFERROR(__xludf.DUMMYFUNCTION("""COMPUTED_VALUE"""),1.677676235596E12)</f>
        <v>1677676235596</v>
      </c>
      <c r="H381" s="26">
        <f t="shared" si="1"/>
        <v>37797</v>
      </c>
    </row>
    <row r="382">
      <c r="B382" s="26">
        <f>IFERROR(__xludf.DUMMYFUNCTION("""COMPUTED_VALUE"""),-0.512353145694395)</f>
        <v>-0.5123531457</v>
      </c>
      <c r="C382" s="26">
        <f>IFERROR(__xludf.DUMMYFUNCTION("""COMPUTED_VALUE"""),-0.260170158865269)</f>
        <v>-0.2601701589</v>
      </c>
      <c r="D382" s="26">
        <f>IFERROR(__xludf.DUMMYFUNCTION("""COMPUTED_VALUE"""),-0.422838751384212)</f>
        <v>-0.4228387514</v>
      </c>
      <c r="E382" s="26">
        <f>IFERROR(__xludf.DUMMYFUNCTION("""COMPUTED_VALUE"""),0.700723292649038)</f>
        <v>0.7007232926</v>
      </c>
      <c r="F382" s="26">
        <f>IFERROR(__xludf.DUMMYFUNCTION("""COMPUTED_VALUE"""),38.0)</f>
        <v>38</v>
      </c>
      <c r="G382" s="26">
        <f>IFERROR(__xludf.DUMMYFUNCTION("""COMPUTED_VALUE"""),1.677676235696E12)</f>
        <v>1677676235696</v>
      </c>
      <c r="H382" s="26">
        <f t="shared" si="1"/>
        <v>37897</v>
      </c>
    </row>
    <row r="383">
      <c r="B383" s="26">
        <f>IFERROR(__xludf.DUMMYFUNCTION("""COMPUTED_VALUE"""),-0.512353145694395)</f>
        <v>-0.5123531457</v>
      </c>
      <c r="C383" s="26">
        <f>IFERROR(__xludf.DUMMYFUNCTION("""COMPUTED_VALUE"""),-0.260170158865269)</f>
        <v>-0.2601701589</v>
      </c>
      <c r="D383" s="26">
        <f>IFERROR(__xludf.DUMMYFUNCTION("""COMPUTED_VALUE"""),-0.422838751384212)</f>
        <v>-0.4228387514</v>
      </c>
      <c r="E383" s="26">
        <f>IFERROR(__xludf.DUMMYFUNCTION("""COMPUTED_VALUE"""),0.700723292649038)</f>
        <v>0.7007232926</v>
      </c>
      <c r="F383" s="26">
        <f>IFERROR(__xludf.DUMMYFUNCTION("""COMPUTED_VALUE"""),38.1)</f>
        <v>38.1</v>
      </c>
      <c r="G383" s="26">
        <f>IFERROR(__xludf.DUMMYFUNCTION("""COMPUTED_VALUE"""),1.677676235798E12)</f>
        <v>1677676235798</v>
      </c>
      <c r="H383" s="26">
        <f t="shared" si="1"/>
        <v>37999</v>
      </c>
    </row>
    <row r="384">
      <c r="B384" s="26">
        <f>IFERROR(__xludf.DUMMYFUNCTION("""COMPUTED_VALUE"""),-0.512353145694395)</f>
        <v>-0.5123531457</v>
      </c>
      <c r="C384" s="26">
        <f>IFERROR(__xludf.DUMMYFUNCTION("""COMPUTED_VALUE"""),-0.260170158865269)</f>
        <v>-0.2601701589</v>
      </c>
      <c r="D384" s="26">
        <f>IFERROR(__xludf.DUMMYFUNCTION("""COMPUTED_VALUE"""),-0.422838751384212)</f>
        <v>-0.4228387514</v>
      </c>
      <c r="E384" s="26">
        <f>IFERROR(__xludf.DUMMYFUNCTION("""COMPUTED_VALUE"""),0.700723292649038)</f>
        <v>0.7007232926</v>
      </c>
      <c r="F384" s="26">
        <f>IFERROR(__xludf.DUMMYFUNCTION("""COMPUTED_VALUE"""),38.2)</f>
        <v>38.2</v>
      </c>
      <c r="G384" s="26">
        <f>IFERROR(__xludf.DUMMYFUNCTION("""COMPUTED_VALUE"""),1.677676235897E12)</f>
        <v>1677676235897</v>
      </c>
      <c r="H384" s="26">
        <f t="shared" si="1"/>
        <v>38098</v>
      </c>
    </row>
    <row r="385">
      <c r="B385" s="26">
        <f>IFERROR(__xludf.DUMMYFUNCTION("""COMPUTED_VALUE"""),-0.512353145694395)</f>
        <v>-0.5123531457</v>
      </c>
      <c r="C385" s="26">
        <f>IFERROR(__xludf.DUMMYFUNCTION("""COMPUTED_VALUE"""),-0.260170158865269)</f>
        <v>-0.2601701589</v>
      </c>
      <c r="D385" s="26">
        <f>IFERROR(__xludf.DUMMYFUNCTION("""COMPUTED_VALUE"""),-0.422838751384212)</f>
        <v>-0.4228387514</v>
      </c>
      <c r="E385" s="26">
        <f>IFERROR(__xludf.DUMMYFUNCTION("""COMPUTED_VALUE"""),0.700723292649038)</f>
        <v>0.7007232926</v>
      </c>
      <c r="F385" s="26">
        <f>IFERROR(__xludf.DUMMYFUNCTION("""COMPUTED_VALUE"""),38.3)</f>
        <v>38.3</v>
      </c>
      <c r="G385" s="26">
        <f>IFERROR(__xludf.DUMMYFUNCTION("""COMPUTED_VALUE"""),1.677676235997E12)</f>
        <v>1677676235997</v>
      </c>
      <c r="H385" s="26">
        <f t="shared" si="1"/>
        <v>38198</v>
      </c>
    </row>
    <row r="386">
      <c r="B386" s="26">
        <f>IFERROR(__xludf.DUMMYFUNCTION("""COMPUTED_VALUE"""),-0.512353145694395)</f>
        <v>-0.5123531457</v>
      </c>
      <c r="C386" s="26">
        <f>IFERROR(__xludf.DUMMYFUNCTION("""COMPUTED_VALUE"""),-0.260170158865269)</f>
        <v>-0.2601701589</v>
      </c>
      <c r="D386" s="26">
        <f>IFERROR(__xludf.DUMMYFUNCTION("""COMPUTED_VALUE"""),-0.422838751384212)</f>
        <v>-0.4228387514</v>
      </c>
      <c r="E386" s="26">
        <f>IFERROR(__xludf.DUMMYFUNCTION("""COMPUTED_VALUE"""),0.700723292649038)</f>
        <v>0.7007232926</v>
      </c>
      <c r="F386" s="26">
        <f>IFERROR(__xludf.DUMMYFUNCTION("""COMPUTED_VALUE"""),38.4)</f>
        <v>38.4</v>
      </c>
      <c r="G386" s="26">
        <f>IFERROR(__xludf.DUMMYFUNCTION("""COMPUTED_VALUE"""),1.677676236097E12)</f>
        <v>1677676236097</v>
      </c>
      <c r="H386" s="26">
        <f t="shared" si="1"/>
        <v>38298</v>
      </c>
    </row>
    <row r="387">
      <c r="B387" s="26">
        <f>IFERROR(__xludf.DUMMYFUNCTION("""COMPUTED_VALUE"""),-0.512353145694395)</f>
        <v>-0.5123531457</v>
      </c>
      <c r="C387" s="26">
        <f>IFERROR(__xludf.DUMMYFUNCTION("""COMPUTED_VALUE"""),-0.260170158865269)</f>
        <v>-0.2601701589</v>
      </c>
      <c r="D387" s="26">
        <f>IFERROR(__xludf.DUMMYFUNCTION("""COMPUTED_VALUE"""),-0.422838751384212)</f>
        <v>-0.4228387514</v>
      </c>
      <c r="E387" s="26">
        <f>IFERROR(__xludf.DUMMYFUNCTION("""COMPUTED_VALUE"""),0.700723292649038)</f>
        <v>0.7007232926</v>
      </c>
      <c r="F387" s="26">
        <f>IFERROR(__xludf.DUMMYFUNCTION("""COMPUTED_VALUE"""),38.5)</f>
        <v>38.5</v>
      </c>
      <c r="G387" s="26">
        <f>IFERROR(__xludf.DUMMYFUNCTION("""COMPUTED_VALUE"""),1.677676236198E12)</f>
        <v>1677676236198</v>
      </c>
      <c r="H387" s="26">
        <f t="shared" si="1"/>
        <v>38399</v>
      </c>
    </row>
    <row r="388">
      <c r="B388" s="26">
        <f>IFERROR(__xludf.DUMMYFUNCTION("""COMPUTED_VALUE"""),-0.512353145694395)</f>
        <v>-0.5123531457</v>
      </c>
      <c r="C388" s="26">
        <f>IFERROR(__xludf.DUMMYFUNCTION("""COMPUTED_VALUE"""),-0.260170158865269)</f>
        <v>-0.2601701589</v>
      </c>
      <c r="D388" s="26">
        <f>IFERROR(__xludf.DUMMYFUNCTION("""COMPUTED_VALUE"""),-0.422838751384212)</f>
        <v>-0.4228387514</v>
      </c>
      <c r="E388" s="26">
        <f>IFERROR(__xludf.DUMMYFUNCTION("""COMPUTED_VALUE"""),0.700723292649038)</f>
        <v>0.7007232926</v>
      </c>
      <c r="F388" s="26">
        <f>IFERROR(__xludf.DUMMYFUNCTION("""COMPUTED_VALUE"""),38.6)</f>
        <v>38.6</v>
      </c>
      <c r="G388" s="26">
        <f>IFERROR(__xludf.DUMMYFUNCTION("""COMPUTED_VALUE"""),1.677676236296E12)</f>
        <v>1677676236296</v>
      </c>
      <c r="H388" s="26">
        <f t="shared" si="1"/>
        <v>38497</v>
      </c>
    </row>
    <row r="389">
      <c r="B389" s="26">
        <f>IFERROR(__xludf.DUMMYFUNCTION("""COMPUTED_VALUE"""),-0.512353145694395)</f>
        <v>-0.5123531457</v>
      </c>
      <c r="C389" s="26">
        <f>IFERROR(__xludf.DUMMYFUNCTION("""COMPUTED_VALUE"""),-0.260170158865269)</f>
        <v>-0.2601701589</v>
      </c>
      <c r="D389" s="26">
        <f>IFERROR(__xludf.DUMMYFUNCTION("""COMPUTED_VALUE"""),-0.422838751384212)</f>
        <v>-0.4228387514</v>
      </c>
      <c r="E389" s="26">
        <f>IFERROR(__xludf.DUMMYFUNCTION("""COMPUTED_VALUE"""),0.700723292649038)</f>
        <v>0.7007232926</v>
      </c>
      <c r="F389" s="26">
        <f>IFERROR(__xludf.DUMMYFUNCTION("""COMPUTED_VALUE"""),38.7)</f>
        <v>38.7</v>
      </c>
      <c r="G389" s="26">
        <f>IFERROR(__xludf.DUMMYFUNCTION("""COMPUTED_VALUE"""),1.677676236397E12)</f>
        <v>1677676236397</v>
      </c>
      <c r="H389" s="26">
        <f t="shared" si="1"/>
        <v>38598</v>
      </c>
    </row>
    <row r="390">
      <c r="B390" s="26">
        <f>IFERROR(__xludf.DUMMYFUNCTION("""COMPUTED_VALUE"""),-0.512353145694395)</f>
        <v>-0.5123531457</v>
      </c>
      <c r="C390" s="26">
        <f>IFERROR(__xludf.DUMMYFUNCTION("""COMPUTED_VALUE"""),-0.260170158865269)</f>
        <v>-0.2601701589</v>
      </c>
      <c r="D390" s="26">
        <f>IFERROR(__xludf.DUMMYFUNCTION("""COMPUTED_VALUE"""),-0.422838751384212)</f>
        <v>-0.4228387514</v>
      </c>
      <c r="E390" s="26">
        <f>IFERROR(__xludf.DUMMYFUNCTION("""COMPUTED_VALUE"""),0.700723292649038)</f>
        <v>0.7007232926</v>
      </c>
      <c r="F390" s="26">
        <f>IFERROR(__xludf.DUMMYFUNCTION("""COMPUTED_VALUE"""),38.8)</f>
        <v>38.8</v>
      </c>
      <c r="G390" s="26">
        <f>IFERROR(__xludf.DUMMYFUNCTION("""COMPUTED_VALUE"""),1.677676236497E12)</f>
        <v>1677676236497</v>
      </c>
      <c r="H390" s="26">
        <f t="shared" si="1"/>
        <v>38698</v>
      </c>
    </row>
    <row r="391">
      <c r="B391" s="26">
        <f>IFERROR(__xludf.DUMMYFUNCTION("""COMPUTED_VALUE"""),-0.512353145694395)</f>
        <v>-0.5123531457</v>
      </c>
      <c r="C391" s="26">
        <f>IFERROR(__xludf.DUMMYFUNCTION("""COMPUTED_VALUE"""),-0.260170158865269)</f>
        <v>-0.2601701589</v>
      </c>
      <c r="D391" s="26">
        <f>IFERROR(__xludf.DUMMYFUNCTION("""COMPUTED_VALUE"""),-0.422838751384212)</f>
        <v>-0.4228387514</v>
      </c>
      <c r="E391" s="26">
        <f>IFERROR(__xludf.DUMMYFUNCTION("""COMPUTED_VALUE"""),0.700723292649038)</f>
        <v>0.7007232926</v>
      </c>
      <c r="F391" s="26">
        <f>IFERROR(__xludf.DUMMYFUNCTION("""COMPUTED_VALUE"""),38.9)</f>
        <v>38.9</v>
      </c>
      <c r="G391" s="26">
        <f>IFERROR(__xludf.DUMMYFUNCTION("""COMPUTED_VALUE"""),1.677676236595E12)</f>
        <v>1677676236595</v>
      </c>
      <c r="H391" s="26">
        <f t="shared" si="1"/>
        <v>38796</v>
      </c>
    </row>
    <row r="392">
      <c r="B392" s="26">
        <f>IFERROR(__xludf.DUMMYFUNCTION("""COMPUTED_VALUE"""),-0.512353145694395)</f>
        <v>-0.5123531457</v>
      </c>
      <c r="C392" s="26">
        <f>IFERROR(__xludf.DUMMYFUNCTION("""COMPUTED_VALUE"""),-0.260170158865269)</f>
        <v>-0.2601701589</v>
      </c>
      <c r="D392" s="26">
        <f>IFERROR(__xludf.DUMMYFUNCTION("""COMPUTED_VALUE"""),-0.422838751384212)</f>
        <v>-0.4228387514</v>
      </c>
      <c r="E392" s="26">
        <f>IFERROR(__xludf.DUMMYFUNCTION("""COMPUTED_VALUE"""),0.700723292649038)</f>
        <v>0.7007232926</v>
      </c>
      <c r="F392" s="26">
        <f>IFERROR(__xludf.DUMMYFUNCTION("""COMPUTED_VALUE"""),39.0)</f>
        <v>39</v>
      </c>
      <c r="G392" s="26">
        <f>IFERROR(__xludf.DUMMYFUNCTION("""COMPUTED_VALUE"""),1.677676236696E12)</f>
        <v>1677676236696</v>
      </c>
      <c r="H392" s="26">
        <f t="shared" si="1"/>
        <v>38897</v>
      </c>
    </row>
    <row r="393">
      <c r="B393" s="26">
        <f>IFERROR(__xludf.DUMMYFUNCTION("""COMPUTED_VALUE"""),-0.512353145694395)</f>
        <v>-0.5123531457</v>
      </c>
      <c r="C393" s="26">
        <f>IFERROR(__xludf.DUMMYFUNCTION("""COMPUTED_VALUE"""),-0.260170158865269)</f>
        <v>-0.2601701589</v>
      </c>
      <c r="D393" s="26">
        <f>IFERROR(__xludf.DUMMYFUNCTION("""COMPUTED_VALUE"""),-0.422838751384212)</f>
        <v>-0.4228387514</v>
      </c>
      <c r="E393" s="26">
        <f>IFERROR(__xludf.DUMMYFUNCTION("""COMPUTED_VALUE"""),0.700723292649038)</f>
        <v>0.7007232926</v>
      </c>
      <c r="F393" s="26">
        <f>IFERROR(__xludf.DUMMYFUNCTION("""COMPUTED_VALUE"""),39.1)</f>
        <v>39.1</v>
      </c>
      <c r="G393" s="26">
        <f>IFERROR(__xludf.DUMMYFUNCTION("""COMPUTED_VALUE"""),1.677676236797E12)</f>
        <v>1677676236797</v>
      </c>
      <c r="H393" s="26">
        <f t="shared" si="1"/>
        <v>38998</v>
      </c>
    </row>
    <row r="394">
      <c r="B394" s="26">
        <f>IFERROR(__xludf.DUMMYFUNCTION("""COMPUTED_VALUE"""),-0.512353145694395)</f>
        <v>-0.5123531457</v>
      </c>
      <c r="C394" s="26">
        <f>IFERROR(__xludf.DUMMYFUNCTION("""COMPUTED_VALUE"""),-0.260170158865269)</f>
        <v>-0.2601701589</v>
      </c>
      <c r="D394" s="26">
        <f>IFERROR(__xludf.DUMMYFUNCTION("""COMPUTED_VALUE"""),-0.422838751384212)</f>
        <v>-0.4228387514</v>
      </c>
      <c r="E394" s="26">
        <f>IFERROR(__xludf.DUMMYFUNCTION("""COMPUTED_VALUE"""),0.700723292649038)</f>
        <v>0.7007232926</v>
      </c>
      <c r="F394" s="26">
        <f>IFERROR(__xludf.DUMMYFUNCTION("""COMPUTED_VALUE"""),39.2)</f>
        <v>39.2</v>
      </c>
      <c r="G394" s="26">
        <f>IFERROR(__xludf.DUMMYFUNCTION("""COMPUTED_VALUE"""),1.677676236925E12)</f>
        <v>1677676236925</v>
      </c>
      <c r="H394" s="26">
        <f t="shared" si="1"/>
        <v>39126</v>
      </c>
    </row>
    <row r="395">
      <c r="B395" s="26">
        <f>IFERROR(__xludf.DUMMYFUNCTION("""COMPUTED_VALUE"""),-0.512353145694395)</f>
        <v>-0.5123531457</v>
      </c>
      <c r="C395" s="26">
        <f>IFERROR(__xludf.DUMMYFUNCTION("""COMPUTED_VALUE"""),-0.260170158865269)</f>
        <v>-0.2601701589</v>
      </c>
      <c r="D395" s="26">
        <f>IFERROR(__xludf.DUMMYFUNCTION("""COMPUTED_VALUE"""),-0.422838751384212)</f>
        <v>-0.4228387514</v>
      </c>
      <c r="E395" s="26">
        <f>IFERROR(__xludf.DUMMYFUNCTION("""COMPUTED_VALUE"""),0.700723292649038)</f>
        <v>0.7007232926</v>
      </c>
      <c r="F395" s="26">
        <f>IFERROR(__xludf.DUMMYFUNCTION("""COMPUTED_VALUE"""),39.3)</f>
        <v>39.3</v>
      </c>
      <c r="G395" s="26">
        <f>IFERROR(__xludf.DUMMYFUNCTION("""COMPUTED_VALUE"""),1.677676237967E12)</f>
        <v>1677676237967</v>
      </c>
      <c r="H395" s="26">
        <f t="shared" si="1"/>
        <v>40168</v>
      </c>
    </row>
    <row r="396">
      <c r="B396" s="26">
        <f>IFERROR(__xludf.DUMMYFUNCTION("""COMPUTED_VALUE"""),-0.512353145694395)</f>
        <v>-0.5123531457</v>
      </c>
      <c r="C396" s="26">
        <f>IFERROR(__xludf.DUMMYFUNCTION("""COMPUTED_VALUE"""),-0.260170158865269)</f>
        <v>-0.2601701589</v>
      </c>
      <c r="D396" s="26">
        <f>IFERROR(__xludf.DUMMYFUNCTION("""COMPUTED_VALUE"""),-0.422838751384212)</f>
        <v>-0.4228387514</v>
      </c>
      <c r="E396" s="26">
        <f>IFERROR(__xludf.DUMMYFUNCTION("""COMPUTED_VALUE"""),0.700723292649038)</f>
        <v>0.7007232926</v>
      </c>
      <c r="F396" s="26">
        <f>IFERROR(__xludf.DUMMYFUNCTION("""COMPUTED_VALUE"""),39.4)</f>
        <v>39.4</v>
      </c>
      <c r="G396" s="26">
        <f>IFERROR(__xludf.DUMMYFUNCTION("""COMPUTED_VALUE"""),1.677676238969E12)</f>
        <v>1677676238969</v>
      </c>
      <c r="H396" s="26">
        <f t="shared" si="1"/>
        <v>41170</v>
      </c>
    </row>
    <row r="397">
      <c r="B397" s="26">
        <f>IFERROR(__xludf.DUMMYFUNCTION("""COMPUTED_VALUE"""),-0.512353145694395)</f>
        <v>-0.5123531457</v>
      </c>
      <c r="C397" s="26">
        <f>IFERROR(__xludf.DUMMYFUNCTION("""COMPUTED_VALUE"""),-0.260170158865269)</f>
        <v>-0.2601701589</v>
      </c>
      <c r="D397" s="26">
        <f>IFERROR(__xludf.DUMMYFUNCTION("""COMPUTED_VALUE"""),-0.422838751384212)</f>
        <v>-0.4228387514</v>
      </c>
      <c r="E397" s="26">
        <f>IFERROR(__xludf.DUMMYFUNCTION("""COMPUTED_VALUE"""),0.700723292649038)</f>
        <v>0.7007232926</v>
      </c>
      <c r="F397" s="26">
        <f>IFERROR(__xludf.DUMMYFUNCTION("""COMPUTED_VALUE"""),39.5)</f>
        <v>39.5</v>
      </c>
      <c r="G397" s="26">
        <f>IFERROR(__xludf.DUMMYFUNCTION("""COMPUTED_VALUE"""),1.677676239972E12)</f>
        <v>1677676239972</v>
      </c>
      <c r="H397" s="26">
        <f t="shared" si="1"/>
        <v>42173</v>
      </c>
    </row>
    <row r="398">
      <c r="B398" s="26">
        <f>IFERROR(__xludf.DUMMYFUNCTION("""COMPUTED_VALUE"""),-0.512353145694395)</f>
        <v>-0.5123531457</v>
      </c>
      <c r="C398" s="26">
        <f>IFERROR(__xludf.DUMMYFUNCTION("""COMPUTED_VALUE"""),-0.260170158865269)</f>
        <v>-0.2601701589</v>
      </c>
      <c r="D398" s="26">
        <f>IFERROR(__xludf.DUMMYFUNCTION("""COMPUTED_VALUE"""),-0.422838751384212)</f>
        <v>-0.4228387514</v>
      </c>
      <c r="E398" s="26">
        <f>IFERROR(__xludf.DUMMYFUNCTION("""COMPUTED_VALUE"""),0.700723292649038)</f>
        <v>0.7007232926</v>
      </c>
      <c r="F398" s="26">
        <f>IFERROR(__xludf.DUMMYFUNCTION("""COMPUTED_VALUE"""),39.6)</f>
        <v>39.6</v>
      </c>
      <c r="G398" s="26">
        <f>IFERROR(__xludf.DUMMYFUNCTION("""COMPUTED_VALUE"""),1.677676240973E12)</f>
        <v>1677676240973</v>
      </c>
      <c r="H398" s="26">
        <f t="shared" si="1"/>
        <v>43174</v>
      </c>
    </row>
    <row r="399">
      <c r="B399" s="26">
        <f>IFERROR(__xludf.DUMMYFUNCTION("""COMPUTED_VALUE"""),-0.512353145694395)</f>
        <v>-0.5123531457</v>
      </c>
      <c r="C399" s="26">
        <f>IFERROR(__xludf.DUMMYFUNCTION("""COMPUTED_VALUE"""),-0.260170158865269)</f>
        <v>-0.2601701589</v>
      </c>
      <c r="D399" s="26">
        <f>IFERROR(__xludf.DUMMYFUNCTION("""COMPUTED_VALUE"""),-0.422838751384212)</f>
        <v>-0.4228387514</v>
      </c>
      <c r="E399" s="26">
        <f>IFERROR(__xludf.DUMMYFUNCTION("""COMPUTED_VALUE"""),0.700723292649038)</f>
        <v>0.7007232926</v>
      </c>
      <c r="F399" s="26">
        <f>IFERROR(__xludf.DUMMYFUNCTION("""COMPUTED_VALUE"""),39.7)</f>
        <v>39.7</v>
      </c>
      <c r="G399" s="26">
        <f>IFERROR(__xludf.DUMMYFUNCTION("""COMPUTED_VALUE"""),1.677676241974E12)</f>
        <v>1677676241974</v>
      </c>
      <c r="H399" s="26">
        <f t="shared" si="1"/>
        <v>44175</v>
      </c>
    </row>
    <row r="400">
      <c r="B400" s="26">
        <f>IFERROR(__xludf.DUMMYFUNCTION("""COMPUTED_VALUE"""),-0.512353145694395)</f>
        <v>-0.5123531457</v>
      </c>
      <c r="C400" s="26">
        <f>IFERROR(__xludf.DUMMYFUNCTION("""COMPUTED_VALUE"""),-0.260170158865269)</f>
        <v>-0.2601701589</v>
      </c>
      <c r="D400" s="26">
        <f>IFERROR(__xludf.DUMMYFUNCTION("""COMPUTED_VALUE"""),-0.422838751384212)</f>
        <v>-0.4228387514</v>
      </c>
      <c r="E400" s="26">
        <f>IFERROR(__xludf.DUMMYFUNCTION("""COMPUTED_VALUE"""),0.700723292649038)</f>
        <v>0.7007232926</v>
      </c>
      <c r="F400" s="26">
        <f>IFERROR(__xludf.DUMMYFUNCTION("""COMPUTED_VALUE"""),39.8)</f>
        <v>39.8</v>
      </c>
      <c r="G400" s="26">
        <f>IFERROR(__xludf.DUMMYFUNCTION("""COMPUTED_VALUE"""),1.677676242981E12)</f>
        <v>1677676242981</v>
      </c>
      <c r="H400" s="26">
        <f t="shared" si="1"/>
        <v>45182</v>
      </c>
    </row>
    <row r="401">
      <c r="B401" s="26">
        <f>IFERROR(__xludf.DUMMYFUNCTION("""COMPUTED_VALUE"""),-0.512353145694395)</f>
        <v>-0.5123531457</v>
      </c>
      <c r="C401" s="26">
        <f>IFERROR(__xludf.DUMMYFUNCTION("""COMPUTED_VALUE"""),-0.260170158865269)</f>
        <v>-0.2601701589</v>
      </c>
      <c r="D401" s="26">
        <f>IFERROR(__xludf.DUMMYFUNCTION("""COMPUTED_VALUE"""),-0.422838751384212)</f>
        <v>-0.4228387514</v>
      </c>
      <c r="E401" s="26">
        <f>IFERROR(__xludf.DUMMYFUNCTION("""COMPUTED_VALUE"""),0.700723292649038)</f>
        <v>0.7007232926</v>
      </c>
      <c r="F401" s="26">
        <f>IFERROR(__xludf.DUMMYFUNCTION("""COMPUTED_VALUE"""),39.9)</f>
        <v>39.9</v>
      </c>
      <c r="G401" s="26">
        <f>IFERROR(__xludf.DUMMYFUNCTION("""COMPUTED_VALUE"""),1.677676243984E12)</f>
        <v>1677676243984</v>
      </c>
      <c r="H401" s="26">
        <f t="shared" si="1"/>
        <v>46185</v>
      </c>
    </row>
    <row r="402">
      <c r="B402" s="26">
        <f>IFERROR(__xludf.DUMMYFUNCTION("""COMPUTED_VALUE"""),-0.512353145694395)</f>
        <v>-0.5123531457</v>
      </c>
      <c r="C402" s="26">
        <f>IFERROR(__xludf.DUMMYFUNCTION("""COMPUTED_VALUE"""),-0.260170158865269)</f>
        <v>-0.2601701589</v>
      </c>
      <c r="D402" s="26">
        <f>IFERROR(__xludf.DUMMYFUNCTION("""COMPUTED_VALUE"""),-0.422838751384212)</f>
        <v>-0.4228387514</v>
      </c>
      <c r="E402" s="26">
        <f>IFERROR(__xludf.DUMMYFUNCTION("""COMPUTED_VALUE"""),0.700723292649038)</f>
        <v>0.7007232926</v>
      </c>
      <c r="F402" s="26">
        <f>IFERROR(__xludf.DUMMYFUNCTION("""COMPUTED_VALUE"""),40.0)</f>
        <v>40</v>
      </c>
      <c r="G402" s="26">
        <f>IFERROR(__xludf.DUMMYFUNCTION("""COMPUTED_VALUE"""),1.677676245047E12)</f>
        <v>1677676245047</v>
      </c>
      <c r="H402" s="26">
        <f t="shared" si="1"/>
        <v>47248</v>
      </c>
    </row>
    <row r="403">
      <c r="B403" s="26">
        <f>IFERROR(__xludf.DUMMYFUNCTION("""COMPUTED_VALUE"""),-0.512353145694395)</f>
        <v>-0.5123531457</v>
      </c>
      <c r="C403" s="26">
        <f>IFERROR(__xludf.DUMMYFUNCTION("""COMPUTED_VALUE"""),-0.260170158865269)</f>
        <v>-0.2601701589</v>
      </c>
      <c r="D403" s="26">
        <f>IFERROR(__xludf.DUMMYFUNCTION("""COMPUTED_VALUE"""),-0.422838751384212)</f>
        <v>-0.4228387514</v>
      </c>
      <c r="E403" s="26">
        <f>IFERROR(__xludf.DUMMYFUNCTION("""COMPUTED_VALUE"""),0.700723292649038)</f>
        <v>0.7007232926</v>
      </c>
      <c r="F403" s="26">
        <f>IFERROR(__xludf.DUMMYFUNCTION("""COMPUTED_VALUE"""),40.1)</f>
        <v>40.1</v>
      </c>
      <c r="G403" s="26">
        <f>IFERROR(__xludf.DUMMYFUNCTION("""COMPUTED_VALUE"""),1.677676246048E12)</f>
        <v>1677676246048</v>
      </c>
      <c r="H403" s="26">
        <f t="shared" si="1"/>
        <v>48249</v>
      </c>
    </row>
    <row r="404">
      <c r="B404" s="26">
        <f>IFERROR(__xludf.DUMMYFUNCTION("""COMPUTED_VALUE"""),-0.512353145694395)</f>
        <v>-0.5123531457</v>
      </c>
      <c r="C404" s="26">
        <f>IFERROR(__xludf.DUMMYFUNCTION("""COMPUTED_VALUE"""),-0.260170158865269)</f>
        <v>-0.2601701589</v>
      </c>
      <c r="D404" s="26">
        <f>IFERROR(__xludf.DUMMYFUNCTION("""COMPUTED_VALUE"""),-0.422838751384212)</f>
        <v>-0.4228387514</v>
      </c>
      <c r="E404" s="26">
        <f>IFERROR(__xludf.DUMMYFUNCTION("""COMPUTED_VALUE"""),0.700723292649038)</f>
        <v>0.7007232926</v>
      </c>
      <c r="F404" s="26">
        <f>IFERROR(__xludf.DUMMYFUNCTION("""COMPUTED_VALUE"""),40.2)</f>
        <v>40.2</v>
      </c>
      <c r="G404" s="26">
        <f>IFERROR(__xludf.DUMMYFUNCTION("""COMPUTED_VALUE"""),1.677676247073E12)</f>
        <v>1677676247073</v>
      </c>
      <c r="H404" s="26">
        <f t="shared" si="1"/>
        <v>49274</v>
      </c>
    </row>
    <row r="405">
      <c r="B405" s="26">
        <f>IFERROR(__xludf.DUMMYFUNCTION("""COMPUTED_VALUE"""),-0.512353145694395)</f>
        <v>-0.5123531457</v>
      </c>
      <c r="C405" s="26">
        <f>IFERROR(__xludf.DUMMYFUNCTION("""COMPUTED_VALUE"""),-0.260170158865269)</f>
        <v>-0.2601701589</v>
      </c>
      <c r="D405" s="26">
        <f>IFERROR(__xludf.DUMMYFUNCTION("""COMPUTED_VALUE"""),-0.422838751384212)</f>
        <v>-0.4228387514</v>
      </c>
      <c r="E405" s="26">
        <f>IFERROR(__xludf.DUMMYFUNCTION("""COMPUTED_VALUE"""),0.700723292649038)</f>
        <v>0.7007232926</v>
      </c>
      <c r="F405" s="26">
        <f>IFERROR(__xludf.DUMMYFUNCTION("""COMPUTED_VALUE"""),40.3)</f>
        <v>40.3</v>
      </c>
      <c r="G405" s="26">
        <f>IFERROR(__xludf.DUMMYFUNCTION("""COMPUTED_VALUE"""),1.677676248152E12)</f>
        <v>1677676248152</v>
      </c>
      <c r="H405" s="26">
        <f t="shared" si="1"/>
        <v>50353</v>
      </c>
    </row>
    <row r="406">
      <c r="B406" s="26">
        <f>IFERROR(__xludf.DUMMYFUNCTION("""COMPUTED_VALUE"""),-0.512353145694395)</f>
        <v>-0.5123531457</v>
      </c>
      <c r="C406" s="26">
        <f>IFERROR(__xludf.DUMMYFUNCTION("""COMPUTED_VALUE"""),-0.260170158865269)</f>
        <v>-0.2601701589</v>
      </c>
      <c r="D406" s="26">
        <f>IFERROR(__xludf.DUMMYFUNCTION("""COMPUTED_VALUE"""),-0.422838751384212)</f>
        <v>-0.4228387514</v>
      </c>
      <c r="E406" s="26">
        <f>IFERROR(__xludf.DUMMYFUNCTION("""COMPUTED_VALUE"""),0.700723292649038)</f>
        <v>0.7007232926</v>
      </c>
      <c r="F406" s="26">
        <f>IFERROR(__xludf.DUMMYFUNCTION("""COMPUTED_VALUE"""),40.4)</f>
        <v>40.4</v>
      </c>
      <c r="G406" s="26">
        <f>IFERROR(__xludf.DUMMYFUNCTION("""COMPUTED_VALUE"""),1.677676249197E12)</f>
        <v>1677676249197</v>
      </c>
      <c r="H406" s="26">
        <f t="shared" si="1"/>
        <v>51398</v>
      </c>
    </row>
    <row r="407">
      <c r="B407" s="26">
        <f>IFERROR(__xludf.DUMMYFUNCTION("""COMPUTED_VALUE"""),-0.512353145694395)</f>
        <v>-0.5123531457</v>
      </c>
      <c r="C407" s="26">
        <f>IFERROR(__xludf.DUMMYFUNCTION("""COMPUTED_VALUE"""),-0.260170158865269)</f>
        <v>-0.2601701589</v>
      </c>
      <c r="D407" s="26">
        <f>IFERROR(__xludf.DUMMYFUNCTION("""COMPUTED_VALUE"""),-0.422838751384212)</f>
        <v>-0.4228387514</v>
      </c>
      <c r="E407" s="26">
        <f>IFERROR(__xludf.DUMMYFUNCTION("""COMPUTED_VALUE"""),0.700723292649038)</f>
        <v>0.7007232926</v>
      </c>
      <c r="F407" s="26">
        <f>IFERROR(__xludf.DUMMYFUNCTION("""COMPUTED_VALUE"""),40.5)</f>
        <v>40.5</v>
      </c>
      <c r="G407" s="26">
        <f>IFERROR(__xludf.DUMMYFUNCTION("""COMPUTED_VALUE"""),1.677676250282E12)</f>
        <v>1677676250282</v>
      </c>
      <c r="H407" s="26">
        <f t="shared" si="1"/>
        <v>52483</v>
      </c>
    </row>
    <row r="408">
      <c r="B408" s="26">
        <f>IFERROR(__xludf.DUMMYFUNCTION("""COMPUTED_VALUE"""),-0.512353145694395)</f>
        <v>-0.5123531457</v>
      </c>
      <c r="C408" s="26">
        <f>IFERROR(__xludf.DUMMYFUNCTION("""COMPUTED_VALUE"""),-0.260170158865269)</f>
        <v>-0.2601701589</v>
      </c>
      <c r="D408" s="26">
        <f>IFERROR(__xludf.DUMMYFUNCTION("""COMPUTED_VALUE"""),-0.422838751384212)</f>
        <v>-0.4228387514</v>
      </c>
      <c r="E408" s="26">
        <f>IFERROR(__xludf.DUMMYFUNCTION("""COMPUTED_VALUE"""),0.700723292649038)</f>
        <v>0.7007232926</v>
      </c>
      <c r="F408" s="26">
        <f>IFERROR(__xludf.DUMMYFUNCTION("""COMPUTED_VALUE"""),40.6)</f>
        <v>40.6</v>
      </c>
      <c r="G408" s="26">
        <f>IFERROR(__xludf.DUMMYFUNCTION("""COMPUTED_VALUE"""),1.677676251285E12)</f>
        <v>1677676251285</v>
      </c>
      <c r="H408" s="26">
        <f t="shared" si="1"/>
        <v>53486</v>
      </c>
    </row>
    <row r="409">
      <c r="B409" s="26">
        <f>IFERROR(__xludf.DUMMYFUNCTION("""COMPUTED_VALUE"""),-0.512353145694395)</f>
        <v>-0.5123531457</v>
      </c>
      <c r="C409" s="26">
        <f>IFERROR(__xludf.DUMMYFUNCTION("""COMPUTED_VALUE"""),-0.260170158865269)</f>
        <v>-0.2601701589</v>
      </c>
      <c r="D409" s="26">
        <f>IFERROR(__xludf.DUMMYFUNCTION("""COMPUTED_VALUE"""),-0.422838751384212)</f>
        <v>-0.4228387514</v>
      </c>
      <c r="E409" s="26">
        <f>IFERROR(__xludf.DUMMYFUNCTION("""COMPUTED_VALUE"""),0.700723292649038)</f>
        <v>0.7007232926</v>
      </c>
      <c r="F409" s="26">
        <f>IFERROR(__xludf.DUMMYFUNCTION("""COMPUTED_VALUE"""),40.7)</f>
        <v>40.7</v>
      </c>
      <c r="G409" s="26">
        <f>IFERROR(__xludf.DUMMYFUNCTION("""COMPUTED_VALUE"""),1.677676252289E12)</f>
        <v>1677676252289</v>
      </c>
      <c r="H409" s="26">
        <f t="shared" si="1"/>
        <v>54490</v>
      </c>
    </row>
    <row r="410">
      <c r="B410" s="26">
        <f>IFERROR(__xludf.DUMMYFUNCTION("""COMPUTED_VALUE"""),-0.512353145694395)</f>
        <v>-0.5123531457</v>
      </c>
      <c r="C410" s="26">
        <f>IFERROR(__xludf.DUMMYFUNCTION("""COMPUTED_VALUE"""),-0.260170158865269)</f>
        <v>-0.2601701589</v>
      </c>
      <c r="D410" s="26">
        <f>IFERROR(__xludf.DUMMYFUNCTION("""COMPUTED_VALUE"""),-0.422838751384212)</f>
        <v>-0.4228387514</v>
      </c>
      <c r="E410" s="26">
        <f>IFERROR(__xludf.DUMMYFUNCTION("""COMPUTED_VALUE"""),0.700723292649038)</f>
        <v>0.7007232926</v>
      </c>
      <c r="F410" s="26">
        <f>IFERROR(__xludf.DUMMYFUNCTION("""COMPUTED_VALUE"""),40.8)</f>
        <v>40.8</v>
      </c>
      <c r="G410" s="26">
        <f>IFERROR(__xludf.DUMMYFUNCTION("""COMPUTED_VALUE"""),1.677676253311E12)</f>
        <v>1677676253311</v>
      </c>
      <c r="H410" s="26">
        <f t="shared" si="1"/>
        <v>55512</v>
      </c>
    </row>
    <row r="411">
      <c r="B411" s="26">
        <f>IFERROR(__xludf.DUMMYFUNCTION("""COMPUTED_VALUE"""),-0.510688715558474)</f>
        <v>-0.5106887156</v>
      </c>
      <c r="C411" s="26">
        <f>IFERROR(__xludf.DUMMYFUNCTION("""COMPUTED_VALUE"""),-0.262919879573521)</f>
        <v>-0.2629198796</v>
      </c>
      <c r="D411" s="26">
        <f>IFERROR(__xludf.DUMMYFUNCTION("""COMPUTED_VALUE"""),-0.42484749190308)</f>
        <v>-0.4248474919</v>
      </c>
      <c r="E411" s="26">
        <f>IFERROR(__xludf.DUMMYFUNCTION("""COMPUTED_VALUE"""),0.699696206471018)</f>
        <v>0.6996962065</v>
      </c>
      <c r="F411" s="26">
        <f>IFERROR(__xludf.DUMMYFUNCTION("""COMPUTED_VALUE"""),40.9)</f>
        <v>40.9</v>
      </c>
      <c r="G411" s="26">
        <f>IFERROR(__xludf.DUMMYFUNCTION("""COMPUTED_VALUE"""),1.677676254313E12)</f>
        <v>1677676254313</v>
      </c>
      <c r="H411" s="26">
        <f t="shared" si="1"/>
        <v>56514</v>
      </c>
    </row>
    <row r="412">
      <c r="B412" s="26">
        <f>IFERROR(__xludf.DUMMYFUNCTION("""COMPUTED_VALUE"""),-0.509016409971276)</f>
        <v>-0.50901641</v>
      </c>
      <c r="C412" s="26">
        <f>IFERROR(__xludf.DUMMYFUNCTION("""COMPUTED_VALUE"""),-0.265665545732223)</f>
        <v>-0.2656655457</v>
      </c>
      <c r="D412" s="26">
        <f>IFERROR(__xludf.DUMMYFUNCTION("""COMPUTED_VALUE"""),-0.426849680748452)</f>
        <v>-0.4268496807</v>
      </c>
      <c r="E412" s="26">
        <f>IFERROR(__xludf.DUMMYFUNCTION("""COMPUTED_VALUE"""),0.698658330112572)</f>
        <v>0.6986583301</v>
      </c>
      <c r="F412" s="26">
        <f>IFERROR(__xludf.DUMMYFUNCTION("""COMPUTED_VALUE"""),41.0)</f>
        <v>41</v>
      </c>
      <c r="G412" s="26">
        <f>IFERROR(__xludf.DUMMYFUNCTION("""COMPUTED_VALUE"""),1.677676255314E12)</f>
        <v>1677676255314</v>
      </c>
      <c r="H412" s="26">
        <f t="shared" si="1"/>
        <v>57515</v>
      </c>
    </row>
    <row r="413">
      <c r="B413" s="26">
        <f>IFERROR(__xludf.DUMMYFUNCTION("""COMPUTED_VALUE"""),-0.509016409971276)</f>
        <v>-0.50901641</v>
      </c>
      <c r="C413" s="26">
        <f>IFERROR(__xludf.DUMMYFUNCTION("""COMPUTED_VALUE"""),-0.265665545732223)</f>
        <v>-0.2656655457</v>
      </c>
      <c r="D413" s="26">
        <f>IFERROR(__xludf.DUMMYFUNCTION("""COMPUTED_VALUE"""),-0.426849680748452)</f>
        <v>-0.4268496807</v>
      </c>
      <c r="E413" s="26">
        <f>IFERROR(__xludf.DUMMYFUNCTION("""COMPUTED_VALUE"""),0.698658330112572)</f>
        <v>0.6986583301</v>
      </c>
      <c r="F413" s="26">
        <f>IFERROR(__xludf.DUMMYFUNCTION("""COMPUTED_VALUE"""),41.1)</f>
        <v>41.1</v>
      </c>
      <c r="G413" s="26">
        <f>IFERROR(__xludf.DUMMYFUNCTION("""COMPUTED_VALUE"""),1.67767625632E12)</f>
        <v>1677676256320</v>
      </c>
      <c r="H413" s="26">
        <f t="shared" si="1"/>
        <v>58521</v>
      </c>
    </row>
    <row r="414">
      <c r="B414" s="26">
        <f>IFERROR(__xludf.DUMMYFUNCTION("""COMPUTED_VALUE"""),-0.509016409971276)</f>
        <v>-0.50901641</v>
      </c>
      <c r="C414" s="26">
        <f>IFERROR(__xludf.DUMMYFUNCTION("""COMPUTED_VALUE"""),-0.265665545732223)</f>
        <v>-0.2656655457</v>
      </c>
      <c r="D414" s="26">
        <f>IFERROR(__xludf.DUMMYFUNCTION("""COMPUTED_VALUE"""),-0.426849680748452)</f>
        <v>-0.4268496807</v>
      </c>
      <c r="E414" s="26">
        <f>IFERROR(__xludf.DUMMYFUNCTION("""COMPUTED_VALUE"""),0.698658330112572)</f>
        <v>0.6986583301</v>
      </c>
      <c r="F414" s="26">
        <f>IFERROR(__xludf.DUMMYFUNCTION("""COMPUTED_VALUE"""),41.2)</f>
        <v>41.2</v>
      </c>
      <c r="G414" s="26">
        <f>IFERROR(__xludf.DUMMYFUNCTION("""COMPUTED_VALUE"""),1.677676257324E12)</f>
        <v>1677676257324</v>
      </c>
      <c r="H414" s="26">
        <f t="shared" si="1"/>
        <v>59525</v>
      </c>
    </row>
    <row r="415">
      <c r="B415" s="26">
        <f>IFERROR(__xludf.DUMMYFUNCTION("""COMPUTED_VALUE"""),-0.509016409971276)</f>
        <v>-0.50901641</v>
      </c>
      <c r="C415" s="26">
        <f>IFERROR(__xludf.DUMMYFUNCTION("""COMPUTED_VALUE"""),-0.265665545732223)</f>
        <v>-0.2656655457</v>
      </c>
      <c r="D415" s="26">
        <f>IFERROR(__xludf.DUMMYFUNCTION("""COMPUTED_VALUE"""),-0.426849680748452)</f>
        <v>-0.4268496807</v>
      </c>
      <c r="E415" s="26">
        <f>IFERROR(__xludf.DUMMYFUNCTION("""COMPUTED_VALUE"""),0.698658330112572)</f>
        <v>0.6986583301</v>
      </c>
      <c r="F415" s="26">
        <f>IFERROR(__xludf.DUMMYFUNCTION("""COMPUTED_VALUE"""),41.3)</f>
        <v>41.3</v>
      </c>
      <c r="G415" s="26">
        <f>IFERROR(__xludf.DUMMYFUNCTION("""COMPUTED_VALUE"""),1.677676258327E12)</f>
        <v>1677676258327</v>
      </c>
      <c r="H415" s="26">
        <f t="shared" si="1"/>
        <v>60528</v>
      </c>
    </row>
    <row r="416">
      <c r="B416" s="26">
        <f>IFERROR(__xludf.DUMMYFUNCTION("""COMPUTED_VALUE"""),-0.509016409971276)</f>
        <v>-0.50901641</v>
      </c>
      <c r="C416" s="26">
        <f>IFERROR(__xludf.DUMMYFUNCTION("""COMPUTED_VALUE"""),-0.265665545732223)</f>
        <v>-0.2656655457</v>
      </c>
      <c r="D416" s="26">
        <f>IFERROR(__xludf.DUMMYFUNCTION("""COMPUTED_VALUE"""),-0.426849680748452)</f>
        <v>-0.4268496807</v>
      </c>
      <c r="E416" s="26">
        <f>IFERROR(__xludf.DUMMYFUNCTION("""COMPUTED_VALUE"""),0.698658330112572)</f>
        <v>0.6986583301</v>
      </c>
      <c r="F416" s="26">
        <f>IFERROR(__xludf.DUMMYFUNCTION("""COMPUTED_VALUE"""),41.4)</f>
        <v>41.4</v>
      </c>
      <c r="G416" s="26">
        <f>IFERROR(__xludf.DUMMYFUNCTION("""COMPUTED_VALUE"""),1.677676259329E12)</f>
        <v>1677676259329</v>
      </c>
      <c r="H416" s="26">
        <f t="shared" si="1"/>
        <v>61530</v>
      </c>
    </row>
    <row r="417">
      <c r="B417" s="26">
        <f>IFERROR(__xludf.DUMMYFUNCTION("""COMPUTED_VALUE"""),-0.509016409971276)</f>
        <v>-0.50901641</v>
      </c>
      <c r="C417" s="26">
        <f>IFERROR(__xludf.DUMMYFUNCTION("""COMPUTED_VALUE"""),-0.265665545732223)</f>
        <v>-0.2656655457</v>
      </c>
      <c r="D417" s="26">
        <f>IFERROR(__xludf.DUMMYFUNCTION("""COMPUTED_VALUE"""),-0.426849680748452)</f>
        <v>-0.4268496807</v>
      </c>
      <c r="E417" s="26">
        <f>IFERROR(__xludf.DUMMYFUNCTION("""COMPUTED_VALUE"""),0.698658330112572)</f>
        <v>0.6986583301</v>
      </c>
      <c r="F417" s="26">
        <f>IFERROR(__xludf.DUMMYFUNCTION("""COMPUTED_VALUE"""),41.5)</f>
        <v>41.5</v>
      </c>
      <c r="G417" s="26">
        <f>IFERROR(__xludf.DUMMYFUNCTION("""COMPUTED_VALUE"""),1.677676260339E12)</f>
        <v>1677676260339</v>
      </c>
      <c r="H417" s="26">
        <f t="shared" si="1"/>
        <v>62540</v>
      </c>
    </row>
    <row r="418">
      <c r="B418" s="26">
        <f>IFERROR(__xludf.DUMMYFUNCTION("""COMPUTED_VALUE"""),-0.509016409971276)</f>
        <v>-0.50901641</v>
      </c>
      <c r="C418" s="26">
        <f>IFERROR(__xludf.DUMMYFUNCTION("""COMPUTED_VALUE"""),-0.265665545732223)</f>
        <v>-0.2656655457</v>
      </c>
      <c r="D418" s="26">
        <f>IFERROR(__xludf.DUMMYFUNCTION("""COMPUTED_VALUE"""),-0.426849680748452)</f>
        <v>-0.4268496807</v>
      </c>
      <c r="E418" s="26">
        <f>IFERROR(__xludf.DUMMYFUNCTION("""COMPUTED_VALUE"""),0.698658330112572)</f>
        <v>0.6986583301</v>
      </c>
      <c r="F418" s="26">
        <f>IFERROR(__xludf.DUMMYFUNCTION("""COMPUTED_VALUE"""),41.6)</f>
        <v>41.6</v>
      </c>
      <c r="G418" s="26">
        <f>IFERROR(__xludf.DUMMYFUNCTION("""COMPUTED_VALUE"""),1.677676261345E12)</f>
        <v>1677676261345</v>
      </c>
      <c r="H418" s="26">
        <f t="shared" si="1"/>
        <v>63546</v>
      </c>
    </row>
    <row r="419">
      <c r="B419" s="26">
        <f>IFERROR(__xludf.DUMMYFUNCTION("""COMPUTED_VALUE"""),-0.509016409971276)</f>
        <v>-0.50901641</v>
      </c>
      <c r="C419" s="26">
        <f>IFERROR(__xludf.DUMMYFUNCTION("""COMPUTED_VALUE"""),-0.265665545732223)</f>
        <v>-0.2656655457</v>
      </c>
      <c r="D419" s="26">
        <f>IFERROR(__xludf.DUMMYFUNCTION("""COMPUTED_VALUE"""),-0.426849680748452)</f>
        <v>-0.4268496807</v>
      </c>
      <c r="E419" s="26">
        <f>IFERROR(__xludf.DUMMYFUNCTION("""COMPUTED_VALUE"""),0.698658330112572)</f>
        <v>0.6986583301</v>
      </c>
      <c r="F419" s="26">
        <f>IFERROR(__xludf.DUMMYFUNCTION("""COMPUTED_VALUE"""),41.7)</f>
        <v>41.7</v>
      </c>
      <c r="G419" s="26">
        <f>IFERROR(__xludf.DUMMYFUNCTION("""COMPUTED_VALUE"""),1.677676262349E12)</f>
        <v>1677676262349</v>
      </c>
      <c r="H419" s="26">
        <f t="shared" si="1"/>
        <v>64550</v>
      </c>
    </row>
    <row r="420">
      <c r="B420" s="26">
        <f>IFERROR(__xludf.DUMMYFUNCTION("""COMPUTED_VALUE"""),-0.509016409971276)</f>
        <v>-0.50901641</v>
      </c>
      <c r="C420" s="26">
        <f>IFERROR(__xludf.DUMMYFUNCTION("""COMPUTED_VALUE"""),-0.265665545732223)</f>
        <v>-0.2656655457</v>
      </c>
      <c r="D420" s="26">
        <f>IFERROR(__xludf.DUMMYFUNCTION("""COMPUTED_VALUE"""),-0.426849680748452)</f>
        <v>-0.4268496807</v>
      </c>
      <c r="E420" s="26">
        <f>IFERROR(__xludf.DUMMYFUNCTION("""COMPUTED_VALUE"""),0.698658330112572)</f>
        <v>0.6986583301</v>
      </c>
      <c r="F420" s="26">
        <f>IFERROR(__xludf.DUMMYFUNCTION("""COMPUTED_VALUE"""),41.8)</f>
        <v>41.8</v>
      </c>
      <c r="G420" s="26">
        <f>IFERROR(__xludf.DUMMYFUNCTION("""COMPUTED_VALUE"""),1.677676263358E12)</f>
        <v>1677676263358</v>
      </c>
      <c r="H420" s="26">
        <f t="shared" si="1"/>
        <v>65559</v>
      </c>
    </row>
    <row r="421">
      <c r="B421" s="26">
        <f>IFERROR(__xludf.DUMMYFUNCTION("""COMPUTED_VALUE"""),-0.509016409971276)</f>
        <v>-0.50901641</v>
      </c>
      <c r="C421" s="26">
        <f>IFERROR(__xludf.DUMMYFUNCTION("""COMPUTED_VALUE"""),-0.265665545732223)</f>
        <v>-0.2656655457</v>
      </c>
      <c r="D421" s="26">
        <f>IFERROR(__xludf.DUMMYFUNCTION("""COMPUTED_VALUE"""),-0.426849680748452)</f>
        <v>-0.4268496807</v>
      </c>
      <c r="E421" s="26">
        <f>IFERROR(__xludf.DUMMYFUNCTION("""COMPUTED_VALUE"""),0.698658330112572)</f>
        <v>0.6986583301</v>
      </c>
      <c r="F421" s="26">
        <f>IFERROR(__xludf.DUMMYFUNCTION("""COMPUTED_VALUE"""),41.9)</f>
        <v>41.9</v>
      </c>
      <c r="G421" s="26">
        <f>IFERROR(__xludf.DUMMYFUNCTION("""COMPUTED_VALUE"""),1.677676264361E12)</f>
        <v>1677676264361</v>
      </c>
      <c r="H421" s="26">
        <f t="shared" si="1"/>
        <v>66562</v>
      </c>
    </row>
    <row r="422">
      <c r="B422" s="26">
        <f>IFERROR(__xludf.DUMMYFUNCTION("""COMPUTED_VALUE"""),-0.509016409971276)</f>
        <v>-0.50901641</v>
      </c>
      <c r="C422" s="26">
        <f>IFERROR(__xludf.DUMMYFUNCTION("""COMPUTED_VALUE"""),-0.265665545732223)</f>
        <v>-0.2656655457</v>
      </c>
      <c r="D422" s="26">
        <f>IFERROR(__xludf.DUMMYFUNCTION("""COMPUTED_VALUE"""),-0.426849680748452)</f>
        <v>-0.4268496807</v>
      </c>
      <c r="E422" s="26">
        <f>IFERROR(__xludf.DUMMYFUNCTION("""COMPUTED_VALUE"""),0.698658330112572)</f>
        <v>0.6986583301</v>
      </c>
      <c r="F422" s="26">
        <f>IFERROR(__xludf.DUMMYFUNCTION("""COMPUTED_VALUE"""),42.0)</f>
        <v>42</v>
      </c>
      <c r="G422" s="26">
        <f>IFERROR(__xludf.DUMMYFUNCTION("""COMPUTED_VALUE"""),1.677676265362E12)</f>
        <v>1677676265362</v>
      </c>
      <c r="H422" s="26">
        <f t="shared" si="1"/>
        <v>67563</v>
      </c>
    </row>
    <row r="423">
      <c r="B423" s="26">
        <f>IFERROR(__xludf.DUMMYFUNCTION("""COMPUTED_VALUE"""),-0.509016409971276)</f>
        <v>-0.50901641</v>
      </c>
      <c r="C423" s="26">
        <f>IFERROR(__xludf.DUMMYFUNCTION("""COMPUTED_VALUE"""),-0.265665545732223)</f>
        <v>-0.2656655457</v>
      </c>
      <c r="D423" s="26">
        <f>IFERROR(__xludf.DUMMYFUNCTION("""COMPUTED_VALUE"""),-0.426849680748452)</f>
        <v>-0.4268496807</v>
      </c>
      <c r="E423" s="26">
        <f>IFERROR(__xludf.DUMMYFUNCTION("""COMPUTED_VALUE"""),0.698658330112572)</f>
        <v>0.6986583301</v>
      </c>
      <c r="F423" s="26">
        <f>IFERROR(__xludf.DUMMYFUNCTION("""COMPUTED_VALUE"""),42.1)</f>
        <v>42.1</v>
      </c>
      <c r="G423" s="26">
        <f>IFERROR(__xludf.DUMMYFUNCTION("""COMPUTED_VALUE"""),1.677676266365E12)</f>
        <v>1677676266365</v>
      </c>
      <c r="H423" s="26">
        <f t="shared" si="1"/>
        <v>68566</v>
      </c>
    </row>
    <row r="424">
      <c r="B424" s="26">
        <f>IFERROR(__xludf.DUMMYFUNCTION("""COMPUTED_VALUE"""),-0.509016409971276)</f>
        <v>-0.50901641</v>
      </c>
      <c r="C424" s="26">
        <f>IFERROR(__xludf.DUMMYFUNCTION("""COMPUTED_VALUE"""),-0.265665545732223)</f>
        <v>-0.2656655457</v>
      </c>
      <c r="D424" s="26">
        <f>IFERROR(__xludf.DUMMYFUNCTION("""COMPUTED_VALUE"""),-0.426849680748452)</f>
        <v>-0.4268496807</v>
      </c>
      <c r="E424" s="26">
        <f>IFERROR(__xludf.DUMMYFUNCTION("""COMPUTED_VALUE"""),0.698658330112572)</f>
        <v>0.6986583301</v>
      </c>
      <c r="F424" s="26">
        <f>IFERROR(__xludf.DUMMYFUNCTION("""COMPUTED_VALUE"""),42.2)</f>
        <v>42.2</v>
      </c>
      <c r="G424" s="26">
        <f>IFERROR(__xludf.DUMMYFUNCTION("""COMPUTED_VALUE"""),1.67767626737E12)</f>
        <v>1677676267370</v>
      </c>
      <c r="H424" s="26">
        <f t="shared" si="1"/>
        <v>69571</v>
      </c>
    </row>
    <row r="425">
      <c r="B425" s="26">
        <f>IFERROR(__xludf.DUMMYFUNCTION("""COMPUTED_VALUE"""),-0.509016409971276)</f>
        <v>-0.50901641</v>
      </c>
      <c r="C425" s="26">
        <f>IFERROR(__xludf.DUMMYFUNCTION("""COMPUTED_VALUE"""),-0.265665545732223)</f>
        <v>-0.2656655457</v>
      </c>
      <c r="D425" s="26">
        <f>IFERROR(__xludf.DUMMYFUNCTION("""COMPUTED_VALUE"""),-0.426849680748452)</f>
        <v>-0.4268496807</v>
      </c>
      <c r="E425" s="26">
        <f>IFERROR(__xludf.DUMMYFUNCTION("""COMPUTED_VALUE"""),0.698658330112572)</f>
        <v>0.6986583301</v>
      </c>
      <c r="F425" s="26">
        <f>IFERROR(__xludf.DUMMYFUNCTION("""COMPUTED_VALUE"""),42.3)</f>
        <v>42.3</v>
      </c>
      <c r="G425" s="26">
        <f>IFERROR(__xludf.DUMMYFUNCTION("""COMPUTED_VALUE"""),1.677676268372E12)</f>
        <v>1677676268372</v>
      </c>
      <c r="H425" s="26">
        <f t="shared" si="1"/>
        <v>70573</v>
      </c>
    </row>
    <row r="426">
      <c r="B426" s="26">
        <f>IFERROR(__xludf.DUMMYFUNCTION("""COMPUTED_VALUE"""),-0.509016409971276)</f>
        <v>-0.50901641</v>
      </c>
      <c r="C426" s="26">
        <f>IFERROR(__xludf.DUMMYFUNCTION("""COMPUTED_VALUE"""),-0.265665545732223)</f>
        <v>-0.2656655457</v>
      </c>
      <c r="D426" s="26">
        <f>IFERROR(__xludf.DUMMYFUNCTION("""COMPUTED_VALUE"""),-0.426849680748452)</f>
        <v>-0.4268496807</v>
      </c>
      <c r="E426" s="26">
        <f>IFERROR(__xludf.DUMMYFUNCTION("""COMPUTED_VALUE"""),0.698658330112572)</f>
        <v>0.6986583301</v>
      </c>
      <c r="F426" s="26">
        <f>IFERROR(__xludf.DUMMYFUNCTION("""COMPUTED_VALUE"""),42.4)</f>
        <v>42.4</v>
      </c>
      <c r="G426" s="26">
        <f>IFERROR(__xludf.DUMMYFUNCTION("""COMPUTED_VALUE"""),1.677676269374E12)</f>
        <v>1677676269374</v>
      </c>
      <c r="H426" s="26">
        <f t="shared" si="1"/>
        <v>71575</v>
      </c>
    </row>
    <row r="427">
      <c r="B427" s="26">
        <f>IFERROR(__xludf.DUMMYFUNCTION("""COMPUTED_VALUE"""),-0.509016409971276)</f>
        <v>-0.50901641</v>
      </c>
      <c r="C427" s="26">
        <f>IFERROR(__xludf.DUMMYFUNCTION("""COMPUTED_VALUE"""),-0.265665545732223)</f>
        <v>-0.2656655457</v>
      </c>
      <c r="D427" s="26">
        <f>IFERROR(__xludf.DUMMYFUNCTION("""COMPUTED_VALUE"""),-0.426849680748452)</f>
        <v>-0.4268496807</v>
      </c>
      <c r="E427" s="26">
        <f>IFERROR(__xludf.DUMMYFUNCTION("""COMPUTED_VALUE"""),0.698658330112572)</f>
        <v>0.6986583301</v>
      </c>
      <c r="F427" s="26">
        <f>IFERROR(__xludf.DUMMYFUNCTION("""COMPUTED_VALUE"""),42.5)</f>
        <v>42.5</v>
      </c>
      <c r="G427" s="26">
        <f>IFERROR(__xludf.DUMMYFUNCTION("""COMPUTED_VALUE"""),1.677676270375E12)</f>
        <v>1677676270375</v>
      </c>
      <c r="H427" s="26">
        <f t="shared" si="1"/>
        <v>72576</v>
      </c>
    </row>
    <row r="428">
      <c r="B428" s="26">
        <f>IFERROR(__xludf.DUMMYFUNCTION("""COMPUTED_VALUE"""),-0.509016409971276)</f>
        <v>-0.50901641</v>
      </c>
      <c r="C428" s="26">
        <f>IFERROR(__xludf.DUMMYFUNCTION("""COMPUTED_VALUE"""),-0.265665545732223)</f>
        <v>-0.2656655457</v>
      </c>
      <c r="D428" s="26">
        <f>IFERROR(__xludf.DUMMYFUNCTION("""COMPUTED_VALUE"""),-0.426849680748452)</f>
        <v>-0.4268496807</v>
      </c>
      <c r="E428" s="26">
        <f>IFERROR(__xludf.DUMMYFUNCTION("""COMPUTED_VALUE"""),0.698658330112572)</f>
        <v>0.6986583301</v>
      </c>
      <c r="F428" s="26">
        <f>IFERROR(__xludf.DUMMYFUNCTION("""COMPUTED_VALUE"""),42.6)</f>
        <v>42.6</v>
      </c>
      <c r="G428" s="26">
        <f>IFERROR(__xludf.DUMMYFUNCTION("""COMPUTED_VALUE"""),1.677676271377E12)</f>
        <v>1677676271377</v>
      </c>
      <c r="H428" s="26">
        <f t="shared" si="1"/>
        <v>73578</v>
      </c>
    </row>
    <row r="429">
      <c r="B429" s="26">
        <f>IFERROR(__xludf.DUMMYFUNCTION("""COMPUTED_VALUE"""),-0.509016409971276)</f>
        <v>-0.50901641</v>
      </c>
      <c r="C429" s="26">
        <f>IFERROR(__xludf.DUMMYFUNCTION("""COMPUTED_VALUE"""),-0.265665545732223)</f>
        <v>-0.2656655457</v>
      </c>
      <c r="D429" s="26">
        <f>IFERROR(__xludf.DUMMYFUNCTION("""COMPUTED_VALUE"""),-0.426849680748452)</f>
        <v>-0.4268496807</v>
      </c>
      <c r="E429" s="26">
        <f>IFERROR(__xludf.DUMMYFUNCTION("""COMPUTED_VALUE"""),0.698658330112572)</f>
        <v>0.6986583301</v>
      </c>
      <c r="F429" s="26">
        <f>IFERROR(__xludf.DUMMYFUNCTION("""COMPUTED_VALUE"""),42.7)</f>
        <v>42.7</v>
      </c>
      <c r="G429" s="26">
        <f>IFERROR(__xludf.DUMMYFUNCTION("""COMPUTED_VALUE"""),1.677676272379E12)</f>
        <v>1677676272379</v>
      </c>
      <c r="H429" s="26">
        <f t="shared" si="1"/>
        <v>74580</v>
      </c>
    </row>
    <row r="430">
      <c r="B430" s="26">
        <f>IFERROR(__xludf.DUMMYFUNCTION("""COMPUTED_VALUE"""),-0.509016409971276)</f>
        <v>-0.50901641</v>
      </c>
      <c r="C430" s="26">
        <f>IFERROR(__xludf.DUMMYFUNCTION("""COMPUTED_VALUE"""),-0.265665545732223)</f>
        <v>-0.2656655457</v>
      </c>
      <c r="D430" s="26">
        <f>IFERROR(__xludf.DUMMYFUNCTION("""COMPUTED_VALUE"""),-0.426849680748452)</f>
        <v>-0.4268496807</v>
      </c>
      <c r="E430" s="26">
        <f>IFERROR(__xludf.DUMMYFUNCTION("""COMPUTED_VALUE"""),0.698658330112572)</f>
        <v>0.6986583301</v>
      </c>
      <c r="F430" s="26">
        <f>IFERROR(__xludf.DUMMYFUNCTION("""COMPUTED_VALUE"""),42.8)</f>
        <v>42.8</v>
      </c>
      <c r="G430" s="26">
        <f>IFERROR(__xludf.DUMMYFUNCTION("""COMPUTED_VALUE"""),1.67767627338E12)</f>
        <v>1677676273380</v>
      </c>
      <c r="H430" s="26">
        <f t="shared" si="1"/>
        <v>75581</v>
      </c>
    </row>
    <row r="431">
      <c r="B431" s="26">
        <f>IFERROR(__xludf.DUMMYFUNCTION("""COMPUTED_VALUE"""),-0.509016409971276)</f>
        <v>-0.50901641</v>
      </c>
      <c r="C431" s="26">
        <f>IFERROR(__xludf.DUMMYFUNCTION("""COMPUTED_VALUE"""),-0.265665545732223)</f>
        <v>-0.2656655457</v>
      </c>
      <c r="D431" s="26">
        <f>IFERROR(__xludf.DUMMYFUNCTION("""COMPUTED_VALUE"""),-0.426849680748452)</f>
        <v>-0.4268496807</v>
      </c>
      <c r="E431" s="26">
        <f>IFERROR(__xludf.DUMMYFUNCTION("""COMPUTED_VALUE"""),0.698658330112572)</f>
        <v>0.6986583301</v>
      </c>
      <c r="F431" s="26">
        <f>IFERROR(__xludf.DUMMYFUNCTION("""COMPUTED_VALUE"""),42.9)</f>
        <v>42.9</v>
      </c>
      <c r="G431" s="26">
        <f>IFERROR(__xludf.DUMMYFUNCTION("""COMPUTED_VALUE"""),1.677676274381E12)</f>
        <v>1677676274381</v>
      </c>
      <c r="H431" s="26">
        <f t="shared" si="1"/>
        <v>76582</v>
      </c>
    </row>
    <row r="432">
      <c r="F432" s="26">
        <f>IFERROR(__xludf.DUMMYFUNCTION("""COMPUTED_VALUE"""),43.0)</f>
        <v>43</v>
      </c>
      <c r="G432" s="26">
        <f>IFERROR(__xludf.DUMMYFUNCTION("""COMPUTED_VALUE"""),1.677676275383E12)</f>
        <v>1677676275383</v>
      </c>
      <c r="H432" s="26">
        <f t="shared" si="1"/>
        <v>77584</v>
      </c>
    </row>
    <row r="433">
      <c r="F433" s="26">
        <f>IFERROR(__xludf.DUMMYFUNCTION("""COMPUTED_VALUE"""),43.1)</f>
        <v>43.1</v>
      </c>
      <c r="G433" s="26">
        <f>IFERROR(__xludf.DUMMYFUNCTION("""COMPUTED_VALUE"""),1.677676276385E12)</f>
        <v>1677676276385</v>
      </c>
      <c r="H433" s="26">
        <f t="shared" si="1"/>
        <v>78586</v>
      </c>
    </row>
    <row r="434">
      <c r="F434" s="26">
        <f>IFERROR(__xludf.DUMMYFUNCTION("""COMPUTED_VALUE"""),43.2)</f>
        <v>43.2</v>
      </c>
      <c r="G434" s="26">
        <f>IFERROR(__xludf.DUMMYFUNCTION("""COMPUTED_VALUE"""),1.677676277387E12)</f>
        <v>1677676277387</v>
      </c>
      <c r="H434" s="26">
        <f t="shared" si="1"/>
        <v>79588</v>
      </c>
    </row>
    <row r="435">
      <c r="F435" s="26">
        <f>IFERROR(__xludf.DUMMYFUNCTION("""COMPUTED_VALUE"""),43.3)</f>
        <v>43.3</v>
      </c>
      <c r="G435" s="26">
        <f>IFERROR(__xludf.DUMMYFUNCTION("""COMPUTED_VALUE"""),1.67767627839E12)</f>
        <v>1677676278390</v>
      </c>
      <c r="H435" s="26">
        <f t="shared" si="1"/>
        <v>80591</v>
      </c>
    </row>
    <row r="436">
      <c r="F436" s="26">
        <f>IFERROR(__xludf.DUMMYFUNCTION("""COMPUTED_VALUE"""),43.4)</f>
        <v>43.4</v>
      </c>
      <c r="G436" s="26">
        <f>IFERROR(__xludf.DUMMYFUNCTION("""COMPUTED_VALUE"""),1.677676279392E12)</f>
        <v>1677676279392</v>
      </c>
      <c r="H436" s="26">
        <f t="shared" si="1"/>
        <v>81593</v>
      </c>
    </row>
    <row r="437">
      <c r="F437" s="26">
        <f>IFERROR(__xludf.DUMMYFUNCTION("""COMPUTED_VALUE"""),43.5)</f>
        <v>43.5</v>
      </c>
      <c r="G437" s="26">
        <f>IFERROR(__xludf.DUMMYFUNCTION("""COMPUTED_VALUE"""),1.677676280395E12)</f>
        <v>1677676280395</v>
      </c>
      <c r="H437" s="26">
        <f t="shared" si="1"/>
        <v>82596</v>
      </c>
    </row>
    <row r="438">
      <c r="F438" s="26">
        <f>IFERROR(__xludf.DUMMYFUNCTION("""COMPUTED_VALUE"""),43.6)</f>
        <v>43.6</v>
      </c>
      <c r="G438" s="26">
        <f>IFERROR(__xludf.DUMMYFUNCTION("""COMPUTED_VALUE"""),1.677676281398E12)</f>
        <v>1677676281398</v>
      </c>
      <c r="H438" s="26">
        <f t="shared" si="1"/>
        <v>83599</v>
      </c>
    </row>
    <row r="439">
      <c r="F439" s="26">
        <f>IFERROR(__xludf.DUMMYFUNCTION("""COMPUTED_VALUE"""),43.7)</f>
        <v>43.7</v>
      </c>
      <c r="G439" s="26">
        <f>IFERROR(__xludf.DUMMYFUNCTION("""COMPUTED_VALUE"""),1.677676282399E12)</f>
        <v>1677676282399</v>
      </c>
      <c r="H439" s="26">
        <f t="shared" si="1"/>
        <v>84600</v>
      </c>
    </row>
    <row r="440">
      <c r="F440" s="26">
        <f>IFERROR(__xludf.DUMMYFUNCTION("""COMPUTED_VALUE"""),43.8)</f>
        <v>43.8</v>
      </c>
      <c r="G440" s="26">
        <f>IFERROR(__xludf.DUMMYFUNCTION("""COMPUTED_VALUE"""),1.677676283401E12)</f>
        <v>1677676283401</v>
      </c>
      <c r="H440" s="26">
        <f t="shared" si="1"/>
        <v>85602</v>
      </c>
    </row>
    <row r="441">
      <c r="F441" s="26">
        <f>IFERROR(__xludf.DUMMYFUNCTION("""COMPUTED_VALUE"""),43.9)</f>
        <v>43.9</v>
      </c>
      <c r="G441" s="26">
        <f>IFERROR(__xludf.DUMMYFUNCTION("""COMPUTED_VALUE"""),1.677676284403E12)</f>
        <v>1677676284403</v>
      </c>
      <c r="H441" s="26">
        <f t="shared" si="1"/>
        <v>86604</v>
      </c>
    </row>
    <row r="442">
      <c r="F442" s="26">
        <f>IFERROR(__xludf.DUMMYFUNCTION("""COMPUTED_VALUE"""),44.0)</f>
        <v>44</v>
      </c>
      <c r="G442" s="26">
        <f>IFERROR(__xludf.DUMMYFUNCTION("""COMPUTED_VALUE"""),1.677676285405E12)</f>
        <v>1677676285405</v>
      </c>
      <c r="H442" s="26">
        <f t="shared" si="1"/>
        <v>87606</v>
      </c>
    </row>
    <row r="443">
      <c r="F443" s="26">
        <f>IFERROR(__xludf.DUMMYFUNCTION("""COMPUTED_VALUE"""),44.1)</f>
        <v>44.1</v>
      </c>
      <c r="G443" s="26">
        <f>IFERROR(__xludf.DUMMYFUNCTION("""COMPUTED_VALUE"""),1.677676286406E12)</f>
        <v>1677676286406</v>
      </c>
      <c r="H443" s="26">
        <f t="shared" si="1"/>
        <v>88607</v>
      </c>
    </row>
    <row r="444">
      <c r="F444" s="26">
        <f>IFERROR(__xludf.DUMMYFUNCTION("""COMPUTED_VALUE"""),44.2)</f>
        <v>44.2</v>
      </c>
      <c r="G444" s="26">
        <f>IFERROR(__xludf.DUMMYFUNCTION("""COMPUTED_VALUE"""),1.677676287408E12)</f>
        <v>1677676287408</v>
      </c>
      <c r="H444" s="26">
        <f t="shared" si="1"/>
        <v>89609</v>
      </c>
    </row>
    <row r="445">
      <c r="F445" s="26">
        <f>IFERROR(__xludf.DUMMYFUNCTION("""COMPUTED_VALUE"""),44.3)</f>
        <v>44.3</v>
      </c>
      <c r="G445" s="26">
        <f>IFERROR(__xludf.DUMMYFUNCTION("""COMPUTED_VALUE"""),1.677676288409E12)</f>
        <v>1677676288409</v>
      </c>
      <c r="H445" s="26">
        <f t="shared" si="1"/>
        <v>90610</v>
      </c>
    </row>
    <row r="446">
      <c r="F446" s="26">
        <f>IFERROR(__xludf.DUMMYFUNCTION("""COMPUTED_VALUE"""),44.4)</f>
        <v>44.4</v>
      </c>
      <c r="G446" s="26">
        <f>IFERROR(__xludf.DUMMYFUNCTION("""COMPUTED_VALUE"""),1.677676289411E12)</f>
        <v>1677676289411</v>
      </c>
      <c r="H446" s="26">
        <f t="shared" si="1"/>
        <v>91612</v>
      </c>
    </row>
    <row r="447">
      <c r="F447" s="26">
        <f>IFERROR(__xludf.DUMMYFUNCTION("""COMPUTED_VALUE"""),44.5)</f>
        <v>44.5</v>
      </c>
      <c r="G447" s="26">
        <f>IFERROR(__xludf.DUMMYFUNCTION("""COMPUTED_VALUE"""),1.677676290413E12)</f>
        <v>1677676290413</v>
      </c>
      <c r="H447" s="26">
        <f t="shared" si="1"/>
        <v>92614</v>
      </c>
    </row>
    <row r="448">
      <c r="F448" s="26">
        <f>IFERROR(__xludf.DUMMYFUNCTION("""COMPUTED_VALUE"""),44.6)</f>
        <v>44.6</v>
      </c>
      <c r="G448" s="26">
        <f>IFERROR(__xludf.DUMMYFUNCTION("""COMPUTED_VALUE"""),1.677676291416E12)</f>
        <v>1677676291416</v>
      </c>
      <c r="H448" s="26">
        <f t="shared" si="1"/>
        <v>93617</v>
      </c>
    </row>
    <row r="449">
      <c r="F449" s="26">
        <f>IFERROR(__xludf.DUMMYFUNCTION("""COMPUTED_VALUE"""),44.7)</f>
        <v>44.7</v>
      </c>
      <c r="G449" s="26">
        <f>IFERROR(__xludf.DUMMYFUNCTION("""COMPUTED_VALUE"""),1.677676292416E12)</f>
        <v>1677676292416</v>
      </c>
      <c r="H449" s="26">
        <f t="shared" si="1"/>
        <v>94617</v>
      </c>
    </row>
    <row r="450">
      <c r="F450" s="26">
        <f>IFERROR(__xludf.DUMMYFUNCTION("""COMPUTED_VALUE"""),44.8)</f>
        <v>44.8</v>
      </c>
      <c r="G450" s="26">
        <f>IFERROR(__xludf.DUMMYFUNCTION("""COMPUTED_VALUE"""),1.677676293418E12)</f>
        <v>1677676293418</v>
      </c>
      <c r="H450" s="26">
        <f t="shared" si="1"/>
        <v>95619</v>
      </c>
    </row>
    <row r="451">
      <c r="F451" s="26">
        <f>IFERROR(__xludf.DUMMYFUNCTION("""COMPUTED_VALUE"""),44.9)</f>
        <v>44.9</v>
      </c>
      <c r="G451" s="26">
        <f>IFERROR(__xludf.DUMMYFUNCTION("""COMPUTED_VALUE"""),1.677676294419E12)</f>
        <v>1677676294419</v>
      </c>
      <c r="H451" s="26">
        <f t="shared" si="1"/>
        <v>96620</v>
      </c>
    </row>
    <row r="452">
      <c r="F452" s="26">
        <f>IFERROR(__xludf.DUMMYFUNCTION("""COMPUTED_VALUE"""),45.0)</f>
        <v>45</v>
      </c>
      <c r="G452" s="26">
        <f>IFERROR(__xludf.DUMMYFUNCTION("""COMPUTED_VALUE"""),1.677676295452E12)</f>
        <v>1677676295452</v>
      </c>
      <c r="H452" s="26">
        <f t="shared" si="1"/>
        <v>97653</v>
      </c>
    </row>
    <row r="453">
      <c r="F453" s="26">
        <f>IFERROR(__xludf.DUMMYFUNCTION("""COMPUTED_VALUE"""),45.1)</f>
        <v>45.1</v>
      </c>
      <c r="G453" s="26">
        <f>IFERROR(__xludf.DUMMYFUNCTION("""COMPUTED_VALUE"""),1.677676296454E12)</f>
        <v>1677676296454</v>
      </c>
      <c r="H453" s="26">
        <f t="shared" si="1"/>
        <v>98655</v>
      </c>
    </row>
    <row r="454">
      <c r="F454" s="26">
        <f>IFERROR(__xludf.DUMMYFUNCTION("""COMPUTED_VALUE"""),45.2)</f>
        <v>45.2</v>
      </c>
      <c r="G454" s="26">
        <f>IFERROR(__xludf.DUMMYFUNCTION("""COMPUTED_VALUE"""),1.677676297456E12)</f>
        <v>1677676297456</v>
      </c>
      <c r="H454" s="26">
        <f t="shared" si="1"/>
        <v>99657</v>
      </c>
    </row>
    <row r="455">
      <c r="F455" s="26">
        <f>IFERROR(__xludf.DUMMYFUNCTION("""COMPUTED_VALUE"""),45.3)</f>
        <v>45.3</v>
      </c>
      <c r="G455" s="26">
        <f>IFERROR(__xludf.DUMMYFUNCTION("""COMPUTED_VALUE"""),1.677676298475E12)</f>
        <v>1677676298475</v>
      </c>
      <c r="H455" s="26">
        <f t="shared" si="1"/>
        <v>100676</v>
      </c>
    </row>
    <row r="456">
      <c r="F456" s="26">
        <f>IFERROR(__xludf.DUMMYFUNCTION("""COMPUTED_VALUE"""),45.4)</f>
        <v>45.4</v>
      </c>
      <c r="G456" s="26">
        <f>IFERROR(__xludf.DUMMYFUNCTION("""COMPUTED_VALUE"""),1.677676299476E12)</f>
        <v>1677676299476</v>
      </c>
      <c r="H456" s="26">
        <f t="shared" si="1"/>
        <v>101677</v>
      </c>
    </row>
    <row r="457">
      <c r="F457" s="26">
        <f>IFERROR(__xludf.DUMMYFUNCTION("""COMPUTED_VALUE"""),45.5)</f>
        <v>45.5</v>
      </c>
      <c r="G457" s="26">
        <f>IFERROR(__xludf.DUMMYFUNCTION("""COMPUTED_VALUE"""),1.677676300479E12)</f>
        <v>1677676300479</v>
      </c>
      <c r="H457" s="26">
        <f t="shared" si="1"/>
        <v>102680</v>
      </c>
    </row>
    <row r="458">
      <c r="F458" s="26">
        <f>IFERROR(__xludf.DUMMYFUNCTION("""COMPUTED_VALUE"""),45.6)</f>
        <v>45.6</v>
      </c>
      <c r="G458" s="26">
        <f>IFERROR(__xludf.DUMMYFUNCTION("""COMPUTED_VALUE"""),1.677676301481E12)</f>
        <v>1677676301481</v>
      </c>
      <c r="H458" s="26">
        <f t="shared" si="1"/>
        <v>103682</v>
      </c>
    </row>
    <row r="459">
      <c r="F459" s="26">
        <f>IFERROR(__xludf.DUMMYFUNCTION("""COMPUTED_VALUE"""),45.7)</f>
        <v>45.7</v>
      </c>
      <c r="G459" s="26">
        <f>IFERROR(__xludf.DUMMYFUNCTION("""COMPUTED_VALUE"""),1.677676302481E12)</f>
        <v>1677676302481</v>
      </c>
      <c r="H459" s="26">
        <f t="shared" si="1"/>
        <v>104682</v>
      </c>
    </row>
    <row r="460">
      <c r="F460" s="26">
        <f>IFERROR(__xludf.DUMMYFUNCTION("""COMPUTED_VALUE"""),45.8)</f>
        <v>45.8</v>
      </c>
      <c r="G460" s="26">
        <f>IFERROR(__xludf.DUMMYFUNCTION("""COMPUTED_VALUE"""),1.677676303484E12)</f>
        <v>1677676303484</v>
      </c>
      <c r="H460" s="26">
        <f t="shared" si="1"/>
        <v>105685</v>
      </c>
    </row>
    <row r="461">
      <c r="F461" s="26">
        <f>IFERROR(__xludf.DUMMYFUNCTION("""COMPUTED_VALUE"""),45.9)</f>
        <v>45.9</v>
      </c>
      <c r="G461" s="26">
        <f>IFERROR(__xludf.DUMMYFUNCTION("""COMPUTED_VALUE"""),1.677676304485E12)</f>
        <v>1677676304485</v>
      </c>
      <c r="H461" s="26">
        <f t="shared" si="1"/>
        <v>106686</v>
      </c>
    </row>
    <row r="462">
      <c r="F462" s="26">
        <f>IFERROR(__xludf.DUMMYFUNCTION("""COMPUTED_VALUE"""),46.0)</f>
        <v>46</v>
      </c>
      <c r="G462" s="26">
        <f>IFERROR(__xludf.DUMMYFUNCTION("""COMPUTED_VALUE"""),1.677676305488E12)</f>
        <v>1677676305488</v>
      </c>
      <c r="H462" s="26">
        <f t="shared" si="1"/>
        <v>107689</v>
      </c>
    </row>
    <row r="463">
      <c r="F463" s="26">
        <f>IFERROR(__xludf.DUMMYFUNCTION("""COMPUTED_VALUE"""),46.1)</f>
        <v>46.1</v>
      </c>
      <c r="G463" s="26">
        <f>IFERROR(__xludf.DUMMYFUNCTION("""COMPUTED_VALUE"""),1.677676306495E12)</f>
        <v>1677676306495</v>
      </c>
      <c r="H463" s="26">
        <f t="shared" si="1"/>
        <v>108696</v>
      </c>
    </row>
    <row r="464">
      <c r="F464" s="26">
        <f>IFERROR(__xludf.DUMMYFUNCTION("""COMPUTED_VALUE"""),46.2)</f>
        <v>46.2</v>
      </c>
      <c r="G464" s="26">
        <f>IFERROR(__xludf.DUMMYFUNCTION("""COMPUTED_VALUE"""),1.677676307504E12)</f>
        <v>1677676307504</v>
      </c>
      <c r="H464" s="26">
        <f t="shared" si="1"/>
        <v>109705</v>
      </c>
    </row>
    <row r="465">
      <c r="F465" s="26">
        <f>IFERROR(__xludf.DUMMYFUNCTION("""COMPUTED_VALUE"""),46.3)</f>
        <v>46.3</v>
      </c>
      <c r="G465" s="26">
        <f>IFERROR(__xludf.DUMMYFUNCTION("""COMPUTED_VALUE"""),1.677676308519E12)</f>
        <v>1677676308519</v>
      </c>
      <c r="H465" s="26">
        <f t="shared" si="1"/>
        <v>110720</v>
      </c>
    </row>
    <row r="466">
      <c r="F466" s="26">
        <f>IFERROR(__xludf.DUMMYFUNCTION("""COMPUTED_VALUE"""),46.4)</f>
        <v>46.4</v>
      </c>
      <c r="G466" s="26">
        <f>IFERROR(__xludf.DUMMYFUNCTION("""COMPUTED_VALUE"""),1.67767630952E12)</f>
        <v>1677676309520</v>
      </c>
      <c r="H466" s="26">
        <f t="shared" si="1"/>
        <v>111721</v>
      </c>
    </row>
    <row r="467">
      <c r="F467" s="26">
        <f>IFERROR(__xludf.DUMMYFUNCTION("""COMPUTED_VALUE"""),46.5)</f>
        <v>46.5</v>
      </c>
      <c r="G467" s="26">
        <f>IFERROR(__xludf.DUMMYFUNCTION("""COMPUTED_VALUE"""),1.677676310522E12)</f>
        <v>1677676310522</v>
      </c>
      <c r="H467" s="26">
        <f t="shared" si="1"/>
        <v>112723</v>
      </c>
    </row>
    <row r="468">
      <c r="F468" s="26">
        <f>IFERROR(__xludf.DUMMYFUNCTION("""COMPUTED_VALUE"""),46.6)</f>
        <v>46.6</v>
      </c>
      <c r="G468" s="26">
        <f>IFERROR(__xludf.DUMMYFUNCTION("""COMPUTED_VALUE"""),1.677676311523E12)</f>
        <v>1677676311523</v>
      </c>
      <c r="H468" s="26">
        <f t="shared" si="1"/>
        <v>113724</v>
      </c>
    </row>
    <row r="469">
      <c r="F469" s="26">
        <f>IFERROR(__xludf.DUMMYFUNCTION("""COMPUTED_VALUE"""),46.7)</f>
        <v>46.7</v>
      </c>
      <c r="G469" s="26">
        <f>IFERROR(__xludf.DUMMYFUNCTION("""COMPUTED_VALUE"""),1.677676312527E12)</f>
        <v>1677676312527</v>
      </c>
      <c r="H469" s="26">
        <f t="shared" si="1"/>
        <v>114728</v>
      </c>
    </row>
    <row r="470">
      <c r="F470" s="26">
        <f>IFERROR(__xludf.DUMMYFUNCTION("""COMPUTED_VALUE"""),46.8)</f>
        <v>46.8</v>
      </c>
      <c r="G470" s="26">
        <f>IFERROR(__xludf.DUMMYFUNCTION("""COMPUTED_VALUE"""),1.67767631353E12)</f>
        <v>1677676313530</v>
      </c>
      <c r="H470" s="26">
        <f t="shared" si="1"/>
        <v>115731</v>
      </c>
    </row>
    <row r="471">
      <c r="F471" s="26">
        <f>IFERROR(__xludf.DUMMYFUNCTION("""COMPUTED_VALUE"""),46.9)</f>
        <v>46.9</v>
      </c>
      <c r="G471" s="26">
        <f>IFERROR(__xludf.DUMMYFUNCTION("""COMPUTED_VALUE"""),1.677676314532E12)</f>
        <v>1677676314532</v>
      </c>
      <c r="H471" s="26">
        <f t="shared" si="1"/>
        <v>116733</v>
      </c>
    </row>
    <row r="472">
      <c r="F472" s="26">
        <f>IFERROR(__xludf.DUMMYFUNCTION("""COMPUTED_VALUE"""),47.0)</f>
        <v>47</v>
      </c>
      <c r="G472" s="26">
        <f>IFERROR(__xludf.DUMMYFUNCTION("""COMPUTED_VALUE"""),1.677676315533E12)</f>
        <v>1677676315533</v>
      </c>
      <c r="H472" s="26">
        <f t="shared" si="1"/>
        <v>117734</v>
      </c>
    </row>
    <row r="473">
      <c r="F473" s="26">
        <f>IFERROR(__xludf.DUMMYFUNCTION("""COMPUTED_VALUE"""),47.1)</f>
        <v>47.1</v>
      </c>
      <c r="G473" s="26">
        <f>IFERROR(__xludf.DUMMYFUNCTION("""COMPUTED_VALUE"""),1.677676316534E12)</f>
        <v>1677676316534</v>
      </c>
      <c r="H473" s="26">
        <f t="shared" si="1"/>
        <v>118735</v>
      </c>
    </row>
    <row r="474">
      <c r="F474" s="26">
        <f>IFERROR(__xludf.DUMMYFUNCTION("""COMPUTED_VALUE"""),47.2)</f>
        <v>47.2</v>
      </c>
      <c r="G474" s="26">
        <f>IFERROR(__xludf.DUMMYFUNCTION("""COMPUTED_VALUE"""),1.677676317537E12)</f>
        <v>1677676317537</v>
      </c>
      <c r="H474" s="26">
        <f t="shared" si="1"/>
        <v>119738</v>
      </c>
    </row>
    <row r="475">
      <c r="F475" s="26">
        <f>IFERROR(__xludf.DUMMYFUNCTION("""COMPUTED_VALUE"""),47.3)</f>
        <v>47.3</v>
      </c>
      <c r="G475" s="26">
        <f>IFERROR(__xludf.DUMMYFUNCTION("""COMPUTED_VALUE"""),1.677676318537E12)</f>
        <v>1677676318537</v>
      </c>
      <c r="H475" s="26">
        <f t="shared" si="1"/>
        <v>120738</v>
      </c>
    </row>
    <row r="476">
      <c r="F476" s="26">
        <f>IFERROR(__xludf.DUMMYFUNCTION("""COMPUTED_VALUE"""),47.4)</f>
        <v>47.4</v>
      </c>
      <c r="G476" s="26">
        <f>IFERROR(__xludf.DUMMYFUNCTION("""COMPUTED_VALUE"""),1.677676319538E12)</f>
        <v>1677676319538</v>
      </c>
      <c r="H476" s="26">
        <f t="shared" si="1"/>
        <v>121739</v>
      </c>
    </row>
    <row r="477">
      <c r="F477" s="26">
        <f>IFERROR(__xludf.DUMMYFUNCTION("""COMPUTED_VALUE"""),47.5)</f>
        <v>47.5</v>
      </c>
      <c r="G477" s="26">
        <f>IFERROR(__xludf.DUMMYFUNCTION("""COMPUTED_VALUE"""),1.677676320539E12)</f>
        <v>1677676320539</v>
      </c>
      <c r="H477" s="26">
        <f t="shared" si="1"/>
        <v>122740</v>
      </c>
    </row>
    <row r="478">
      <c r="F478" s="26">
        <f>IFERROR(__xludf.DUMMYFUNCTION("""COMPUTED_VALUE"""),47.6)</f>
        <v>47.6</v>
      </c>
      <c r="G478" s="26">
        <f>IFERROR(__xludf.DUMMYFUNCTION("""COMPUTED_VALUE"""),1.677676321542E12)</f>
        <v>1677676321542</v>
      </c>
      <c r="H478" s="26">
        <f t="shared" si="1"/>
        <v>123743</v>
      </c>
    </row>
    <row r="479">
      <c r="F479" s="26">
        <f>IFERROR(__xludf.DUMMYFUNCTION("""COMPUTED_VALUE"""),47.7)</f>
        <v>47.7</v>
      </c>
      <c r="G479" s="26">
        <f>IFERROR(__xludf.DUMMYFUNCTION("""COMPUTED_VALUE"""),1.677676322545E12)</f>
        <v>1677676322545</v>
      </c>
      <c r="H479" s="26">
        <f t="shared" si="1"/>
        <v>124746</v>
      </c>
    </row>
    <row r="480">
      <c r="F480" s="26">
        <f>IFERROR(__xludf.DUMMYFUNCTION("""COMPUTED_VALUE"""),47.8)</f>
        <v>47.8</v>
      </c>
      <c r="G480" s="26">
        <f>IFERROR(__xludf.DUMMYFUNCTION("""COMPUTED_VALUE"""),1.677676323554E12)</f>
        <v>1677676323554</v>
      </c>
      <c r="H480" s="26">
        <f t="shared" si="1"/>
        <v>125755</v>
      </c>
    </row>
    <row r="481">
      <c r="F481" s="26">
        <f>IFERROR(__xludf.DUMMYFUNCTION("""COMPUTED_VALUE"""),47.9)</f>
        <v>47.9</v>
      </c>
      <c r="G481" s="26">
        <f>IFERROR(__xludf.DUMMYFUNCTION("""COMPUTED_VALUE"""),1.677676324557E12)</f>
        <v>1677676324557</v>
      </c>
      <c r="H481" s="26">
        <f t="shared" si="1"/>
        <v>126758</v>
      </c>
    </row>
    <row r="482">
      <c r="F482" s="26">
        <f>IFERROR(__xludf.DUMMYFUNCTION("""COMPUTED_VALUE"""),48.0)</f>
        <v>48</v>
      </c>
      <c r="G482" s="26">
        <f>IFERROR(__xludf.DUMMYFUNCTION("""COMPUTED_VALUE"""),1.677676325559E12)</f>
        <v>1677676325559</v>
      </c>
      <c r="H482" s="26">
        <f t="shared" si="1"/>
        <v>127760</v>
      </c>
    </row>
    <row r="483">
      <c r="F483" s="26">
        <f>IFERROR(__xludf.DUMMYFUNCTION("""COMPUTED_VALUE"""),48.1)</f>
        <v>48.1</v>
      </c>
      <c r="G483" s="26">
        <f>IFERROR(__xludf.DUMMYFUNCTION("""COMPUTED_VALUE"""),1.677676326562E12)</f>
        <v>1677676326562</v>
      </c>
      <c r="H483" s="26">
        <f t="shared" si="1"/>
        <v>128763</v>
      </c>
    </row>
    <row r="484">
      <c r="F484" s="26">
        <f>IFERROR(__xludf.DUMMYFUNCTION("""COMPUTED_VALUE"""),48.2)</f>
        <v>48.2</v>
      </c>
      <c r="G484" s="26">
        <f>IFERROR(__xludf.DUMMYFUNCTION("""COMPUTED_VALUE"""),1.677676327564E12)</f>
        <v>1677676327564</v>
      </c>
      <c r="H484" s="26">
        <f t="shared" si="1"/>
        <v>129765</v>
      </c>
    </row>
    <row r="485">
      <c r="F485" s="26">
        <f>IFERROR(__xludf.DUMMYFUNCTION("""COMPUTED_VALUE"""),48.3)</f>
        <v>48.3</v>
      </c>
      <c r="G485" s="26">
        <f>IFERROR(__xludf.DUMMYFUNCTION("""COMPUTED_VALUE"""),1.677676328565E12)</f>
        <v>1677676328565</v>
      </c>
      <c r="H485" s="26">
        <f t="shared" si="1"/>
        <v>130766</v>
      </c>
    </row>
    <row r="486">
      <c r="F486" s="26">
        <f>IFERROR(__xludf.DUMMYFUNCTION("""COMPUTED_VALUE"""),48.4)</f>
        <v>48.4</v>
      </c>
      <c r="G486" s="26">
        <f>IFERROR(__xludf.DUMMYFUNCTION("""COMPUTED_VALUE"""),1.677676329568E12)</f>
        <v>1677676329568</v>
      </c>
      <c r="H486" s="26">
        <f t="shared" si="1"/>
        <v>131769</v>
      </c>
    </row>
    <row r="487">
      <c r="F487" s="26">
        <f>IFERROR(__xludf.DUMMYFUNCTION("""COMPUTED_VALUE"""),48.5)</f>
        <v>48.5</v>
      </c>
      <c r="G487" s="26">
        <f>IFERROR(__xludf.DUMMYFUNCTION("""COMPUTED_VALUE"""),1.67767633057E12)</f>
        <v>1677676330570</v>
      </c>
      <c r="H487" s="26">
        <f t="shared" si="1"/>
        <v>132771</v>
      </c>
    </row>
    <row r="488">
      <c r="F488" s="26">
        <f>IFERROR(__xludf.DUMMYFUNCTION("""COMPUTED_VALUE"""),48.6)</f>
        <v>48.6</v>
      </c>
      <c r="G488" s="26">
        <f>IFERROR(__xludf.DUMMYFUNCTION("""COMPUTED_VALUE"""),1.677676331574E12)</f>
        <v>1677676331574</v>
      </c>
      <c r="H488" s="26">
        <f t="shared" si="1"/>
        <v>133775</v>
      </c>
    </row>
    <row r="489">
      <c r="F489" s="26">
        <f>IFERROR(__xludf.DUMMYFUNCTION("""COMPUTED_VALUE"""),48.7)</f>
        <v>48.7</v>
      </c>
      <c r="G489" s="26">
        <f>IFERROR(__xludf.DUMMYFUNCTION("""COMPUTED_VALUE"""),1.677676332575E12)</f>
        <v>1677676332575</v>
      </c>
      <c r="H489" s="26">
        <f t="shared" si="1"/>
        <v>134776</v>
      </c>
    </row>
    <row r="490">
      <c r="F490" s="26">
        <f>IFERROR(__xludf.DUMMYFUNCTION("""COMPUTED_VALUE"""),48.8)</f>
        <v>48.8</v>
      </c>
      <c r="G490" s="26">
        <f>IFERROR(__xludf.DUMMYFUNCTION("""COMPUTED_VALUE"""),1.677676333576E12)</f>
        <v>1677676333576</v>
      </c>
      <c r="H490" s="26">
        <f t="shared" si="1"/>
        <v>135777</v>
      </c>
    </row>
    <row r="491">
      <c r="F491" s="26">
        <f>IFERROR(__xludf.DUMMYFUNCTION("""COMPUTED_VALUE"""),48.9)</f>
        <v>48.9</v>
      </c>
      <c r="G491" s="26">
        <f>IFERROR(__xludf.DUMMYFUNCTION("""COMPUTED_VALUE"""),1.677676334578E12)</f>
        <v>1677676334578</v>
      </c>
      <c r="H491" s="26">
        <f t="shared" si="1"/>
        <v>136779</v>
      </c>
    </row>
    <row r="492">
      <c r="F492" s="26">
        <f>IFERROR(__xludf.DUMMYFUNCTION("""COMPUTED_VALUE"""),49.0)</f>
        <v>49</v>
      </c>
      <c r="G492" s="26">
        <f>IFERROR(__xludf.DUMMYFUNCTION("""COMPUTED_VALUE"""),1.677676335581E12)</f>
        <v>1677676335581</v>
      </c>
      <c r="H492" s="26">
        <f t="shared" si="1"/>
        <v>137782</v>
      </c>
    </row>
    <row r="493">
      <c r="F493" s="26">
        <f>IFERROR(__xludf.DUMMYFUNCTION("""COMPUTED_VALUE"""),49.1)</f>
        <v>49.1</v>
      </c>
      <c r="G493" s="26">
        <f>IFERROR(__xludf.DUMMYFUNCTION("""COMPUTED_VALUE"""),1.67767633658E12)</f>
        <v>1677676336580</v>
      </c>
      <c r="H493" s="26">
        <f t="shared" si="1"/>
        <v>138781</v>
      </c>
    </row>
    <row r="494">
      <c r="F494" s="26">
        <f>IFERROR(__xludf.DUMMYFUNCTION("""COMPUTED_VALUE"""),49.2)</f>
        <v>49.2</v>
      </c>
      <c r="G494" s="26">
        <f>IFERROR(__xludf.DUMMYFUNCTION("""COMPUTED_VALUE"""),1.677676337583E12)</f>
        <v>1677676337583</v>
      </c>
      <c r="H494" s="26">
        <f t="shared" si="1"/>
        <v>139784</v>
      </c>
    </row>
    <row r="495">
      <c r="F495" s="26">
        <f>IFERROR(__xludf.DUMMYFUNCTION("""COMPUTED_VALUE"""),49.3)</f>
        <v>49.3</v>
      </c>
      <c r="G495" s="26">
        <f>IFERROR(__xludf.DUMMYFUNCTION("""COMPUTED_VALUE"""),1.677676338584E12)</f>
        <v>1677676338584</v>
      </c>
      <c r="H495" s="26">
        <f t="shared" si="1"/>
        <v>140785</v>
      </c>
    </row>
    <row r="496">
      <c r="F496" s="26">
        <f>IFERROR(__xludf.DUMMYFUNCTION("""COMPUTED_VALUE"""),49.4)</f>
        <v>49.4</v>
      </c>
      <c r="G496" s="26">
        <f>IFERROR(__xludf.DUMMYFUNCTION("""COMPUTED_VALUE"""),1.677676339586E12)</f>
        <v>1677676339586</v>
      </c>
      <c r="H496" s="26">
        <f t="shared" si="1"/>
        <v>141787</v>
      </c>
    </row>
    <row r="497">
      <c r="F497" s="26">
        <f>IFERROR(__xludf.DUMMYFUNCTION("""COMPUTED_VALUE"""),49.5)</f>
        <v>49.5</v>
      </c>
      <c r="G497" s="26">
        <f>IFERROR(__xludf.DUMMYFUNCTION("""COMPUTED_VALUE"""),1.677676340588E12)</f>
        <v>1677676340588</v>
      </c>
      <c r="H497" s="26">
        <f t="shared" si="1"/>
        <v>142789</v>
      </c>
    </row>
    <row r="498">
      <c r="F498" s="26">
        <f>IFERROR(__xludf.DUMMYFUNCTION("""COMPUTED_VALUE"""),49.6)</f>
        <v>49.6</v>
      </c>
      <c r="G498" s="26">
        <f>IFERROR(__xludf.DUMMYFUNCTION("""COMPUTED_VALUE"""),1.677676341589E12)</f>
        <v>1677676341589</v>
      </c>
      <c r="H498" s="26">
        <f t="shared" si="1"/>
        <v>143790</v>
      </c>
    </row>
    <row r="499">
      <c r="F499" s="26">
        <f>IFERROR(__xludf.DUMMYFUNCTION("""COMPUTED_VALUE"""),49.7)</f>
        <v>49.7</v>
      </c>
      <c r="G499" s="26">
        <f>IFERROR(__xludf.DUMMYFUNCTION("""COMPUTED_VALUE"""),1.677676341844E12)</f>
        <v>1677676341844</v>
      </c>
      <c r="H499" s="26">
        <f t="shared" si="1"/>
        <v>144045</v>
      </c>
    </row>
    <row r="500">
      <c r="F500" s="26">
        <f>IFERROR(__xludf.DUMMYFUNCTION("""COMPUTED_VALUE"""),49.8)</f>
        <v>49.8</v>
      </c>
      <c r="G500" s="26">
        <f>IFERROR(__xludf.DUMMYFUNCTION("""COMPUTED_VALUE"""),1.67767634185E12)</f>
        <v>1677676341850</v>
      </c>
      <c r="H500" s="26">
        <f t="shared" si="1"/>
        <v>144051</v>
      </c>
    </row>
    <row r="501">
      <c r="F501" s="26">
        <f>IFERROR(__xludf.DUMMYFUNCTION("""COMPUTED_VALUE"""),49.9)</f>
        <v>49.9</v>
      </c>
      <c r="G501" s="26">
        <f>IFERROR(__xludf.DUMMYFUNCTION("""COMPUTED_VALUE"""),1.677676341856E12)</f>
        <v>1677676341856</v>
      </c>
      <c r="H501" s="26">
        <f t="shared" si="1"/>
        <v>144057</v>
      </c>
    </row>
    <row r="502">
      <c r="F502" s="26">
        <f>IFERROR(__xludf.DUMMYFUNCTION("""COMPUTED_VALUE"""),50.0)</f>
        <v>50</v>
      </c>
      <c r="G502" s="26">
        <f>IFERROR(__xludf.DUMMYFUNCTION("""COMPUTED_VALUE"""),1.677676341864E12)</f>
        <v>1677676341864</v>
      </c>
      <c r="H502" s="26">
        <f t="shared" si="1"/>
        <v>144065</v>
      </c>
    </row>
    <row r="503">
      <c r="F503" s="26">
        <f>IFERROR(__xludf.DUMMYFUNCTION("""COMPUTED_VALUE"""),50.1)</f>
        <v>50.1</v>
      </c>
      <c r="G503" s="26">
        <f>IFERROR(__xludf.DUMMYFUNCTION("""COMPUTED_VALUE"""),1.677676341871E12)</f>
        <v>1677676341871</v>
      </c>
      <c r="H503" s="26">
        <f t="shared" si="1"/>
        <v>144072</v>
      </c>
    </row>
    <row r="504">
      <c r="F504" s="26">
        <f>IFERROR(__xludf.DUMMYFUNCTION("""COMPUTED_VALUE"""),50.2)</f>
        <v>50.2</v>
      </c>
      <c r="G504" s="26">
        <f>IFERROR(__xludf.DUMMYFUNCTION("""COMPUTED_VALUE"""),1.677676341875E12)</f>
        <v>1677676341875</v>
      </c>
      <c r="H504" s="26">
        <f t="shared" si="1"/>
        <v>144076</v>
      </c>
    </row>
    <row r="505">
      <c r="F505" s="26">
        <f>IFERROR(__xludf.DUMMYFUNCTION("""COMPUTED_VALUE"""),50.3)</f>
        <v>50.3</v>
      </c>
      <c r="G505" s="26">
        <f>IFERROR(__xludf.DUMMYFUNCTION("""COMPUTED_VALUE"""),1.677676341883E12)</f>
        <v>1677676341883</v>
      </c>
      <c r="H505" s="26">
        <f t="shared" si="1"/>
        <v>144084</v>
      </c>
    </row>
    <row r="506">
      <c r="F506" s="26">
        <f>IFERROR(__xludf.DUMMYFUNCTION("""COMPUTED_VALUE"""),50.4)</f>
        <v>50.4</v>
      </c>
      <c r="G506" s="26">
        <f>IFERROR(__xludf.DUMMYFUNCTION("""COMPUTED_VALUE"""),1.677676341887E12)</f>
        <v>1677676341887</v>
      </c>
      <c r="H506" s="26">
        <f t="shared" si="1"/>
        <v>144088</v>
      </c>
    </row>
    <row r="507">
      <c r="F507" s="26">
        <f>IFERROR(__xludf.DUMMYFUNCTION("""COMPUTED_VALUE"""),50.5)</f>
        <v>50.5</v>
      </c>
      <c r="G507" s="26">
        <f>IFERROR(__xludf.DUMMYFUNCTION("""COMPUTED_VALUE"""),1.677676341896E12)</f>
        <v>1677676341896</v>
      </c>
      <c r="H507" s="26">
        <f t="shared" si="1"/>
        <v>144097</v>
      </c>
    </row>
    <row r="508">
      <c r="F508" s="26">
        <f>IFERROR(__xludf.DUMMYFUNCTION("""COMPUTED_VALUE"""),50.6)</f>
        <v>50.6</v>
      </c>
      <c r="G508" s="26">
        <f>IFERROR(__xludf.DUMMYFUNCTION("""COMPUTED_VALUE"""),1.677676341903E12)</f>
        <v>1677676341903</v>
      </c>
      <c r="H508" s="26">
        <f t="shared" si="1"/>
        <v>144104</v>
      </c>
    </row>
    <row r="509">
      <c r="F509" s="26">
        <f>IFERROR(__xludf.DUMMYFUNCTION("""COMPUTED_VALUE"""),50.7)</f>
        <v>50.7</v>
      </c>
      <c r="G509" s="26">
        <f>IFERROR(__xludf.DUMMYFUNCTION("""COMPUTED_VALUE"""),1.677676341909E12)</f>
        <v>1677676341909</v>
      </c>
      <c r="H509" s="26">
        <f t="shared" si="1"/>
        <v>144110</v>
      </c>
    </row>
    <row r="510">
      <c r="F510" s="26">
        <f>IFERROR(__xludf.DUMMYFUNCTION("""COMPUTED_VALUE"""),50.8)</f>
        <v>50.8</v>
      </c>
      <c r="G510" s="26">
        <f>IFERROR(__xludf.DUMMYFUNCTION("""COMPUTED_VALUE"""),1.677676341914E12)</f>
        <v>1677676341914</v>
      </c>
      <c r="H510" s="26">
        <f t="shared" si="1"/>
        <v>144115</v>
      </c>
    </row>
    <row r="511">
      <c r="F511" s="26">
        <f>IFERROR(__xludf.DUMMYFUNCTION("""COMPUTED_VALUE"""),50.9)</f>
        <v>50.9</v>
      </c>
      <c r="G511" s="26">
        <f>IFERROR(__xludf.DUMMYFUNCTION("""COMPUTED_VALUE"""),1.677676341923E12)</f>
        <v>1677676341923</v>
      </c>
      <c r="H511" s="26">
        <f t="shared" si="1"/>
        <v>144124</v>
      </c>
    </row>
    <row r="512">
      <c r="F512" s="26">
        <f>IFERROR(__xludf.DUMMYFUNCTION("""COMPUTED_VALUE"""),51.0)</f>
        <v>51</v>
      </c>
      <c r="G512" s="26">
        <f>IFERROR(__xludf.DUMMYFUNCTION("""COMPUTED_VALUE"""),1.67767634193E12)</f>
        <v>1677676341930</v>
      </c>
      <c r="H512" s="26">
        <f t="shared" si="1"/>
        <v>144131</v>
      </c>
    </row>
    <row r="513">
      <c r="F513" s="26">
        <f>IFERROR(__xludf.DUMMYFUNCTION("""COMPUTED_VALUE"""),51.1)</f>
        <v>51.1</v>
      </c>
      <c r="G513" s="26">
        <f>IFERROR(__xludf.DUMMYFUNCTION("""COMPUTED_VALUE"""),1.677676341935E12)</f>
        <v>1677676341935</v>
      </c>
      <c r="H513" s="26">
        <f t="shared" si="1"/>
        <v>144136</v>
      </c>
    </row>
    <row r="514">
      <c r="F514" s="26">
        <f>IFERROR(__xludf.DUMMYFUNCTION("""COMPUTED_VALUE"""),51.2)</f>
        <v>51.2</v>
      </c>
      <c r="G514" s="26">
        <f>IFERROR(__xludf.DUMMYFUNCTION("""COMPUTED_VALUE"""),1.677676341944E12)</f>
        <v>1677676341944</v>
      </c>
      <c r="H514" s="26">
        <f t="shared" si="1"/>
        <v>144145</v>
      </c>
    </row>
    <row r="515">
      <c r="F515" s="26">
        <f>IFERROR(__xludf.DUMMYFUNCTION("""COMPUTED_VALUE"""),51.3)</f>
        <v>51.3</v>
      </c>
      <c r="G515" s="26">
        <f>IFERROR(__xludf.DUMMYFUNCTION("""COMPUTED_VALUE"""),1.67767634195E12)</f>
        <v>1677676341950</v>
      </c>
      <c r="H515" s="26">
        <f t="shared" si="1"/>
        <v>144151</v>
      </c>
    </row>
    <row r="516">
      <c r="F516" s="26">
        <f>IFERROR(__xludf.DUMMYFUNCTION("""COMPUTED_VALUE"""),51.4)</f>
        <v>51.4</v>
      </c>
      <c r="G516" s="26">
        <f>IFERROR(__xludf.DUMMYFUNCTION("""COMPUTED_VALUE"""),1.677676341955E12)</f>
        <v>1677676341955</v>
      </c>
      <c r="H516" s="26">
        <f t="shared" si="1"/>
        <v>144156</v>
      </c>
    </row>
    <row r="517">
      <c r="F517" s="26">
        <f>IFERROR(__xludf.DUMMYFUNCTION("""COMPUTED_VALUE"""),51.5)</f>
        <v>51.5</v>
      </c>
      <c r="G517" s="26">
        <f>IFERROR(__xludf.DUMMYFUNCTION("""COMPUTED_VALUE"""),1.677676341964E12)</f>
        <v>1677676341964</v>
      </c>
      <c r="H517" s="26">
        <f t="shared" si="1"/>
        <v>144165</v>
      </c>
    </row>
    <row r="518">
      <c r="F518" s="26">
        <f>IFERROR(__xludf.DUMMYFUNCTION("""COMPUTED_VALUE"""),51.6)</f>
        <v>51.6</v>
      </c>
      <c r="G518" s="26">
        <f>IFERROR(__xludf.DUMMYFUNCTION("""COMPUTED_VALUE"""),1.677676341969E12)</f>
        <v>1677676341969</v>
      </c>
      <c r="H518" s="26">
        <f t="shared" si="1"/>
        <v>144170</v>
      </c>
    </row>
    <row r="519">
      <c r="F519" s="26">
        <f>IFERROR(__xludf.DUMMYFUNCTION("""COMPUTED_VALUE"""),51.7)</f>
        <v>51.7</v>
      </c>
      <c r="G519" s="26">
        <f>IFERROR(__xludf.DUMMYFUNCTION("""COMPUTED_VALUE"""),1.677676341975E12)</f>
        <v>1677676341975</v>
      </c>
      <c r="H519" s="26">
        <f t="shared" si="1"/>
        <v>144176</v>
      </c>
    </row>
    <row r="520">
      <c r="F520" s="26">
        <f>IFERROR(__xludf.DUMMYFUNCTION("""COMPUTED_VALUE"""),51.8)</f>
        <v>51.8</v>
      </c>
      <c r="G520" s="26">
        <f>IFERROR(__xludf.DUMMYFUNCTION("""COMPUTED_VALUE"""),1.67767634198E12)</f>
        <v>1677676341980</v>
      </c>
      <c r="H520" s="26">
        <f t="shared" si="1"/>
        <v>144181</v>
      </c>
    </row>
    <row r="521">
      <c r="F521" s="26">
        <f>IFERROR(__xludf.DUMMYFUNCTION("""COMPUTED_VALUE"""),51.9)</f>
        <v>51.9</v>
      </c>
      <c r="G521" s="26">
        <f>IFERROR(__xludf.DUMMYFUNCTION("""COMPUTED_VALUE"""),1.677676341987E12)</f>
        <v>1677676341987</v>
      </c>
      <c r="H521" s="26">
        <f t="shared" si="1"/>
        <v>144188</v>
      </c>
    </row>
    <row r="522">
      <c r="F522" s="26">
        <f>IFERROR(__xludf.DUMMYFUNCTION("""COMPUTED_VALUE"""),52.0)</f>
        <v>52</v>
      </c>
      <c r="G522" s="26">
        <f>IFERROR(__xludf.DUMMYFUNCTION("""COMPUTED_VALUE"""),1.677676341998E12)</f>
        <v>1677676341998</v>
      </c>
      <c r="H522" s="26">
        <f t="shared" si="1"/>
        <v>144199</v>
      </c>
    </row>
    <row r="523">
      <c r="F523" s="26">
        <f>IFERROR(__xludf.DUMMYFUNCTION("""COMPUTED_VALUE"""),52.1)</f>
        <v>52.1</v>
      </c>
      <c r="G523" s="26">
        <f>IFERROR(__xludf.DUMMYFUNCTION("""COMPUTED_VALUE"""),1.677676342004E12)</f>
        <v>1677676342004</v>
      </c>
      <c r="H523" s="26">
        <f t="shared" si="1"/>
        <v>144205</v>
      </c>
    </row>
    <row r="524">
      <c r="F524" s="26">
        <f>IFERROR(__xludf.DUMMYFUNCTION("""COMPUTED_VALUE"""),52.2)</f>
        <v>52.2</v>
      </c>
      <c r="G524" s="26">
        <f>IFERROR(__xludf.DUMMYFUNCTION("""COMPUTED_VALUE"""),1.677676342009E12)</f>
        <v>1677676342009</v>
      </c>
      <c r="H524" s="26">
        <f t="shared" si="1"/>
        <v>144210</v>
      </c>
    </row>
    <row r="525">
      <c r="F525" s="26">
        <f>IFERROR(__xludf.DUMMYFUNCTION("""COMPUTED_VALUE"""),52.3)</f>
        <v>52.3</v>
      </c>
      <c r="G525" s="26">
        <f>IFERROR(__xludf.DUMMYFUNCTION("""COMPUTED_VALUE"""),1.677676342023E12)</f>
        <v>1677676342023</v>
      </c>
      <c r="H525" s="26">
        <f t="shared" si="1"/>
        <v>144224</v>
      </c>
    </row>
    <row r="526">
      <c r="F526" s="26">
        <f>IFERROR(__xludf.DUMMYFUNCTION("""COMPUTED_VALUE"""),52.4)</f>
        <v>52.4</v>
      </c>
      <c r="G526" s="26">
        <f>IFERROR(__xludf.DUMMYFUNCTION("""COMPUTED_VALUE"""),1.677676342029E12)</f>
        <v>1677676342029</v>
      </c>
      <c r="H526" s="26">
        <f t="shared" si="1"/>
        <v>144230</v>
      </c>
    </row>
    <row r="527">
      <c r="F527" s="26">
        <f>IFERROR(__xludf.DUMMYFUNCTION("""COMPUTED_VALUE"""),52.5)</f>
        <v>52.5</v>
      </c>
      <c r="G527" s="26">
        <f>IFERROR(__xludf.DUMMYFUNCTION("""COMPUTED_VALUE"""),1.677676342035E12)</f>
        <v>1677676342035</v>
      </c>
      <c r="H527" s="26">
        <f t="shared" si="1"/>
        <v>144236</v>
      </c>
    </row>
    <row r="528">
      <c r="F528" s="26">
        <f>IFERROR(__xludf.DUMMYFUNCTION("""COMPUTED_VALUE"""),52.6)</f>
        <v>52.6</v>
      </c>
      <c r="G528" s="26">
        <f>IFERROR(__xludf.DUMMYFUNCTION("""COMPUTED_VALUE"""),1.677676342043E12)</f>
        <v>1677676342043</v>
      </c>
      <c r="H528" s="26">
        <f t="shared" si="1"/>
        <v>144244</v>
      </c>
    </row>
    <row r="529">
      <c r="F529" s="26">
        <f>IFERROR(__xludf.DUMMYFUNCTION("""COMPUTED_VALUE"""),52.7)</f>
        <v>52.7</v>
      </c>
      <c r="G529" s="26">
        <f>IFERROR(__xludf.DUMMYFUNCTION("""COMPUTED_VALUE"""),1.677676342047E12)</f>
        <v>1677676342047</v>
      </c>
      <c r="H529" s="26">
        <f t="shared" si="1"/>
        <v>144248</v>
      </c>
    </row>
    <row r="530">
      <c r="F530" s="26">
        <f>IFERROR(__xludf.DUMMYFUNCTION("""COMPUTED_VALUE"""),52.8)</f>
        <v>52.8</v>
      </c>
      <c r="G530" s="26">
        <f>IFERROR(__xludf.DUMMYFUNCTION("""COMPUTED_VALUE"""),1.677676342054E12)</f>
        <v>1677676342054</v>
      </c>
      <c r="H530" s="26">
        <f t="shared" si="1"/>
        <v>144255</v>
      </c>
    </row>
    <row r="531">
      <c r="F531" s="26">
        <f>IFERROR(__xludf.DUMMYFUNCTION("""COMPUTED_VALUE"""),52.9)</f>
        <v>52.9</v>
      </c>
      <c r="G531" s="26">
        <f>IFERROR(__xludf.DUMMYFUNCTION("""COMPUTED_VALUE"""),1.67767634206E12)</f>
        <v>1677676342060</v>
      </c>
      <c r="H531" s="26">
        <f t="shared" si="1"/>
        <v>144261</v>
      </c>
    </row>
    <row r="532">
      <c r="F532" s="26">
        <f>IFERROR(__xludf.DUMMYFUNCTION("""COMPUTED_VALUE"""),53.0)</f>
        <v>53</v>
      </c>
      <c r="G532" s="26">
        <f>IFERROR(__xludf.DUMMYFUNCTION("""COMPUTED_VALUE"""),1.677676342067E12)</f>
        <v>1677676342067</v>
      </c>
      <c r="H532" s="26">
        <f t="shared" si="1"/>
        <v>144268</v>
      </c>
    </row>
    <row r="533">
      <c r="F533" s="26">
        <f>IFERROR(__xludf.DUMMYFUNCTION("""COMPUTED_VALUE"""),53.1)</f>
        <v>53.1</v>
      </c>
      <c r="G533" s="26">
        <f>IFERROR(__xludf.DUMMYFUNCTION("""COMPUTED_VALUE"""),1.677676342074E12)</f>
        <v>1677676342074</v>
      </c>
      <c r="H533" s="26">
        <f t="shared" si="1"/>
        <v>144275</v>
      </c>
    </row>
    <row r="534">
      <c r="F534" s="26">
        <f>IFERROR(__xludf.DUMMYFUNCTION("""COMPUTED_VALUE"""),53.2)</f>
        <v>53.2</v>
      </c>
      <c r="G534" s="26">
        <f>IFERROR(__xludf.DUMMYFUNCTION("""COMPUTED_VALUE"""),1.677676342085E12)</f>
        <v>1677676342085</v>
      </c>
      <c r="H534" s="26">
        <f t="shared" si="1"/>
        <v>144286</v>
      </c>
    </row>
    <row r="535">
      <c r="F535" s="26">
        <f>IFERROR(__xludf.DUMMYFUNCTION("""COMPUTED_VALUE"""),53.3)</f>
        <v>53.3</v>
      </c>
      <c r="G535" s="26">
        <f>IFERROR(__xludf.DUMMYFUNCTION("""COMPUTED_VALUE"""),1.677676342094E12)</f>
        <v>1677676342094</v>
      </c>
      <c r="H535" s="26">
        <f t="shared" si="1"/>
        <v>144295</v>
      </c>
    </row>
    <row r="536">
      <c r="F536" s="26">
        <f>IFERROR(__xludf.DUMMYFUNCTION("""COMPUTED_VALUE"""),53.4)</f>
        <v>53.4</v>
      </c>
      <c r="G536" s="26">
        <f>IFERROR(__xludf.DUMMYFUNCTION("""COMPUTED_VALUE"""),1.677676342104E12)</f>
        <v>1677676342104</v>
      </c>
      <c r="H536" s="26">
        <f t="shared" si="1"/>
        <v>144305</v>
      </c>
    </row>
    <row r="537">
      <c r="F537" s="26">
        <f>IFERROR(__xludf.DUMMYFUNCTION("""COMPUTED_VALUE"""),53.5)</f>
        <v>53.5</v>
      </c>
      <c r="G537" s="26">
        <f>IFERROR(__xludf.DUMMYFUNCTION("""COMPUTED_VALUE"""),1.677676342109E12)</f>
        <v>1677676342109</v>
      </c>
      <c r="H537" s="26">
        <f t="shared" si="1"/>
        <v>144310</v>
      </c>
    </row>
    <row r="538">
      <c r="F538" s="26">
        <f>IFERROR(__xludf.DUMMYFUNCTION("""COMPUTED_VALUE"""),53.6)</f>
        <v>53.6</v>
      </c>
      <c r="G538" s="26">
        <f>IFERROR(__xludf.DUMMYFUNCTION("""COMPUTED_VALUE"""),1.677676342113E12)</f>
        <v>1677676342113</v>
      </c>
      <c r="H538" s="26">
        <f t="shared" si="1"/>
        <v>144314</v>
      </c>
    </row>
    <row r="539">
      <c r="F539" s="26">
        <f>IFERROR(__xludf.DUMMYFUNCTION("""COMPUTED_VALUE"""),53.7)</f>
        <v>53.7</v>
      </c>
      <c r="G539" s="26">
        <f>IFERROR(__xludf.DUMMYFUNCTION("""COMPUTED_VALUE"""),1.677676342118E12)</f>
        <v>1677676342118</v>
      </c>
      <c r="H539" s="26">
        <f t="shared" si="1"/>
        <v>144319</v>
      </c>
    </row>
    <row r="540">
      <c r="F540" s="26">
        <f>IFERROR(__xludf.DUMMYFUNCTION("""COMPUTED_VALUE"""),53.8)</f>
        <v>53.8</v>
      </c>
      <c r="G540" s="26">
        <f>IFERROR(__xludf.DUMMYFUNCTION("""COMPUTED_VALUE"""),1.677676342125E12)</f>
        <v>1677676342125</v>
      </c>
      <c r="H540" s="26">
        <f t="shared" si="1"/>
        <v>144326</v>
      </c>
    </row>
    <row r="541">
      <c r="F541" s="26">
        <f>IFERROR(__xludf.DUMMYFUNCTION("""COMPUTED_VALUE"""),53.9)</f>
        <v>53.9</v>
      </c>
      <c r="G541" s="26">
        <f>IFERROR(__xludf.DUMMYFUNCTION("""COMPUTED_VALUE"""),1.677676342131E12)</f>
        <v>1677676342131</v>
      </c>
      <c r="H541" s="26">
        <f t="shared" si="1"/>
        <v>144332</v>
      </c>
    </row>
    <row r="542">
      <c r="F542" s="26">
        <f>IFERROR(__xludf.DUMMYFUNCTION("""COMPUTED_VALUE"""),54.0)</f>
        <v>54</v>
      </c>
      <c r="G542" s="26">
        <f>IFERROR(__xludf.DUMMYFUNCTION("""COMPUTED_VALUE"""),1.677676342137E12)</f>
        <v>1677676342137</v>
      </c>
      <c r="H542" s="26">
        <f t="shared" si="1"/>
        <v>144338</v>
      </c>
    </row>
    <row r="543">
      <c r="F543" s="26">
        <f>IFERROR(__xludf.DUMMYFUNCTION("""COMPUTED_VALUE"""),54.1)</f>
        <v>54.1</v>
      </c>
      <c r="G543" s="26">
        <f>IFERROR(__xludf.DUMMYFUNCTION("""COMPUTED_VALUE"""),1.677676342145E12)</f>
        <v>1677676342145</v>
      </c>
      <c r="H543" s="26">
        <f t="shared" si="1"/>
        <v>144346</v>
      </c>
    </row>
    <row r="544">
      <c r="F544" s="26">
        <f>IFERROR(__xludf.DUMMYFUNCTION("""COMPUTED_VALUE"""),54.2)</f>
        <v>54.2</v>
      </c>
      <c r="G544" s="26">
        <f>IFERROR(__xludf.DUMMYFUNCTION("""COMPUTED_VALUE"""),1.677676342154E12)</f>
        <v>1677676342154</v>
      </c>
      <c r="H544" s="26">
        <f t="shared" si="1"/>
        <v>144355</v>
      </c>
    </row>
    <row r="545">
      <c r="F545" s="26">
        <f>IFERROR(__xludf.DUMMYFUNCTION("""COMPUTED_VALUE"""),54.3)</f>
        <v>54.3</v>
      </c>
      <c r="G545" s="26">
        <f>IFERROR(__xludf.DUMMYFUNCTION("""COMPUTED_VALUE"""),1.677676342159E12)</f>
        <v>1677676342159</v>
      </c>
      <c r="H545" s="26">
        <f t="shared" si="1"/>
        <v>144360</v>
      </c>
    </row>
    <row r="546">
      <c r="F546" s="26">
        <f>IFERROR(__xludf.DUMMYFUNCTION("""COMPUTED_VALUE"""),54.4)</f>
        <v>54.4</v>
      </c>
      <c r="G546" s="26">
        <f>IFERROR(__xludf.DUMMYFUNCTION("""COMPUTED_VALUE"""),1.677676342166E12)</f>
        <v>1677676342166</v>
      </c>
      <c r="H546" s="26">
        <f t="shared" si="1"/>
        <v>144367</v>
      </c>
    </row>
    <row r="547">
      <c r="F547" s="26">
        <f>IFERROR(__xludf.DUMMYFUNCTION("""COMPUTED_VALUE"""),54.5)</f>
        <v>54.5</v>
      </c>
      <c r="G547" s="26">
        <f>IFERROR(__xludf.DUMMYFUNCTION("""COMPUTED_VALUE"""),1.677676342173E12)</f>
        <v>1677676342173</v>
      </c>
      <c r="H547" s="26">
        <f t="shared" si="1"/>
        <v>144374</v>
      </c>
    </row>
    <row r="548">
      <c r="F548" s="26">
        <f>IFERROR(__xludf.DUMMYFUNCTION("""COMPUTED_VALUE"""),54.6)</f>
        <v>54.6</v>
      </c>
      <c r="G548" s="26">
        <f>IFERROR(__xludf.DUMMYFUNCTION("""COMPUTED_VALUE"""),1.677676342179E12)</f>
        <v>1677676342179</v>
      </c>
      <c r="H548" s="26">
        <f t="shared" si="1"/>
        <v>144380</v>
      </c>
    </row>
    <row r="549">
      <c r="F549" s="26">
        <f>IFERROR(__xludf.DUMMYFUNCTION("""COMPUTED_VALUE"""),54.7)</f>
        <v>54.7</v>
      </c>
      <c r="G549" s="26">
        <f>IFERROR(__xludf.DUMMYFUNCTION("""COMPUTED_VALUE"""),1.677676342185E12)</f>
        <v>1677676342185</v>
      </c>
      <c r="H549" s="26">
        <f t="shared" si="1"/>
        <v>144386</v>
      </c>
    </row>
    <row r="550">
      <c r="F550" s="26">
        <f>IFERROR(__xludf.DUMMYFUNCTION("""COMPUTED_VALUE"""),54.8)</f>
        <v>54.8</v>
      </c>
      <c r="G550" s="26">
        <f>IFERROR(__xludf.DUMMYFUNCTION("""COMPUTED_VALUE"""),1.677676342191E12)</f>
        <v>1677676342191</v>
      </c>
      <c r="H550" s="26">
        <f t="shared" si="1"/>
        <v>144392</v>
      </c>
    </row>
    <row r="551">
      <c r="F551" s="26">
        <f>IFERROR(__xludf.DUMMYFUNCTION("""COMPUTED_VALUE"""),54.9)</f>
        <v>54.9</v>
      </c>
      <c r="G551" s="26">
        <f>IFERROR(__xludf.DUMMYFUNCTION("""COMPUTED_VALUE"""),1.677676342197E12)</f>
        <v>1677676342197</v>
      </c>
      <c r="H551" s="26">
        <f t="shared" si="1"/>
        <v>144398</v>
      </c>
    </row>
    <row r="552">
      <c r="F552" s="26">
        <f>IFERROR(__xludf.DUMMYFUNCTION("""COMPUTED_VALUE"""),55.0)</f>
        <v>55</v>
      </c>
      <c r="G552" s="26">
        <f>IFERROR(__xludf.DUMMYFUNCTION("""COMPUTED_VALUE"""),1.677676342205E12)</f>
        <v>1677676342205</v>
      </c>
      <c r="H552" s="26">
        <f t="shared" si="1"/>
        <v>144406</v>
      </c>
    </row>
    <row r="553">
      <c r="F553" s="26">
        <f>IFERROR(__xludf.DUMMYFUNCTION("""COMPUTED_VALUE"""),55.1)</f>
        <v>55.1</v>
      </c>
      <c r="G553" s="26">
        <f>IFERROR(__xludf.DUMMYFUNCTION("""COMPUTED_VALUE"""),1.677676342212E12)</f>
        <v>1677676342212</v>
      </c>
      <c r="H553" s="26">
        <f t="shared" si="1"/>
        <v>144413</v>
      </c>
    </row>
    <row r="554">
      <c r="F554" s="26">
        <f>IFERROR(__xludf.DUMMYFUNCTION("""COMPUTED_VALUE"""),55.2)</f>
        <v>55.2</v>
      </c>
      <c r="G554" s="26">
        <f>IFERROR(__xludf.DUMMYFUNCTION("""COMPUTED_VALUE"""),1.677676342218E12)</f>
        <v>1677676342218</v>
      </c>
      <c r="H554" s="26">
        <f t="shared" si="1"/>
        <v>144419</v>
      </c>
    </row>
    <row r="555">
      <c r="F555" s="26">
        <f>IFERROR(__xludf.DUMMYFUNCTION("""COMPUTED_VALUE"""),55.3)</f>
        <v>55.3</v>
      </c>
      <c r="G555" s="26">
        <f>IFERROR(__xludf.DUMMYFUNCTION("""COMPUTED_VALUE"""),1.677676342226E12)</f>
        <v>1677676342226</v>
      </c>
      <c r="H555" s="26">
        <f t="shared" si="1"/>
        <v>144427</v>
      </c>
    </row>
    <row r="556">
      <c r="F556" s="26">
        <f>IFERROR(__xludf.DUMMYFUNCTION("""COMPUTED_VALUE"""),55.4)</f>
        <v>55.4</v>
      </c>
      <c r="G556" s="26">
        <f>IFERROR(__xludf.DUMMYFUNCTION("""COMPUTED_VALUE"""),1.67767634223E12)</f>
        <v>1677676342230</v>
      </c>
      <c r="H556" s="26">
        <f t="shared" si="1"/>
        <v>144431</v>
      </c>
    </row>
    <row r="557">
      <c r="F557" s="26">
        <f>IFERROR(__xludf.DUMMYFUNCTION("""COMPUTED_VALUE"""),55.5)</f>
        <v>55.5</v>
      </c>
      <c r="G557" s="26">
        <f>IFERROR(__xludf.DUMMYFUNCTION("""COMPUTED_VALUE"""),1.677676342235E12)</f>
        <v>1677676342235</v>
      </c>
      <c r="H557" s="26">
        <f t="shared" si="1"/>
        <v>144436</v>
      </c>
    </row>
    <row r="558">
      <c r="F558" s="26">
        <f>IFERROR(__xludf.DUMMYFUNCTION("""COMPUTED_VALUE"""),55.6)</f>
        <v>55.6</v>
      </c>
      <c r="G558" s="26">
        <f>IFERROR(__xludf.DUMMYFUNCTION("""COMPUTED_VALUE"""),1.677676342243E12)</f>
        <v>1677676342243</v>
      </c>
      <c r="H558" s="26">
        <f t="shared" si="1"/>
        <v>144444</v>
      </c>
    </row>
    <row r="559">
      <c r="F559" s="26">
        <f>IFERROR(__xludf.DUMMYFUNCTION("""COMPUTED_VALUE"""),55.7)</f>
        <v>55.7</v>
      </c>
      <c r="G559" s="26">
        <f>IFERROR(__xludf.DUMMYFUNCTION("""COMPUTED_VALUE"""),1.677676342249E12)</f>
        <v>1677676342249</v>
      </c>
      <c r="H559" s="26">
        <f t="shared" si="1"/>
        <v>144450</v>
      </c>
    </row>
    <row r="560">
      <c r="F560" s="26">
        <f>IFERROR(__xludf.DUMMYFUNCTION("""COMPUTED_VALUE"""),55.8)</f>
        <v>55.8</v>
      </c>
      <c r="G560" s="26">
        <f>IFERROR(__xludf.DUMMYFUNCTION("""COMPUTED_VALUE"""),1.677676342254E12)</f>
        <v>1677676342254</v>
      </c>
      <c r="H560" s="26">
        <f t="shared" si="1"/>
        <v>144455</v>
      </c>
    </row>
    <row r="561">
      <c r="F561" s="26">
        <f>IFERROR(__xludf.DUMMYFUNCTION("""COMPUTED_VALUE"""),55.9)</f>
        <v>55.9</v>
      </c>
      <c r="G561" s="26">
        <f>IFERROR(__xludf.DUMMYFUNCTION("""COMPUTED_VALUE"""),1.677676342261E12)</f>
        <v>1677676342261</v>
      </c>
      <c r="H561" s="26">
        <f t="shared" si="1"/>
        <v>144462</v>
      </c>
    </row>
    <row r="562">
      <c r="F562" s="26">
        <f>IFERROR(__xludf.DUMMYFUNCTION("""COMPUTED_VALUE"""),56.0)</f>
        <v>56</v>
      </c>
      <c r="G562" s="26">
        <f>IFERROR(__xludf.DUMMYFUNCTION("""COMPUTED_VALUE"""),1.677676342267E12)</f>
        <v>1677676342267</v>
      </c>
      <c r="H562" s="26">
        <f t="shared" si="1"/>
        <v>144468</v>
      </c>
    </row>
    <row r="563">
      <c r="F563" s="26">
        <f>IFERROR(__xludf.DUMMYFUNCTION("""COMPUTED_VALUE"""),56.1)</f>
        <v>56.1</v>
      </c>
      <c r="G563" s="26">
        <f>IFERROR(__xludf.DUMMYFUNCTION("""COMPUTED_VALUE"""),1.677676342274E12)</f>
        <v>1677676342274</v>
      </c>
      <c r="H563" s="26">
        <f t="shared" si="1"/>
        <v>144475</v>
      </c>
    </row>
    <row r="564">
      <c r="F564" s="26">
        <f>IFERROR(__xludf.DUMMYFUNCTION("""COMPUTED_VALUE"""),56.2)</f>
        <v>56.2</v>
      </c>
      <c r="G564" s="26">
        <f>IFERROR(__xludf.DUMMYFUNCTION("""COMPUTED_VALUE"""),1.677676342281E12)</f>
        <v>1677676342281</v>
      </c>
      <c r="H564" s="26">
        <f t="shared" si="1"/>
        <v>144482</v>
      </c>
    </row>
    <row r="565">
      <c r="F565" s="26">
        <f>IFERROR(__xludf.DUMMYFUNCTION("""COMPUTED_VALUE"""),56.3)</f>
        <v>56.3</v>
      </c>
      <c r="G565" s="26">
        <f>IFERROR(__xludf.DUMMYFUNCTION("""COMPUTED_VALUE"""),1.677676342287E12)</f>
        <v>1677676342287</v>
      </c>
      <c r="H565" s="26">
        <f t="shared" si="1"/>
        <v>144488</v>
      </c>
    </row>
    <row r="566">
      <c r="F566" s="26">
        <f>IFERROR(__xludf.DUMMYFUNCTION("""COMPUTED_VALUE"""),56.4)</f>
        <v>56.4</v>
      </c>
      <c r="G566" s="26">
        <f>IFERROR(__xludf.DUMMYFUNCTION("""COMPUTED_VALUE"""),1.677676342295E12)</f>
        <v>1677676342295</v>
      </c>
      <c r="H566" s="26">
        <f t="shared" si="1"/>
        <v>144496</v>
      </c>
    </row>
    <row r="567">
      <c r="F567" s="26">
        <f>IFERROR(__xludf.DUMMYFUNCTION("""COMPUTED_VALUE"""),56.5)</f>
        <v>56.5</v>
      </c>
      <c r="G567" s="26">
        <f>IFERROR(__xludf.DUMMYFUNCTION("""COMPUTED_VALUE"""),1.677676342308E12)</f>
        <v>1677676342308</v>
      </c>
      <c r="H567" s="26">
        <f t="shared" si="1"/>
        <v>144509</v>
      </c>
    </row>
    <row r="568">
      <c r="F568" s="26">
        <f>IFERROR(__xludf.DUMMYFUNCTION("""COMPUTED_VALUE"""),56.6)</f>
        <v>56.6</v>
      </c>
      <c r="G568" s="26">
        <f>IFERROR(__xludf.DUMMYFUNCTION("""COMPUTED_VALUE"""),1.677676342315E12)</f>
        <v>1677676342315</v>
      </c>
      <c r="H568" s="26">
        <f t="shared" si="1"/>
        <v>144516</v>
      </c>
    </row>
    <row r="569">
      <c r="F569" s="26">
        <f>IFERROR(__xludf.DUMMYFUNCTION("""COMPUTED_VALUE"""),56.7)</f>
        <v>56.7</v>
      </c>
      <c r="G569" s="26">
        <f>IFERROR(__xludf.DUMMYFUNCTION("""COMPUTED_VALUE"""),1.677676342323E12)</f>
        <v>1677676342323</v>
      </c>
      <c r="H569" s="26">
        <f t="shared" si="1"/>
        <v>144524</v>
      </c>
    </row>
    <row r="570">
      <c r="F570" s="26">
        <f>IFERROR(__xludf.DUMMYFUNCTION("""COMPUTED_VALUE"""),56.8)</f>
        <v>56.8</v>
      </c>
      <c r="G570" s="26">
        <f>IFERROR(__xludf.DUMMYFUNCTION("""COMPUTED_VALUE"""),1.67767634233E12)</f>
        <v>1677676342330</v>
      </c>
      <c r="H570" s="26">
        <f t="shared" si="1"/>
        <v>144531</v>
      </c>
    </row>
    <row r="571">
      <c r="F571" s="26">
        <f>IFERROR(__xludf.DUMMYFUNCTION("""COMPUTED_VALUE"""),56.9)</f>
        <v>56.9</v>
      </c>
      <c r="G571" s="26">
        <f>IFERROR(__xludf.DUMMYFUNCTION("""COMPUTED_VALUE"""),1.677676342337E12)</f>
        <v>1677676342337</v>
      </c>
      <c r="H571" s="26">
        <f t="shared" si="1"/>
        <v>144538</v>
      </c>
    </row>
    <row r="572">
      <c r="F572" s="26">
        <f>IFERROR(__xludf.DUMMYFUNCTION("""COMPUTED_VALUE"""),57.0)</f>
        <v>57</v>
      </c>
      <c r="G572" s="26">
        <f>IFERROR(__xludf.DUMMYFUNCTION("""COMPUTED_VALUE"""),1.677676342344E12)</f>
        <v>1677676342344</v>
      </c>
      <c r="H572" s="26">
        <f t="shared" si="1"/>
        <v>144545</v>
      </c>
    </row>
    <row r="573">
      <c r="F573" s="26">
        <f>IFERROR(__xludf.DUMMYFUNCTION("""COMPUTED_VALUE"""),57.1)</f>
        <v>57.1</v>
      </c>
      <c r="G573" s="26">
        <f>IFERROR(__xludf.DUMMYFUNCTION("""COMPUTED_VALUE"""),1.677676342351E12)</f>
        <v>1677676342351</v>
      </c>
      <c r="H573" s="26">
        <f t="shared" si="1"/>
        <v>144552</v>
      </c>
    </row>
    <row r="574">
      <c r="F574" s="26">
        <f>IFERROR(__xludf.DUMMYFUNCTION("""COMPUTED_VALUE"""),57.2)</f>
        <v>57.2</v>
      </c>
      <c r="G574" s="26">
        <f>IFERROR(__xludf.DUMMYFUNCTION("""COMPUTED_VALUE"""),1.677676342361E12)</f>
        <v>1677676342361</v>
      </c>
      <c r="H574" s="26">
        <f t="shared" si="1"/>
        <v>144562</v>
      </c>
    </row>
    <row r="575">
      <c r="F575" s="26">
        <f>IFERROR(__xludf.DUMMYFUNCTION("""COMPUTED_VALUE"""),57.3)</f>
        <v>57.3</v>
      </c>
      <c r="G575" s="26">
        <f>IFERROR(__xludf.DUMMYFUNCTION("""COMPUTED_VALUE"""),1.677676342369E12)</f>
        <v>1677676342369</v>
      </c>
      <c r="H575" s="26">
        <f t="shared" si="1"/>
        <v>144570</v>
      </c>
    </row>
    <row r="576">
      <c r="F576" s="26">
        <f>IFERROR(__xludf.DUMMYFUNCTION("""COMPUTED_VALUE"""),57.4)</f>
        <v>57.4</v>
      </c>
      <c r="G576" s="26">
        <f>IFERROR(__xludf.DUMMYFUNCTION("""COMPUTED_VALUE"""),1.677676342375E12)</f>
        <v>1677676342375</v>
      </c>
      <c r="H576" s="26">
        <f t="shared" si="1"/>
        <v>144576</v>
      </c>
    </row>
    <row r="577">
      <c r="F577" s="26">
        <f>IFERROR(__xludf.DUMMYFUNCTION("""COMPUTED_VALUE"""),57.5)</f>
        <v>57.5</v>
      </c>
      <c r="G577" s="26">
        <f>IFERROR(__xludf.DUMMYFUNCTION("""COMPUTED_VALUE"""),1.677676342384E12)</f>
        <v>1677676342384</v>
      </c>
      <c r="H577" s="26">
        <f t="shared" si="1"/>
        <v>144585</v>
      </c>
    </row>
    <row r="578">
      <c r="F578" s="26">
        <f>IFERROR(__xludf.DUMMYFUNCTION("""COMPUTED_VALUE"""),57.6)</f>
        <v>57.6</v>
      </c>
      <c r="G578" s="26">
        <f>IFERROR(__xludf.DUMMYFUNCTION("""COMPUTED_VALUE"""),1.677676342391E12)</f>
        <v>1677676342391</v>
      </c>
      <c r="H578" s="26">
        <f t="shared" si="1"/>
        <v>144592</v>
      </c>
    </row>
    <row r="579">
      <c r="F579" s="26">
        <f>IFERROR(__xludf.DUMMYFUNCTION("""COMPUTED_VALUE"""),57.7)</f>
        <v>57.7</v>
      </c>
      <c r="G579" s="26">
        <f>IFERROR(__xludf.DUMMYFUNCTION("""COMPUTED_VALUE"""),1.677676342396E12)</f>
        <v>1677676342396</v>
      </c>
      <c r="H579" s="26">
        <f t="shared" si="1"/>
        <v>144597</v>
      </c>
    </row>
    <row r="580">
      <c r="F580" s="26">
        <f>IFERROR(__xludf.DUMMYFUNCTION("""COMPUTED_VALUE"""),57.8)</f>
        <v>57.8</v>
      </c>
      <c r="G580" s="26">
        <f>IFERROR(__xludf.DUMMYFUNCTION("""COMPUTED_VALUE"""),1.677676342403E12)</f>
        <v>1677676342403</v>
      </c>
      <c r="H580" s="26">
        <f t="shared" si="1"/>
        <v>144604</v>
      </c>
    </row>
    <row r="581">
      <c r="F581" s="26">
        <f>IFERROR(__xludf.DUMMYFUNCTION("""COMPUTED_VALUE"""),57.9)</f>
        <v>57.9</v>
      </c>
      <c r="G581" s="26">
        <f>IFERROR(__xludf.DUMMYFUNCTION("""COMPUTED_VALUE"""),1.67767634241E12)</f>
        <v>1677676342410</v>
      </c>
      <c r="H581" s="26">
        <f t="shared" si="1"/>
        <v>144611</v>
      </c>
    </row>
    <row r="582">
      <c r="F582" s="26">
        <f>IFERROR(__xludf.DUMMYFUNCTION("""COMPUTED_VALUE"""),58.0)</f>
        <v>58</v>
      </c>
      <c r="G582" s="26">
        <f>IFERROR(__xludf.DUMMYFUNCTION("""COMPUTED_VALUE"""),1.677676342417E12)</f>
        <v>1677676342417</v>
      </c>
      <c r="H582" s="26">
        <f t="shared" si="1"/>
        <v>144618</v>
      </c>
    </row>
    <row r="583">
      <c r="F583" s="26">
        <f>IFERROR(__xludf.DUMMYFUNCTION("""COMPUTED_VALUE"""),58.1)</f>
        <v>58.1</v>
      </c>
      <c r="G583" s="26">
        <f>IFERROR(__xludf.DUMMYFUNCTION("""COMPUTED_VALUE"""),1.677676342426E12)</f>
        <v>1677676342426</v>
      </c>
      <c r="H583" s="26">
        <f t="shared" si="1"/>
        <v>144627</v>
      </c>
    </row>
    <row r="584">
      <c r="F584" s="26">
        <f>IFERROR(__xludf.DUMMYFUNCTION("""COMPUTED_VALUE"""),58.2)</f>
        <v>58.2</v>
      </c>
      <c r="G584" s="26">
        <f>IFERROR(__xludf.DUMMYFUNCTION("""COMPUTED_VALUE"""),1.677676342435E12)</f>
        <v>1677676342435</v>
      </c>
      <c r="H584" s="26">
        <f t="shared" si="1"/>
        <v>144636</v>
      </c>
    </row>
    <row r="585">
      <c r="F585" s="26">
        <f>IFERROR(__xludf.DUMMYFUNCTION("""COMPUTED_VALUE"""),58.3)</f>
        <v>58.3</v>
      </c>
      <c r="G585" s="26">
        <f>IFERROR(__xludf.DUMMYFUNCTION("""COMPUTED_VALUE"""),1.677676342441E12)</f>
        <v>1677676342441</v>
      </c>
      <c r="H585" s="26">
        <f t="shared" si="1"/>
        <v>144642</v>
      </c>
    </row>
    <row r="586">
      <c r="F586" s="26">
        <f>IFERROR(__xludf.DUMMYFUNCTION("""COMPUTED_VALUE"""),58.4)</f>
        <v>58.4</v>
      </c>
      <c r="G586" s="26">
        <f>IFERROR(__xludf.DUMMYFUNCTION("""COMPUTED_VALUE"""),1.677676342448E12)</f>
        <v>1677676342448</v>
      </c>
      <c r="H586" s="26">
        <f t="shared" si="1"/>
        <v>144649</v>
      </c>
    </row>
    <row r="587">
      <c r="F587" s="26">
        <f>IFERROR(__xludf.DUMMYFUNCTION("""COMPUTED_VALUE"""),58.5)</f>
        <v>58.5</v>
      </c>
      <c r="G587" s="26">
        <f>IFERROR(__xludf.DUMMYFUNCTION("""COMPUTED_VALUE"""),1.677676342454E12)</f>
        <v>1677676342454</v>
      </c>
      <c r="H587" s="26">
        <f t="shared" si="1"/>
        <v>144655</v>
      </c>
    </row>
    <row r="588">
      <c r="F588" s="26">
        <f>IFERROR(__xludf.DUMMYFUNCTION("""COMPUTED_VALUE"""),58.6)</f>
        <v>58.6</v>
      </c>
      <c r="G588" s="26">
        <f>IFERROR(__xludf.DUMMYFUNCTION("""COMPUTED_VALUE"""),1.677676342459E12)</f>
        <v>1677676342459</v>
      </c>
      <c r="H588" s="26">
        <f t="shared" si="1"/>
        <v>144660</v>
      </c>
    </row>
    <row r="589">
      <c r="F589" s="26">
        <f>IFERROR(__xludf.DUMMYFUNCTION("""COMPUTED_VALUE"""),58.7)</f>
        <v>58.7</v>
      </c>
      <c r="G589" s="26">
        <f>IFERROR(__xludf.DUMMYFUNCTION("""COMPUTED_VALUE"""),1.677676342465E12)</f>
        <v>1677676342465</v>
      </c>
      <c r="H589" s="26">
        <f t="shared" si="1"/>
        <v>144666</v>
      </c>
    </row>
    <row r="590">
      <c r="F590" s="26">
        <f>IFERROR(__xludf.DUMMYFUNCTION("""COMPUTED_VALUE"""),58.8)</f>
        <v>58.8</v>
      </c>
      <c r="G590" s="26">
        <f>IFERROR(__xludf.DUMMYFUNCTION("""COMPUTED_VALUE"""),1.677676342475E12)</f>
        <v>1677676342475</v>
      </c>
      <c r="H590" s="26">
        <f t="shared" si="1"/>
        <v>144676</v>
      </c>
    </row>
    <row r="591">
      <c r="F591" s="26">
        <f>IFERROR(__xludf.DUMMYFUNCTION("""COMPUTED_VALUE"""),58.9)</f>
        <v>58.9</v>
      </c>
      <c r="G591" s="26">
        <f>IFERROR(__xludf.DUMMYFUNCTION("""COMPUTED_VALUE"""),1.677676342481E12)</f>
        <v>1677676342481</v>
      </c>
      <c r="H591" s="26">
        <f t="shared" si="1"/>
        <v>144682</v>
      </c>
    </row>
    <row r="592">
      <c r="F592" s="26">
        <f>IFERROR(__xludf.DUMMYFUNCTION("""COMPUTED_VALUE"""),59.0)</f>
        <v>59</v>
      </c>
      <c r="G592" s="26">
        <f>IFERROR(__xludf.DUMMYFUNCTION("""COMPUTED_VALUE"""),1.677676342487E12)</f>
        <v>1677676342487</v>
      </c>
      <c r="H592" s="26">
        <f t="shared" si="1"/>
        <v>144688</v>
      </c>
    </row>
    <row r="593">
      <c r="F593" s="26">
        <f>IFERROR(__xludf.DUMMYFUNCTION("""COMPUTED_VALUE"""),59.1)</f>
        <v>59.1</v>
      </c>
      <c r="G593" s="26">
        <f>IFERROR(__xludf.DUMMYFUNCTION("""COMPUTED_VALUE"""),1.677676342494E12)</f>
        <v>1677676342494</v>
      </c>
      <c r="H593" s="26">
        <f t="shared" si="1"/>
        <v>144695</v>
      </c>
    </row>
    <row r="594">
      <c r="F594" s="26">
        <f>IFERROR(__xludf.DUMMYFUNCTION("""COMPUTED_VALUE"""),59.2)</f>
        <v>59.2</v>
      </c>
      <c r="G594" s="26">
        <f>IFERROR(__xludf.DUMMYFUNCTION("""COMPUTED_VALUE"""),1.677676342502E12)</f>
        <v>1677676342502</v>
      </c>
      <c r="H594" s="26">
        <f t="shared" si="1"/>
        <v>144703</v>
      </c>
    </row>
    <row r="595">
      <c r="F595" s="26">
        <f>IFERROR(__xludf.DUMMYFUNCTION("""COMPUTED_VALUE"""),59.3)</f>
        <v>59.3</v>
      </c>
      <c r="G595" s="26">
        <f>IFERROR(__xludf.DUMMYFUNCTION("""COMPUTED_VALUE"""),1.677676342508E12)</f>
        <v>1677676342508</v>
      </c>
      <c r="H595" s="26">
        <f t="shared" si="1"/>
        <v>144709</v>
      </c>
    </row>
    <row r="596">
      <c r="F596" s="26">
        <f>IFERROR(__xludf.DUMMYFUNCTION("""COMPUTED_VALUE"""),59.4)</f>
        <v>59.4</v>
      </c>
      <c r="G596" s="26">
        <f>IFERROR(__xludf.DUMMYFUNCTION("""COMPUTED_VALUE"""),1.677676342513E12)</f>
        <v>1677676342513</v>
      </c>
      <c r="H596" s="26">
        <f t="shared" si="1"/>
        <v>144714</v>
      </c>
    </row>
    <row r="597">
      <c r="F597" s="26">
        <f>IFERROR(__xludf.DUMMYFUNCTION("""COMPUTED_VALUE"""),59.5)</f>
        <v>59.5</v>
      </c>
      <c r="G597" s="26">
        <f>IFERROR(__xludf.DUMMYFUNCTION("""COMPUTED_VALUE"""),1.677676342519E12)</f>
        <v>1677676342519</v>
      </c>
      <c r="H597" s="26">
        <f t="shared" si="1"/>
        <v>144720</v>
      </c>
    </row>
    <row r="598">
      <c r="F598" s="26">
        <f>IFERROR(__xludf.DUMMYFUNCTION("""COMPUTED_VALUE"""),59.6)</f>
        <v>59.6</v>
      </c>
      <c r="G598" s="26">
        <f>IFERROR(__xludf.DUMMYFUNCTION("""COMPUTED_VALUE"""),1.677676342525E12)</f>
        <v>1677676342525</v>
      </c>
      <c r="H598" s="26">
        <f t="shared" si="1"/>
        <v>144726</v>
      </c>
    </row>
    <row r="599">
      <c r="F599" s="26">
        <f>IFERROR(__xludf.DUMMYFUNCTION("""COMPUTED_VALUE"""),59.7)</f>
        <v>59.7</v>
      </c>
      <c r="G599" s="26">
        <f>IFERROR(__xludf.DUMMYFUNCTION("""COMPUTED_VALUE"""),1.677676342531E12)</f>
        <v>1677676342531</v>
      </c>
      <c r="H599" s="26">
        <f t="shared" si="1"/>
        <v>144732</v>
      </c>
    </row>
    <row r="600">
      <c r="F600" s="26">
        <f>IFERROR(__xludf.DUMMYFUNCTION("""COMPUTED_VALUE"""),59.8)</f>
        <v>59.8</v>
      </c>
      <c r="G600" s="26">
        <f>IFERROR(__xludf.DUMMYFUNCTION("""COMPUTED_VALUE"""),1.677676342537E12)</f>
        <v>1677676342537</v>
      </c>
      <c r="H600" s="26">
        <f t="shared" si="1"/>
        <v>144738</v>
      </c>
    </row>
    <row r="601">
      <c r="F601" s="26">
        <f>IFERROR(__xludf.DUMMYFUNCTION("""COMPUTED_VALUE"""),59.9)</f>
        <v>59.9</v>
      </c>
      <c r="G601" s="26">
        <f>IFERROR(__xludf.DUMMYFUNCTION("""COMPUTED_VALUE"""),1.677676342542E12)</f>
        <v>1677676342542</v>
      </c>
      <c r="H601" s="26">
        <f t="shared" si="1"/>
        <v>144743</v>
      </c>
    </row>
    <row r="602">
      <c r="F602" s="26">
        <f>IFERROR(__xludf.DUMMYFUNCTION("""COMPUTED_VALUE"""),60.0)</f>
        <v>60</v>
      </c>
      <c r="G602" s="26">
        <f>IFERROR(__xludf.DUMMYFUNCTION("""COMPUTED_VALUE"""),1.677676342549E12)</f>
        <v>1677676342549</v>
      </c>
      <c r="H602" s="26">
        <f t="shared" si="1"/>
        <v>144750</v>
      </c>
    </row>
    <row r="603">
      <c r="F603" s="26">
        <f>IFERROR(__xludf.DUMMYFUNCTION("""COMPUTED_VALUE"""),60.1)</f>
        <v>60.1</v>
      </c>
      <c r="G603" s="26">
        <f>IFERROR(__xludf.DUMMYFUNCTION("""COMPUTED_VALUE"""),1.677676342555E12)</f>
        <v>1677676342555</v>
      </c>
      <c r="H603" s="26">
        <f t="shared" si="1"/>
        <v>144756</v>
      </c>
    </row>
    <row r="604">
      <c r="F604" s="26">
        <f>IFERROR(__xludf.DUMMYFUNCTION("""COMPUTED_VALUE"""),60.2)</f>
        <v>60.2</v>
      </c>
      <c r="G604" s="26">
        <f>IFERROR(__xludf.DUMMYFUNCTION("""COMPUTED_VALUE"""),1.677676342564E12)</f>
        <v>1677676342564</v>
      </c>
      <c r="H604" s="26">
        <f t="shared" si="1"/>
        <v>144765</v>
      </c>
    </row>
    <row r="605">
      <c r="F605" s="26">
        <f>IFERROR(__xludf.DUMMYFUNCTION("""COMPUTED_VALUE"""),60.3)</f>
        <v>60.3</v>
      </c>
      <c r="G605" s="26">
        <f>IFERROR(__xludf.DUMMYFUNCTION("""COMPUTED_VALUE"""),1.677676342568E12)</f>
        <v>1677676342568</v>
      </c>
      <c r="H605" s="26">
        <f t="shared" si="1"/>
        <v>144769</v>
      </c>
    </row>
    <row r="606">
      <c r="F606" s="26">
        <f>IFERROR(__xludf.DUMMYFUNCTION("""COMPUTED_VALUE"""),60.4)</f>
        <v>60.4</v>
      </c>
      <c r="G606" s="26">
        <f>IFERROR(__xludf.DUMMYFUNCTION("""COMPUTED_VALUE"""),1.677676342574E12)</f>
        <v>1677676342574</v>
      </c>
      <c r="H606" s="26">
        <f t="shared" si="1"/>
        <v>144775</v>
      </c>
    </row>
    <row r="607">
      <c r="F607" s="26">
        <f>IFERROR(__xludf.DUMMYFUNCTION("""COMPUTED_VALUE"""),60.5)</f>
        <v>60.5</v>
      </c>
      <c r="G607" s="26">
        <f>IFERROR(__xludf.DUMMYFUNCTION("""COMPUTED_VALUE"""),1.677676342579E12)</f>
        <v>1677676342579</v>
      </c>
      <c r="H607" s="26">
        <f t="shared" si="1"/>
        <v>144780</v>
      </c>
    </row>
    <row r="608">
      <c r="F608" s="26">
        <f>IFERROR(__xludf.DUMMYFUNCTION("""COMPUTED_VALUE"""),60.6)</f>
        <v>60.6</v>
      </c>
      <c r="G608" s="26">
        <f>IFERROR(__xludf.DUMMYFUNCTION("""COMPUTED_VALUE"""),1.677676342589E12)</f>
        <v>1677676342589</v>
      </c>
      <c r="H608" s="26">
        <f t="shared" si="1"/>
        <v>144790</v>
      </c>
    </row>
    <row r="609">
      <c r="F609" s="26">
        <f>IFERROR(__xludf.DUMMYFUNCTION("""COMPUTED_VALUE"""),60.7)</f>
        <v>60.7</v>
      </c>
      <c r="G609" s="26">
        <f>IFERROR(__xludf.DUMMYFUNCTION("""COMPUTED_VALUE"""),1.677676342595E12)</f>
        <v>1677676342595</v>
      </c>
      <c r="H609" s="26">
        <f t="shared" si="1"/>
        <v>144796</v>
      </c>
    </row>
    <row r="610">
      <c r="F610" s="26">
        <f>IFERROR(__xludf.DUMMYFUNCTION("""COMPUTED_VALUE"""),60.8)</f>
        <v>60.8</v>
      </c>
      <c r="G610" s="26">
        <f>IFERROR(__xludf.DUMMYFUNCTION("""COMPUTED_VALUE"""),1.677676342603E12)</f>
        <v>1677676342603</v>
      </c>
      <c r="H610" s="26">
        <f t="shared" si="1"/>
        <v>144804</v>
      </c>
    </row>
    <row r="611">
      <c r="F611" s="26">
        <f>IFERROR(__xludf.DUMMYFUNCTION("""COMPUTED_VALUE"""),60.9)</f>
        <v>60.9</v>
      </c>
      <c r="G611" s="26">
        <f>IFERROR(__xludf.DUMMYFUNCTION("""COMPUTED_VALUE"""),1.67767634261E12)</f>
        <v>1677676342610</v>
      </c>
      <c r="H611" s="26">
        <f t="shared" si="1"/>
        <v>144811</v>
      </c>
    </row>
    <row r="612">
      <c r="F612" s="26">
        <f>IFERROR(__xludf.DUMMYFUNCTION("""COMPUTED_VALUE"""),61.0)</f>
        <v>61</v>
      </c>
      <c r="G612" s="26">
        <f>IFERROR(__xludf.DUMMYFUNCTION("""COMPUTED_VALUE"""),1.677676342616E12)</f>
        <v>1677676342616</v>
      </c>
      <c r="H612" s="26">
        <f t="shared" si="1"/>
        <v>144817</v>
      </c>
    </row>
    <row r="613">
      <c r="F613" s="26">
        <f>IFERROR(__xludf.DUMMYFUNCTION("""COMPUTED_VALUE"""),61.1)</f>
        <v>61.1</v>
      </c>
      <c r="G613" s="26">
        <f>IFERROR(__xludf.DUMMYFUNCTION("""COMPUTED_VALUE"""),1.677676342622E12)</f>
        <v>1677676342622</v>
      </c>
      <c r="H613" s="26">
        <f t="shared" si="1"/>
        <v>144823</v>
      </c>
    </row>
    <row r="614">
      <c r="F614" s="26">
        <f>IFERROR(__xludf.DUMMYFUNCTION("""COMPUTED_VALUE"""),61.2)</f>
        <v>61.2</v>
      </c>
      <c r="G614" s="26">
        <f>IFERROR(__xludf.DUMMYFUNCTION("""COMPUTED_VALUE"""),1.677676342628E12)</f>
        <v>1677676342628</v>
      </c>
      <c r="H614" s="26">
        <f t="shared" si="1"/>
        <v>144829</v>
      </c>
    </row>
    <row r="615">
      <c r="F615" s="26">
        <f>IFERROR(__xludf.DUMMYFUNCTION("""COMPUTED_VALUE"""),61.3)</f>
        <v>61.3</v>
      </c>
      <c r="G615" s="26">
        <f>IFERROR(__xludf.DUMMYFUNCTION("""COMPUTED_VALUE"""),1.677676342636E12)</f>
        <v>1677676342636</v>
      </c>
      <c r="H615" s="26">
        <f t="shared" si="1"/>
        <v>144837</v>
      </c>
    </row>
    <row r="616">
      <c r="F616" s="26">
        <f>IFERROR(__xludf.DUMMYFUNCTION("""COMPUTED_VALUE"""),61.4)</f>
        <v>61.4</v>
      </c>
      <c r="G616" s="26">
        <f>IFERROR(__xludf.DUMMYFUNCTION("""COMPUTED_VALUE"""),1.677676342641E12)</f>
        <v>1677676342641</v>
      </c>
      <c r="H616" s="26">
        <f t="shared" si="1"/>
        <v>144842</v>
      </c>
    </row>
    <row r="617">
      <c r="F617" s="26">
        <f>IFERROR(__xludf.DUMMYFUNCTION("""COMPUTED_VALUE"""),61.5)</f>
        <v>61.5</v>
      </c>
      <c r="G617" s="26">
        <f>IFERROR(__xludf.DUMMYFUNCTION("""COMPUTED_VALUE"""),1.677676342647E12)</f>
        <v>1677676342647</v>
      </c>
      <c r="H617" s="26">
        <f t="shared" si="1"/>
        <v>144848</v>
      </c>
    </row>
    <row r="618">
      <c r="F618" s="26">
        <f>IFERROR(__xludf.DUMMYFUNCTION("""COMPUTED_VALUE"""),61.6)</f>
        <v>61.6</v>
      </c>
      <c r="G618" s="26">
        <f>IFERROR(__xludf.DUMMYFUNCTION("""COMPUTED_VALUE"""),1.677676342653E12)</f>
        <v>1677676342653</v>
      </c>
      <c r="H618" s="26">
        <f t="shared" si="1"/>
        <v>144854</v>
      </c>
    </row>
    <row r="619">
      <c r="F619" s="26">
        <f>IFERROR(__xludf.DUMMYFUNCTION("""COMPUTED_VALUE"""),61.7)</f>
        <v>61.7</v>
      </c>
      <c r="G619" s="26">
        <f>IFERROR(__xludf.DUMMYFUNCTION("""COMPUTED_VALUE"""),1.67767634266E12)</f>
        <v>1677676342660</v>
      </c>
      <c r="H619" s="26">
        <f t="shared" si="1"/>
        <v>144861</v>
      </c>
    </row>
    <row r="620">
      <c r="F620" s="26">
        <f>IFERROR(__xludf.DUMMYFUNCTION("""COMPUTED_VALUE"""),61.8)</f>
        <v>61.8</v>
      </c>
      <c r="G620" s="26">
        <f>IFERROR(__xludf.DUMMYFUNCTION("""COMPUTED_VALUE"""),1.677676342666E12)</f>
        <v>1677676342666</v>
      </c>
      <c r="H620" s="26">
        <f t="shared" si="1"/>
        <v>144867</v>
      </c>
    </row>
    <row r="621">
      <c r="F621" s="26">
        <f>IFERROR(__xludf.DUMMYFUNCTION("""COMPUTED_VALUE"""),61.9)</f>
        <v>61.9</v>
      </c>
      <c r="G621" s="26">
        <f>IFERROR(__xludf.DUMMYFUNCTION("""COMPUTED_VALUE"""),1.677676342673E12)</f>
        <v>1677676342673</v>
      </c>
      <c r="H621" s="26">
        <f t="shared" si="1"/>
        <v>144874</v>
      </c>
    </row>
    <row r="622">
      <c r="F622" s="26">
        <f>IFERROR(__xludf.DUMMYFUNCTION("""COMPUTED_VALUE"""),62.0)</f>
        <v>62</v>
      </c>
      <c r="G622" s="26">
        <f>IFERROR(__xludf.DUMMYFUNCTION("""COMPUTED_VALUE"""),1.67767634268E12)</f>
        <v>1677676342680</v>
      </c>
      <c r="H622" s="26">
        <f t="shared" si="1"/>
        <v>144881</v>
      </c>
    </row>
    <row r="623">
      <c r="F623" s="26">
        <f>IFERROR(__xludf.DUMMYFUNCTION("""COMPUTED_VALUE"""),62.1)</f>
        <v>62.1</v>
      </c>
      <c r="G623" s="26">
        <f>IFERROR(__xludf.DUMMYFUNCTION("""COMPUTED_VALUE"""),1.677676342685E12)</f>
        <v>1677676342685</v>
      </c>
      <c r="H623" s="26">
        <f t="shared" si="1"/>
        <v>144886</v>
      </c>
    </row>
    <row r="624">
      <c r="F624" s="26">
        <f>IFERROR(__xludf.DUMMYFUNCTION("""COMPUTED_VALUE"""),62.2)</f>
        <v>62.2</v>
      </c>
      <c r="G624" s="26">
        <f>IFERROR(__xludf.DUMMYFUNCTION("""COMPUTED_VALUE"""),1.67767634269E12)</f>
        <v>1677676342690</v>
      </c>
      <c r="H624" s="26">
        <f t="shared" si="1"/>
        <v>144891</v>
      </c>
    </row>
    <row r="625">
      <c r="F625" s="26">
        <f>IFERROR(__xludf.DUMMYFUNCTION("""COMPUTED_VALUE"""),62.3)</f>
        <v>62.3</v>
      </c>
      <c r="G625" s="26">
        <f>IFERROR(__xludf.DUMMYFUNCTION("""COMPUTED_VALUE"""),1.677676342695E12)</f>
        <v>1677676342695</v>
      </c>
      <c r="H625" s="26">
        <f t="shared" si="1"/>
        <v>144896</v>
      </c>
    </row>
    <row r="626">
      <c r="F626" s="26">
        <f>IFERROR(__xludf.DUMMYFUNCTION("""COMPUTED_VALUE"""),62.4)</f>
        <v>62.4</v>
      </c>
      <c r="G626" s="26">
        <f>IFERROR(__xludf.DUMMYFUNCTION("""COMPUTED_VALUE"""),1.677676342704E12)</f>
        <v>1677676342704</v>
      </c>
      <c r="H626" s="26">
        <f t="shared" si="1"/>
        <v>144905</v>
      </c>
    </row>
    <row r="627">
      <c r="F627" s="26">
        <f>IFERROR(__xludf.DUMMYFUNCTION("""COMPUTED_VALUE"""),62.5)</f>
        <v>62.5</v>
      </c>
      <c r="G627" s="26">
        <f>IFERROR(__xludf.DUMMYFUNCTION("""COMPUTED_VALUE"""),1.677676342711E12)</f>
        <v>1677676342711</v>
      </c>
      <c r="H627" s="26">
        <f t="shared" si="1"/>
        <v>144912</v>
      </c>
    </row>
    <row r="628">
      <c r="F628" s="26">
        <f>IFERROR(__xludf.DUMMYFUNCTION("""COMPUTED_VALUE"""),62.6)</f>
        <v>62.6</v>
      </c>
      <c r="G628" s="26">
        <f>IFERROR(__xludf.DUMMYFUNCTION("""COMPUTED_VALUE"""),1.677676342717E12)</f>
        <v>1677676342717</v>
      </c>
      <c r="H628" s="26">
        <f t="shared" si="1"/>
        <v>144918</v>
      </c>
    </row>
    <row r="629">
      <c r="F629" s="26">
        <f>IFERROR(__xludf.DUMMYFUNCTION("""COMPUTED_VALUE"""),62.7)</f>
        <v>62.7</v>
      </c>
      <c r="G629" s="26">
        <f>IFERROR(__xludf.DUMMYFUNCTION("""COMPUTED_VALUE"""),1.677676342724E12)</f>
        <v>1677676342724</v>
      </c>
      <c r="H629" s="26">
        <f t="shared" si="1"/>
        <v>144925</v>
      </c>
    </row>
    <row r="630">
      <c r="F630" s="26">
        <f>IFERROR(__xludf.DUMMYFUNCTION("""COMPUTED_VALUE"""),62.8)</f>
        <v>62.8</v>
      </c>
      <c r="G630" s="26">
        <f>IFERROR(__xludf.DUMMYFUNCTION("""COMPUTED_VALUE"""),1.677676342729E12)</f>
        <v>1677676342729</v>
      </c>
      <c r="H630" s="26">
        <f t="shared" si="1"/>
        <v>144930</v>
      </c>
    </row>
    <row r="631">
      <c r="F631" s="26">
        <f>IFERROR(__xludf.DUMMYFUNCTION("""COMPUTED_VALUE"""),62.9)</f>
        <v>62.9</v>
      </c>
      <c r="G631" s="26">
        <f>IFERROR(__xludf.DUMMYFUNCTION("""COMPUTED_VALUE"""),1.677676342737E12)</f>
        <v>1677676342737</v>
      </c>
      <c r="H631" s="26">
        <f t="shared" si="1"/>
        <v>144938</v>
      </c>
    </row>
    <row r="632">
      <c r="F632" s="26">
        <f>IFERROR(__xludf.DUMMYFUNCTION("""COMPUTED_VALUE"""),63.0)</f>
        <v>63</v>
      </c>
      <c r="G632" s="26">
        <f>IFERROR(__xludf.DUMMYFUNCTION("""COMPUTED_VALUE"""),1.677676342744E12)</f>
        <v>1677676342744</v>
      </c>
      <c r="H632" s="26">
        <f t="shared" si="1"/>
        <v>144945</v>
      </c>
    </row>
    <row r="633">
      <c r="F633" s="26">
        <f>IFERROR(__xludf.DUMMYFUNCTION("""COMPUTED_VALUE"""),63.1)</f>
        <v>63.1</v>
      </c>
      <c r="G633" s="26">
        <f>IFERROR(__xludf.DUMMYFUNCTION("""COMPUTED_VALUE"""),1.677676342751E12)</f>
        <v>1677676342751</v>
      </c>
      <c r="H633" s="26">
        <f t="shared" si="1"/>
        <v>144952</v>
      </c>
    </row>
    <row r="634">
      <c r="F634" s="26">
        <f>IFERROR(__xludf.DUMMYFUNCTION("""COMPUTED_VALUE"""),63.2)</f>
        <v>63.2</v>
      </c>
      <c r="G634" s="26">
        <f>IFERROR(__xludf.DUMMYFUNCTION("""COMPUTED_VALUE"""),1.677676342755E12)</f>
        <v>1677676342755</v>
      </c>
      <c r="H634" s="26">
        <f t="shared" si="1"/>
        <v>144956</v>
      </c>
    </row>
    <row r="635">
      <c r="F635" s="26">
        <f>IFERROR(__xludf.DUMMYFUNCTION("""COMPUTED_VALUE"""),63.3)</f>
        <v>63.3</v>
      </c>
      <c r="G635" s="26">
        <f>IFERROR(__xludf.DUMMYFUNCTION("""COMPUTED_VALUE"""),1.677676342764E12)</f>
        <v>1677676342764</v>
      </c>
      <c r="H635" s="26">
        <f t="shared" si="1"/>
        <v>144965</v>
      </c>
    </row>
    <row r="636">
      <c r="F636" s="26">
        <f>IFERROR(__xludf.DUMMYFUNCTION("""COMPUTED_VALUE"""),63.4)</f>
        <v>63.4</v>
      </c>
      <c r="G636" s="26">
        <f>IFERROR(__xludf.DUMMYFUNCTION("""COMPUTED_VALUE"""),1.677676342768E12)</f>
        <v>1677676342768</v>
      </c>
      <c r="H636" s="26">
        <f t="shared" si="1"/>
        <v>144969</v>
      </c>
    </row>
    <row r="637">
      <c r="F637" s="26">
        <f>IFERROR(__xludf.DUMMYFUNCTION("""COMPUTED_VALUE"""),63.5)</f>
        <v>63.5</v>
      </c>
      <c r="G637" s="26">
        <f>IFERROR(__xludf.DUMMYFUNCTION("""COMPUTED_VALUE"""),1.677676342774E12)</f>
        <v>1677676342774</v>
      </c>
      <c r="H637" s="26">
        <f t="shared" si="1"/>
        <v>144975</v>
      </c>
    </row>
    <row r="638">
      <c r="F638" s="26">
        <f>IFERROR(__xludf.DUMMYFUNCTION("""COMPUTED_VALUE"""),63.6)</f>
        <v>63.6</v>
      </c>
      <c r="G638" s="26">
        <f>IFERROR(__xludf.DUMMYFUNCTION("""COMPUTED_VALUE"""),1.677676342779E12)</f>
        <v>1677676342779</v>
      </c>
      <c r="H638" s="26">
        <f t="shared" si="1"/>
        <v>144980</v>
      </c>
    </row>
    <row r="639">
      <c r="F639" s="26">
        <f>IFERROR(__xludf.DUMMYFUNCTION("""COMPUTED_VALUE"""),63.7)</f>
        <v>63.7</v>
      </c>
      <c r="G639" s="26">
        <f>IFERROR(__xludf.DUMMYFUNCTION("""COMPUTED_VALUE"""),1.677676342785E12)</f>
        <v>1677676342785</v>
      </c>
      <c r="H639" s="26">
        <f t="shared" si="1"/>
        <v>144986</v>
      </c>
    </row>
    <row r="640">
      <c r="F640" s="26">
        <f>IFERROR(__xludf.DUMMYFUNCTION("""COMPUTED_VALUE"""),63.8)</f>
        <v>63.8</v>
      </c>
      <c r="G640" s="26">
        <f>IFERROR(__xludf.DUMMYFUNCTION("""COMPUTED_VALUE"""),1.677676342794E12)</f>
        <v>1677676342794</v>
      </c>
      <c r="H640" s="26">
        <f t="shared" si="1"/>
        <v>144995</v>
      </c>
    </row>
    <row r="641">
      <c r="F641" s="26">
        <f>IFERROR(__xludf.DUMMYFUNCTION("""COMPUTED_VALUE"""),63.9)</f>
        <v>63.9</v>
      </c>
      <c r="G641" s="26">
        <f>IFERROR(__xludf.DUMMYFUNCTION("""COMPUTED_VALUE"""),1.677676342799E12)</f>
        <v>1677676342799</v>
      </c>
      <c r="H641" s="26">
        <f t="shared" si="1"/>
        <v>145000</v>
      </c>
    </row>
    <row r="642">
      <c r="F642" s="26">
        <f>IFERROR(__xludf.DUMMYFUNCTION("""COMPUTED_VALUE"""),64.0)</f>
        <v>64</v>
      </c>
      <c r="G642" s="26">
        <f>IFERROR(__xludf.DUMMYFUNCTION("""COMPUTED_VALUE"""),1.677676342807E12)</f>
        <v>1677676342807</v>
      </c>
      <c r="H642" s="26">
        <f t="shared" si="1"/>
        <v>145008</v>
      </c>
    </row>
    <row r="643">
      <c r="F643" s="26">
        <f>IFERROR(__xludf.DUMMYFUNCTION("""COMPUTED_VALUE"""),64.1)</f>
        <v>64.1</v>
      </c>
      <c r="G643" s="26">
        <f>IFERROR(__xludf.DUMMYFUNCTION("""COMPUTED_VALUE"""),1.677676342816E12)</f>
        <v>1677676342816</v>
      </c>
      <c r="H643" s="26">
        <f t="shared" si="1"/>
        <v>145017</v>
      </c>
    </row>
    <row r="644">
      <c r="F644" s="26">
        <f>IFERROR(__xludf.DUMMYFUNCTION("""COMPUTED_VALUE"""),64.2)</f>
        <v>64.2</v>
      </c>
      <c r="G644" s="26">
        <f>IFERROR(__xludf.DUMMYFUNCTION("""COMPUTED_VALUE"""),1.677676342821E12)</f>
        <v>1677676342821</v>
      </c>
      <c r="H644" s="26">
        <f t="shared" si="1"/>
        <v>145022</v>
      </c>
    </row>
    <row r="645">
      <c r="F645" s="26">
        <f>IFERROR(__xludf.DUMMYFUNCTION("""COMPUTED_VALUE"""),64.3)</f>
        <v>64.3</v>
      </c>
      <c r="G645" s="26">
        <f>IFERROR(__xludf.DUMMYFUNCTION("""COMPUTED_VALUE"""),1.67767634283E12)</f>
        <v>1677676342830</v>
      </c>
      <c r="H645" s="26">
        <f t="shared" si="1"/>
        <v>145031</v>
      </c>
    </row>
    <row r="646">
      <c r="F646" s="26">
        <f>IFERROR(__xludf.DUMMYFUNCTION("""COMPUTED_VALUE"""),64.4)</f>
        <v>64.4</v>
      </c>
      <c r="G646" s="26">
        <f>IFERROR(__xludf.DUMMYFUNCTION("""COMPUTED_VALUE"""),1.677676342838E12)</f>
        <v>1677676342838</v>
      </c>
      <c r="H646" s="26">
        <f t="shared" si="1"/>
        <v>145039</v>
      </c>
    </row>
    <row r="647">
      <c r="F647" s="26">
        <f>IFERROR(__xludf.DUMMYFUNCTION("""COMPUTED_VALUE"""),64.5)</f>
        <v>64.5</v>
      </c>
      <c r="G647" s="26">
        <f>IFERROR(__xludf.DUMMYFUNCTION("""COMPUTED_VALUE"""),1.677676342842E12)</f>
        <v>1677676342842</v>
      </c>
      <c r="H647" s="26">
        <f t="shared" si="1"/>
        <v>145043</v>
      </c>
    </row>
    <row r="648">
      <c r="F648" s="26">
        <f>IFERROR(__xludf.DUMMYFUNCTION("""COMPUTED_VALUE"""),64.6)</f>
        <v>64.6</v>
      </c>
      <c r="G648" s="26">
        <f>IFERROR(__xludf.DUMMYFUNCTION("""COMPUTED_VALUE"""),1.677676342848E12)</f>
        <v>1677676342848</v>
      </c>
      <c r="H648" s="26">
        <f t="shared" si="1"/>
        <v>145049</v>
      </c>
    </row>
    <row r="649">
      <c r="F649" s="26">
        <f>IFERROR(__xludf.DUMMYFUNCTION("""COMPUTED_VALUE"""),64.7)</f>
        <v>64.7</v>
      </c>
      <c r="G649" s="26">
        <f>IFERROR(__xludf.DUMMYFUNCTION("""COMPUTED_VALUE"""),1.677676342853E12)</f>
        <v>1677676342853</v>
      </c>
      <c r="H649" s="26">
        <f t="shared" si="1"/>
        <v>145054</v>
      </c>
    </row>
    <row r="650">
      <c r="F650" s="26">
        <f>IFERROR(__xludf.DUMMYFUNCTION("""COMPUTED_VALUE"""),64.8)</f>
        <v>64.8</v>
      </c>
      <c r="G650" s="26">
        <f>IFERROR(__xludf.DUMMYFUNCTION("""COMPUTED_VALUE"""),1.677676342859E12)</f>
        <v>1677676342859</v>
      </c>
      <c r="H650" s="26">
        <f t="shared" si="1"/>
        <v>145060</v>
      </c>
    </row>
    <row r="651">
      <c r="F651" s="26">
        <f>IFERROR(__xludf.DUMMYFUNCTION("""COMPUTED_VALUE"""),64.9)</f>
        <v>64.9</v>
      </c>
      <c r="G651" s="26">
        <f>IFERROR(__xludf.DUMMYFUNCTION("""COMPUTED_VALUE"""),1.677676342865E12)</f>
        <v>1677676342865</v>
      </c>
      <c r="H651" s="26">
        <f t="shared" si="1"/>
        <v>145066</v>
      </c>
    </row>
    <row r="652">
      <c r="F652" s="26">
        <f>IFERROR(__xludf.DUMMYFUNCTION("""COMPUTED_VALUE"""),65.0)</f>
        <v>65</v>
      </c>
      <c r="G652" s="26">
        <f>IFERROR(__xludf.DUMMYFUNCTION("""COMPUTED_VALUE"""),1.677676342873E12)</f>
        <v>1677676342873</v>
      </c>
      <c r="H652" s="26">
        <f t="shared" si="1"/>
        <v>145074</v>
      </c>
    </row>
    <row r="653">
      <c r="F653" s="26">
        <f>IFERROR(__xludf.DUMMYFUNCTION("""COMPUTED_VALUE"""),65.1)</f>
        <v>65.1</v>
      </c>
      <c r="G653" s="26">
        <f>IFERROR(__xludf.DUMMYFUNCTION("""COMPUTED_VALUE"""),1.677676342879E12)</f>
        <v>1677676342879</v>
      </c>
      <c r="H653" s="26">
        <f t="shared" si="1"/>
        <v>145080</v>
      </c>
    </row>
    <row r="654">
      <c r="F654" s="26">
        <f>IFERROR(__xludf.DUMMYFUNCTION("""COMPUTED_VALUE"""),65.2)</f>
        <v>65.2</v>
      </c>
      <c r="G654" s="26">
        <f>IFERROR(__xludf.DUMMYFUNCTION("""COMPUTED_VALUE"""),1.677676342885E12)</f>
        <v>1677676342885</v>
      </c>
      <c r="H654" s="26">
        <f t="shared" si="1"/>
        <v>145086</v>
      </c>
    </row>
    <row r="655">
      <c r="F655" s="26">
        <f>IFERROR(__xludf.DUMMYFUNCTION("""COMPUTED_VALUE"""),65.3)</f>
        <v>65.3</v>
      </c>
      <c r="G655" s="26">
        <f>IFERROR(__xludf.DUMMYFUNCTION("""COMPUTED_VALUE"""),1.677676342889E12)</f>
        <v>1677676342889</v>
      </c>
      <c r="H655" s="26">
        <f t="shared" si="1"/>
        <v>145090</v>
      </c>
    </row>
    <row r="656">
      <c r="F656" s="26">
        <f>IFERROR(__xludf.DUMMYFUNCTION("""COMPUTED_VALUE"""),65.4)</f>
        <v>65.4</v>
      </c>
      <c r="G656" s="26">
        <f>IFERROR(__xludf.DUMMYFUNCTION("""COMPUTED_VALUE"""),1.677676342895E12)</f>
        <v>1677676342895</v>
      </c>
      <c r="H656" s="26">
        <f t="shared" si="1"/>
        <v>145096</v>
      </c>
    </row>
    <row r="657">
      <c r="F657" s="26">
        <f>IFERROR(__xludf.DUMMYFUNCTION("""COMPUTED_VALUE"""),65.5)</f>
        <v>65.5</v>
      </c>
      <c r="G657" s="26">
        <f>IFERROR(__xludf.DUMMYFUNCTION("""COMPUTED_VALUE"""),1.677676342899E12)</f>
        <v>1677676342899</v>
      </c>
      <c r="H657" s="26">
        <f t="shared" si="1"/>
        <v>145100</v>
      </c>
    </row>
    <row r="658">
      <c r="F658" s="26">
        <f>IFERROR(__xludf.DUMMYFUNCTION("""COMPUTED_VALUE"""),65.6)</f>
        <v>65.6</v>
      </c>
      <c r="G658" s="26">
        <f>IFERROR(__xludf.DUMMYFUNCTION("""COMPUTED_VALUE"""),1.677676342905E12)</f>
        <v>1677676342905</v>
      </c>
      <c r="H658" s="26">
        <f t="shared" si="1"/>
        <v>145106</v>
      </c>
    </row>
    <row r="659">
      <c r="F659" s="26">
        <f>IFERROR(__xludf.DUMMYFUNCTION("""COMPUTED_VALUE"""),65.7)</f>
        <v>65.7</v>
      </c>
      <c r="G659" s="26">
        <f>IFERROR(__xludf.DUMMYFUNCTION("""COMPUTED_VALUE"""),1.677676342912E12)</f>
        <v>1677676342912</v>
      </c>
      <c r="H659" s="26">
        <f t="shared" si="1"/>
        <v>145113</v>
      </c>
    </row>
    <row r="660">
      <c r="F660" s="26">
        <f>IFERROR(__xludf.DUMMYFUNCTION("""COMPUTED_VALUE"""),65.8)</f>
        <v>65.8</v>
      </c>
      <c r="G660" s="26">
        <f>IFERROR(__xludf.DUMMYFUNCTION("""COMPUTED_VALUE"""),1.677676342919E12)</f>
        <v>1677676342919</v>
      </c>
      <c r="H660" s="26">
        <f t="shared" si="1"/>
        <v>145120</v>
      </c>
    </row>
    <row r="661">
      <c r="F661" s="26">
        <f>IFERROR(__xludf.DUMMYFUNCTION("""COMPUTED_VALUE"""),65.9)</f>
        <v>65.9</v>
      </c>
      <c r="G661" s="26">
        <f>IFERROR(__xludf.DUMMYFUNCTION("""COMPUTED_VALUE"""),1.677676342925E12)</f>
        <v>1677676342925</v>
      </c>
      <c r="H661" s="26">
        <f t="shared" si="1"/>
        <v>145126</v>
      </c>
    </row>
    <row r="662">
      <c r="F662" s="26">
        <f>IFERROR(__xludf.DUMMYFUNCTION("""COMPUTED_VALUE"""),66.0)</f>
        <v>66</v>
      </c>
      <c r="G662" s="26">
        <f>IFERROR(__xludf.DUMMYFUNCTION("""COMPUTED_VALUE"""),1.67767634293E12)</f>
        <v>1677676342930</v>
      </c>
      <c r="H662" s="26">
        <f t="shared" si="1"/>
        <v>145131</v>
      </c>
    </row>
    <row r="663">
      <c r="F663" s="26">
        <f>IFERROR(__xludf.DUMMYFUNCTION("""COMPUTED_VALUE"""),66.1)</f>
        <v>66.1</v>
      </c>
      <c r="G663" s="26">
        <f>IFERROR(__xludf.DUMMYFUNCTION("""COMPUTED_VALUE"""),1.677676342936E12)</f>
        <v>1677676342936</v>
      </c>
      <c r="H663" s="26">
        <f t="shared" si="1"/>
        <v>145137</v>
      </c>
    </row>
    <row r="664">
      <c r="F664" s="26">
        <f>IFERROR(__xludf.DUMMYFUNCTION("""COMPUTED_VALUE"""),66.2)</f>
        <v>66.2</v>
      </c>
      <c r="G664" s="26">
        <f>IFERROR(__xludf.DUMMYFUNCTION("""COMPUTED_VALUE"""),1.677676342944E12)</f>
        <v>1677676342944</v>
      </c>
      <c r="H664" s="26">
        <f t="shared" si="1"/>
        <v>145145</v>
      </c>
    </row>
    <row r="665">
      <c r="F665" s="26">
        <f>IFERROR(__xludf.DUMMYFUNCTION("""COMPUTED_VALUE"""),66.3)</f>
        <v>66.3</v>
      </c>
      <c r="G665" s="26">
        <f>IFERROR(__xludf.DUMMYFUNCTION("""COMPUTED_VALUE"""),1.677676342951E12)</f>
        <v>1677676342951</v>
      </c>
      <c r="H665" s="26">
        <f t="shared" si="1"/>
        <v>145152</v>
      </c>
    </row>
    <row r="666">
      <c r="F666" s="26">
        <f>IFERROR(__xludf.DUMMYFUNCTION("""COMPUTED_VALUE"""),66.4)</f>
        <v>66.4</v>
      </c>
      <c r="G666" s="26">
        <f>IFERROR(__xludf.DUMMYFUNCTION("""COMPUTED_VALUE"""),1.677676342956E12)</f>
        <v>1677676342956</v>
      </c>
      <c r="H666" s="26">
        <f t="shared" si="1"/>
        <v>145157</v>
      </c>
    </row>
    <row r="667">
      <c r="F667" s="26">
        <f>IFERROR(__xludf.DUMMYFUNCTION("""COMPUTED_VALUE"""),66.5)</f>
        <v>66.5</v>
      </c>
      <c r="G667" s="26">
        <f>IFERROR(__xludf.DUMMYFUNCTION("""COMPUTED_VALUE"""),1.677676342962E12)</f>
        <v>1677676342962</v>
      </c>
      <c r="H667" s="26">
        <f t="shared" si="1"/>
        <v>145163</v>
      </c>
    </row>
    <row r="668">
      <c r="F668" s="26">
        <f>IFERROR(__xludf.DUMMYFUNCTION("""COMPUTED_VALUE"""),66.6)</f>
        <v>66.6</v>
      </c>
      <c r="G668" s="26">
        <f>IFERROR(__xludf.DUMMYFUNCTION("""COMPUTED_VALUE"""),1.677676342969E12)</f>
        <v>1677676342969</v>
      </c>
      <c r="H668" s="26">
        <f t="shared" si="1"/>
        <v>145170</v>
      </c>
    </row>
    <row r="669">
      <c r="F669" s="26">
        <f>IFERROR(__xludf.DUMMYFUNCTION("""COMPUTED_VALUE"""),66.7)</f>
        <v>66.7</v>
      </c>
      <c r="G669" s="26">
        <f>IFERROR(__xludf.DUMMYFUNCTION("""COMPUTED_VALUE"""),1.677676342974E12)</f>
        <v>1677676342974</v>
      </c>
      <c r="H669" s="26">
        <f t="shared" si="1"/>
        <v>145175</v>
      </c>
    </row>
    <row r="670">
      <c r="F670" s="26">
        <f>IFERROR(__xludf.DUMMYFUNCTION("""COMPUTED_VALUE"""),66.8)</f>
        <v>66.8</v>
      </c>
      <c r="G670" s="26">
        <f>IFERROR(__xludf.DUMMYFUNCTION("""COMPUTED_VALUE"""),1.67767634298E12)</f>
        <v>1677676342980</v>
      </c>
      <c r="H670" s="26">
        <f t="shared" si="1"/>
        <v>145181</v>
      </c>
    </row>
    <row r="671">
      <c r="F671" s="26">
        <f>IFERROR(__xludf.DUMMYFUNCTION("""COMPUTED_VALUE"""),66.9)</f>
        <v>66.9</v>
      </c>
      <c r="G671" s="26">
        <f>IFERROR(__xludf.DUMMYFUNCTION("""COMPUTED_VALUE"""),1.677676342986E12)</f>
        <v>1677676342986</v>
      </c>
      <c r="H671" s="26">
        <f t="shared" si="1"/>
        <v>145187</v>
      </c>
    </row>
    <row r="672">
      <c r="F672" s="26">
        <f>IFERROR(__xludf.DUMMYFUNCTION("""COMPUTED_VALUE"""),67.0)</f>
        <v>67</v>
      </c>
      <c r="G672" s="26">
        <f>IFERROR(__xludf.DUMMYFUNCTION("""COMPUTED_VALUE"""),1.677676342993E12)</f>
        <v>1677676342993</v>
      </c>
      <c r="H672" s="26">
        <f t="shared" si="1"/>
        <v>145194</v>
      </c>
    </row>
    <row r="673">
      <c r="F673" s="26">
        <f>IFERROR(__xludf.DUMMYFUNCTION("""COMPUTED_VALUE"""),67.1)</f>
        <v>67.1</v>
      </c>
      <c r="G673" s="26">
        <f>IFERROR(__xludf.DUMMYFUNCTION("""COMPUTED_VALUE"""),1.677676342998E12)</f>
        <v>1677676342998</v>
      </c>
      <c r="H673" s="26">
        <f t="shared" si="1"/>
        <v>145199</v>
      </c>
    </row>
    <row r="674">
      <c r="F674" s="26">
        <f>IFERROR(__xludf.DUMMYFUNCTION("""COMPUTED_VALUE"""),67.2)</f>
        <v>67.2</v>
      </c>
      <c r="G674" s="26">
        <f>IFERROR(__xludf.DUMMYFUNCTION("""COMPUTED_VALUE"""),1.677676343004E12)</f>
        <v>1677676343004</v>
      </c>
      <c r="H674" s="26">
        <f t="shared" si="1"/>
        <v>145205</v>
      </c>
    </row>
    <row r="675">
      <c r="F675" s="26">
        <f>IFERROR(__xludf.DUMMYFUNCTION("""COMPUTED_VALUE"""),67.3)</f>
        <v>67.3</v>
      </c>
      <c r="G675" s="26">
        <f>IFERROR(__xludf.DUMMYFUNCTION("""COMPUTED_VALUE"""),1.677676343011E12)</f>
        <v>1677676343011</v>
      </c>
      <c r="H675" s="26">
        <f t="shared" si="1"/>
        <v>145212</v>
      </c>
    </row>
    <row r="676">
      <c r="F676" s="26">
        <f>IFERROR(__xludf.DUMMYFUNCTION("""COMPUTED_VALUE"""),67.4)</f>
        <v>67.4</v>
      </c>
      <c r="G676" s="26">
        <f>IFERROR(__xludf.DUMMYFUNCTION("""COMPUTED_VALUE"""),1.677676343018E12)</f>
        <v>1677676343018</v>
      </c>
      <c r="H676" s="26">
        <f t="shared" si="1"/>
        <v>145219</v>
      </c>
    </row>
    <row r="677">
      <c r="F677" s="26">
        <f>IFERROR(__xludf.DUMMYFUNCTION("""COMPUTED_VALUE"""),67.5)</f>
        <v>67.5</v>
      </c>
      <c r="G677" s="26">
        <f>IFERROR(__xludf.DUMMYFUNCTION("""COMPUTED_VALUE"""),1.677676343023E12)</f>
        <v>1677676343023</v>
      </c>
      <c r="H677" s="26">
        <f t="shared" si="1"/>
        <v>145224</v>
      </c>
    </row>
    <row r="678">
      <c r="F678" s="26">
        <f>IFERROR(__xludf.DUMMYFUNCTION("""COMPUTED_VALUE"""),67.6)</f>
        <v>67.6</v>
      </c>
      <c r="G678" s="26">
        <f>IFERROR(__xludf.DUMMYFUNCTION("""COMPUTED_VALUE"""),1.677676343028E12)</f>
        <v>1677676343028</v>
      </c>
      <c r="H678" s="26">
        <f t="shared" si="1"/>
        <v>145229</v>
      </c>
    </row>
    <row r="679">
      <c r="F679" s="26">
        <f>IFERROR(__xludf.DUMMYFUNCTION("""COMPUTED_VALUE"""),67.7)</f>
        <v>67.7</v>
      </c>
      <c r="G679" s="26">
        <f>IFERROR(__xludf.DUMMYFUNCTION("""COMPUTED_VALUE"""),1.677676343035E12)</f>
        <v>1677676343035</v>
      </c>
      <c r="H679" s="26">
        <f t="shared" si="1"/>
        <v>145236</v>
      </c>
    </row>
    <row r="680">
      <c r="F680" s="26">
        <f>IFERROR(__xludf.DUMMYFUNCTION("""COMPUTED_VALUE"""),67.8)</f>
        <v>67.8</v>
      </c>
      <c r="G680" s="26">
        <f>IFERROR(__xludf.DUMMYFUNCTION("""COMPUTED_VALUE"""),1.677676343043E12)</f>
        <v>1677676343043</v>
      </c>
      <c r="H680" s="26">
        <f t="shared" si="1"/>
        <v>145244</v>
      </c>
    </row>
    <row r="681">
      <c r="F681" s="26">
        <f>IFERROR(__xludf.DUMMYFUNCTION("""COMPUTED_VALUE"""),67.9)</f>
        <v>67.9</v>
      </c>
      <c r="G681" s="26">
        <f>IFERROR(__xludf.DUMMYFUNCTION("""COMPUTED_VALUE"""),1.677676343048E12)</f>
        <v>1677676343048</v>
      </c>
      <c r="H681" s="26">
        <f t="shared" si="1"/>
        <v>145249</v>
      </c>
    </row>
    <row r="682">
      <c r="F682" s="26">
        <f>IFERROR(__xludf.DUMMYFUNCTION("""COMPUTED_VALUE"""),68.0)</f>
        <v>68</v>
      </c>
      <c r="G682" s="26">
        <f>IFERROR(__xludf.DUMMYFUNCTION("""COMPUTED_VALUE"""),1.677676343054E12)</f>
        <v>1677676343054</v>
      </c>
      <c r="H682" s="26">
        <f t="shared" si="1"/>
        <v>145255</v>
      </c>
    </row>
    <row r="683">
      <c r="F683" s="26">
        <f>IFERROR(__xludf.DUMMYFUNCTION("""COMPUTED_VALUE"""),68.1)</f>
        <v>68.1</v>
      </c>
      <c r="G683" s="26">
        <f>IFERROR(__xludf.DUMMYFUNCTION("""COMPUTED_VALUE"""),1.677676343059E12)</f>
        <v>1677676343059</v>
      </c>
      <c r="H683" s="26">
        <f t="shared" si="1"/>
        <v>145260</v>
      </c>
    </row>
    <row r="684">
      <c r="F684" s="26">
        <f>IFERROR(__xludf.DUMMYFUNCTION("""COMPUTED_VALUE"""),68.2)</f>
        <v>68.2</v>
      </c>
      <c r="G684" s="26">
        <f>IFERROR(__xludf.DUMMYFUNCTION("""COMPUTED_VALUE"""),1.677676343065E12)</f>
        <v>1677676343065</v>
      </c>
      <c r="H684" s="26">
        <f t="shared" si="1"/>
        <v>145266</v>
      </c>
    </row>
    <row r="685">
      <c r="F685" s="26">
        <f>IFERROR(__xludf.DUMMYFUNCTION("""COMPUTED_VALUE"""),68.3)</f>
        <v>68.3</v>
      </c>
      <c r="G685" s="26">
        <f>IFERROR(__xludf.DUMMYFUNCTION("""COMPUTED_VALUE"""),1.677676343071E12)</f>
        <v>1677676343071</v>
      </c>
      <c r="H685" s="26">
        <f t="shared" si="1"/>
        <v>145272</v>
      </c>
    </row>
    <row r="686">
      <c r="F686" s="26">
        <f>IFERROR(__xludf.DUMMYFUNCTION("""COMPUTED_VALUE"""),68.4)</f>
        <v>68.4</v>
      </c>
      <c r="G686" s="26">
        <f>IFERROR(__xludf.DUMMYFUNCTION("""COMPUTED_VALUE"""),1.677676343077E12)</f>
        <v>1677676343077</v>
      </c>
      <c r="H686" s="26">
        <f t="shared" si="1"/>
        <v>145278</v>
      </c>
    </row>
    <row r="687">
      <c r="F687" s="26">
        <f>IFERROR(__xludf.DUMMYFUNCTION("""COMPUTED_VALUE"""),68.5)</f>
        <v>68.5</v>
      </c>
      <c r="G687" s="26">
        <f>IFERROR(__xludf.DUMMYFUNCTION("""COMPUTED_VALUE"""),1.677676343083E12)</f>
        <v>1677676343083</v>
      </c>
      <c r="H687" s="26">
        <f t="shared" si="1"/>
        <v>145284</v>
      </c>
    </row>
    <row r="688">
      <c r="F688" s="26">
        <f>IFERROR(__xludf.DUMMYFUNCTION("""COMPUTED_VALUE"""),68.6)</f>
        <v>68.6</v>
      </c>
      <c r="G688" s="26">
        <f>IFERROR(__xludf.DUMMYFUNCTION("""COMPUTED_VALUE"""),1.677676343089E12)</f>
        <v>1677676343089</v>
      </c>
      <c r="H688" s="26">
        <f t="shared" si="1"/>
        <v>145290</v>
      </c>
    </row>
    <row r="689">
      <c r="F689" s="26">
        <f>IFERROR(__xludf.DUMMYFUNCTION("""COMPUTED_VALUE"""),68.7)</f>
        <v>68.7</v>
      </c>
      <c r="G689" s="26">
        <f>IFERROR(__xludf.DUMMYFUNCTION("""COMPUTED_VALUE"""),1.677676343095E12)</f>
        <v>1677676343095</v>
      </c>
      <c r="H689" s="26">
        <f t="shared" si="1"/>
        <v>145296</v>
      </c>
    </row>
    <row r="690">
      <c r="F690" s="26">
        <f>IFERROR(__xludf.DUMMYFUNCTION("""COMPUTED_VALUE"""),68.8)</f>
        <v>68.8</v>
      </c>
      <c r="G690" s="26">
        <f>IFERROR(__xludf.DUMMYFUNCTION("""COMPUTED_VALUE"""),1.677676343101E12)</f>
        <v>1677676343101</v>
      </c>
      <c r="H690" s="26">
        <f t="shared" si="1"/>
        <v>145302</v>
      </c>
    </row>
    <row r="691">
      <c r="F691" s="26">
        <f>IFERROR(__xludf.DUMMYFUNCTION("""COMPUTED_VALUE"""),68.9)</f>
        <v>68.9</v>
      </c>
      <c r="G691" s="26">
        <f>IFERROR(__xludf.DUMMYFUNCTION("""COMPUTED_VALUE"""),1.677676343106E12)</f>
        <v>1677676343106</v>
      </c>
      <c r="H691" s="26">
        <f t="shared" si="1"/>
        <v>145307</v>
      </c>
    </row>
    <row r="692">
      <c r="F692" s="26">
        <f>IFERROR(__xludf.DUMMYFUNCTION("""COMPUTED_VALUE"""),69.0)</f>
        <v>69</v>
      </c>
      <c r="G692" s="26">
        <f>IFERROR(__xludf.DUMMYFUNCTION("""COMPUTED_VALUE"""),1.677676343114E12)</f>
        <v>1677676343114</v>
      </c>
      <c r="H692" s="26">
        <f t="shared" si="1"/>
        <v>145315</v>
      </c>
    </row>
    <row r="693">
      <c r="F693" s="26">
        <f>IFERROR(__xludf.DUMMYFUNCTION("""COMPUTED_VALUE"""),69.1)</f>
        <v>69.1</v>
      </c>
      <c r="G693" s="26">
        <f>IFERROR(__xludf.DUMMYFUNCTION("""COMPUTED_VALUE"""),1.67767634312E12)</f>
        <v>1677676343120</v>
      </c>
      <c r="H693" s="26">
        <f t="shared" si="1"/>
        <v>145321</v>
      </c>
    </row>
    <row r="694">
      <c r="F694" s="26">
        <f>IFERROR(__xludf.DUMMYFUNCTION("""COMPUTED_VALUE"""),69.2)</f>
        <v>69.2</v>
      </c>
      <c r="G694" s="26">
        <f>IFERROR(__xludf.DUMMYFUNCTION("""COMPUTED_VALUE"""),1.677676343126E12)</f>
        <v>1677676343126</v>
      </c>
      <c r="H694" s="26">
        <f t="shared" si="1"/>
        <v>145327</v>
      </c>
    </row>
    <row r="695">
      <c r="F695" s="26">
        <f>IFERROR(__xludf.DUMMYFUNCTION("""COMPUTED_VALUE"""),69.3)</f>
        <v>69.3</v>
      </c>
      <c r="G695" s="26">
        <f>IFERROR(__xludf.DUMMYFUNCTION("""COMPUTED_VALUE"""),1.67767634313E12)</f>
        <v>1677676343130</v>
      </c>
      <c r="H695" s="26">
        <f t="shared" si="1"/>
        <v>145331</v>
      </c>
    </row>
    <row r="696">
      <c r="F696" s="26">
        <f>IFERROR(__xludf.DUMMYFUNCTION("""COMPUTED_VALUE"""),69.4)</f>
        <v>69.4</v>
      </c>
      <c r="G696" s="26">
        <f>IFERROR(__xludf.DUMMYFUNCTION("""COMPUTED_VALUE"""),1.677676343136E12)</f>
        <v>1677676343136</v>
      </c>
      <c r="H696" s="26">
        <f t="shared" si="1"/>
        <v>145337</v>
      </c>
    </row>
    <row r="697">
      <c r="F697" s="26">
        <f>IFERROR(__xludf.DUMMYFUNCTION("""COMPUTED_VALUE"""),69.5)</f>
        <v>69.5</v>
      </c>
      <c r="G697" s="26">
        <f>IFERROR(__xludf.DUMMYFUNCTION("""COMPUTED_VALUE"""),1.677676343144E12)</f>
        <v>1677676343144</v>
      </c>
      <c r="H697" s="26">
        <f t="shared" si="1"/>
        <v>145345</v>
      </c>
    </row>
    <row r="698">
      <c r="F698" s="26">
        <f>IFERROR(__xludf.DUMMYFUNCTION("""COMPUTED_VALUE"""),69.6)</f>
        <v>69.6</v>
      </c>
      <c r="G698" s="26">
        <f>IFERROR(__xludf.DUMMYFUNCTION("""COMPUTED_VALUE"""),1.677676343148E12)</f>
        <v>1677676343148</v>
      </c>
      <c r="H698" s="26">
        <f t="shared" si="1"/>
        <v>145349</v>
      </c>
    </row>
    <row r="699">
      <c r="F699" s="26">
        <f>IFERROR(__xludf.DUMMYFUNCTION("""COMPUTED_VALUE"""),69.7)</f>
        <v>69.7</v>
      </c>
      <c r="G699" s="26">
        <f>IFERROR(__xludf.DUMMYFUNCTION("""COMPUTED_VALUE"""),1.677676343154E12)</f>
        <v>1677676343154</v>
      </c>
      <c r="H699" s="26">
        <f t="shared" si="1"/>
        <v>145355</v>
      </c>
    </row>
    <row r="700">
      <c r="F700" s="26">
        <f>IFERROR(__xludf.DUMMYFUNCTION("""COMPUTED_VALUE"""),69.8)</f>
        <v>69.8</v>
      </c>
      <c r="G700" s="26">
        <f>IFERROR(__xludf.DUMMYFUNCTION("""COMPUTED_VALUE"""),1.677676343161E12)</f>
        <v>1677676343161</v>
      </c>
      <c r="H700" s="26">
        <f t="shared" si="1"/>
        <v>145362</v>
      </c>
    </row>
    <row r="701">
      <c r="F701" s="26">
        <f>IFERROR(__xludf.DUMMYFUNCTION("""COMPUTED_VALUE"""),69.9)</f>
        <v>69.9</v>
      </c>
      <c r="G701" s="26">
        <f>IFERROR(__xludf.DUMMYFUNCTION("""COMPUTED_VALUE"""),1.677676343165E12)</f>
        <v>1677676343165</v>
      </c>
      <c r="H701" s="26">
        <f t="shared" si="1"/>
        <v>145366</v>
      </c>
    </row>
    <row r="702">
      <c r="F702" s="26">
        <f>IFERROR(__xludf.DUMMYFUNCTION("""COMPUTED_VALUE"""),70.0)</f>
        <v>70</v>
      </c>
      <c r="G702" s="26">
        <f>IFERROR(__xludf.DUMMYFUNCTION("""COMPUTED_VALUE"""),1.677676343171E12)</f>
        <v>1677676343171</v>
      </c>
      <c r="H702" s="26">
        <f t="shared" si="1"/>
        <v>145372</v>
      </c>
    </row>
    <row r="703">
      <c r="F703" s="26">
        <f>IFERROR(__xludf.DUMMYFUNCTION("""COMPUTED_VALUE"""),70.1)</f>
        <v>70.1</v>
      </c>
      <c r="G703" s="26">
        <f>IFERROR(__xludf.DUMMYFUNCTION("""COMPUTED_VALUE"""),1.677676343176E12)</f>
        <v>1677676343176</v>
      </c>
      <c r="H703" s="26">
        <f t="shared" si="1"/>
        <v>145377</v>
      </c>
    </row>
    <row r="704">
      <c r="F704" s="26">
        <f>IFERROR(__xludf.DUMMYFUNCTION("""COMPUTED_VALUE"""),70.2)</f>
        <v>70.2</v>
      </c>
      <c r="G704" s="26">
        <f>IFERROR(__xludf.DUMMYFUNCTION("""COMPUTED_VALUE"""),1.677676343183E12)</f>
        <v>1677676343183</v>
      </c>
      <c r="H704" s="26">
        <f t="shared" si="1"/>
        <v>145384</v>
      </c>
    </row>
    <row r="705">
      <c r="F705" s="26">
        <f>IFERROR(__xludf.DUMMYFUNCTION("""COMPUTED_VALUE"""),70.3)</f>
        <v>70.3</v>
      </c>
      <c r="G705" s="26">
        <f>IFERROR(__xludf.DUMMYFUNCTION("""COMPUTED_VALUE"""),1.67767634319E12)</f>
        <v>1677676343190</v>
      </c>
      <c r="H705" s="26">
        <f t="shared" si="1"/>
        <v>145391</v>
      </c>
    </row>
    <row r="706">
      <c r="F706" s="26">
        <f>IFERROR(__xludf.DUMMYFUNCTION("""COMPUTED_VALUE"""),70.4)</f>
        <v>70.4</v>
      </c>
      <c r="G706" s="26">
        <f>IFERROR(__xludf.DUMMYFUNCTION("""COMPUTED_VALUE"""),1.677676343195E12)</f>
        <v>1677676343195</v>
      </c>
      <c r="H706" s="26">
        <f t="shared" si="1"/>
        <v>145396</v>
      </c>
    </row>
    <row r="707">
      <c r="F707" s="26">
        <f>IFERROR(__xludf.DUMMYFUNCTION("""COMPUTED_VALUE"""),70.5)</f>
        <v>70.5</v>
      </c>
      <c r="G707" s="26">
        <f>IFERROR(__xludf.DUMMYFUNCTION("""COMPUTED_VALUE"""),1.677676343202E12)</f>
        <v>1677676343202</v>
      </c>
      <c r="H707" s="26">
        <f t="shared" si="1"/>
        <v>145403</v>
      </c>
    </row>
    <row r="708">
      <c r="F708" s="26">
        <f>IFERROR(__xludf.DUMMYFUNCTION("""COMPUTED_VALUE"""),70.6)</f>
        <v>70.6</v>
      </c>
      <c r="G708" s="26">
        <f>IFERROR(__xludf.DUMMYFUNCTION("""COMPUTED_VALUE"""),1.677676343207E12)</f>
        <v>1677676343207</v>
      </c>
      <c r="H708" s="26">
        <f t="shared" si="1"/>
        <v>145408</v>
      </c>
    </row>
    <row r="709">
      <c r="F709" s="26">
        <f>IFERROR(__xludf.DUMMYFUNCTION("""COMPUTED_VALUE"""),70.7)</f>
        <v>70.7</v>
      </c>
      <c r="G709" s="26">
        <f>IFERROR(__xludf.DUMMYFUNCTION("""COMPUTED_VALUE"""),1.677676343213E12)</f>
        <v>1677676343213</v>
      </c>
      <c r="H709" s="26">
        <f t="shared" si="1"/>
        <v>145414</v>
      </c>
    </row>
    <row r="710">
      <c r="F710" s="26">
        <f>IFERROR(__xludf.DUMMYFUNCTION("""COMPUTED_VALUE"""),70.8)</f>
        <v>70.8</v>
      </c>
      <c r="G710" s="26">
        <f>IFERROR(__xludf.DUMMYFUNCTION("""COMPUTED_VALUE"""),1.677676343218E12)</f>
        <v>1677676343218</v>
      </c>
      <c r="H710" s="26">
        <f t="shared" si="1"/>
        <v>145419</v>
      </c>
    </row>
    <row r="711">
      <c r="F711" s="26">
        <f>IFERROR(__xludf.DUMMYFUNCTION("""COMPUTED_VALUE"""),70.9)</f>
        <v>70.9</v>
      </c>
      <c r="G711" s="26">
        <f>IFERROR(__xludf.DUMMYFUNCTION("""COMPUTED_VALUE"""),1.677676343226E12)</f>
        <v>1677676343226</v>
      </c>
      <c r="H711" s="26">
        <f t="shared" si="1"/>
        <v>145427</v>
      </c>
    </row>
    <row r="712">
      <c r="F712" s="26">
        <f>IFERROR(__xludf.DUMMYFUNCTION("""COMPUTED_VALUE"""),71.0)</f>
        <v>71</v>
      </c>
      <c r="G712" s="26">
        <f>IFERROR(__xludf.DUMMYFUNCTION("""COMPUTED_VALUE"""),1.677676343231E12)</f>
        <v>1677676343231</v>
      </c>
      <c r="H712" s="26">
        <f t="shared" si="1"/>
        <v>145432</v>
      </c>
    </row>
    <row r="713">
      <c r="F713" s="26">
        <f>IFERROR(__xludf.DUMMYFUNCTION("""COMPUTED_VALUE"""),71.1)</f>
        <v>71.1</v>
      </c>
      <c r="G713" s="26">
        <f>IFERROR(__xludf.DUMMYFUNCTION("""COMPUTED_VALUE"""),1.677676343236E12)</f>
        <v>1677676343236</v>
      </c>
      <c r="H713" s="26">
        <f t="shared" si="1"/>
        <v>145437</v>
      </c>
    </row>
    <row r="714">
      <c r="F714" s="26">
        <f>IFERROR(__xludf.DUMMYFUNCTION("""COMPUTED_VALUE"""),71.2)</f>
        <v>71.2</v>
      </c>
      <c r="G714" s="26">
        <f>IFERROR(__xludf.DUMMYFUNCTION("""COMPUTED_VALUE"""),1.677676343243E12)</f>
        <v>1677676343243</v>
      </c>
      <c r="H714" s="26">
        <f t="shared" si="1"/>
        <v>145444</v>
      </c>
    </row>
    <row r="715">
      <c r="F715" s="26">
        <f>IFERROR(__xludf.DUMMYFUNCTION("""COMPUTED_VALUE"""),71.3)</f>
        <v>71.3</v>
      </c>
      <c r="G715" s="26">
        <f>IFERROR(__xludf.DUMMYFUNCTION("""COMPUTED_VALUE"""),1.67767634325E12)</f>
        <v>1677676343250</v>
      </c>
      <c r="H715" s="26">
        <f t="shared" si="1"/>
        <v>145451</v>
      </c>
    </row>
    <row r="716">
      <c r="F716" s="26">
        <f>IFERROR(__xludf.DUMMYFUNCTION("""COMPUTED_VALUE"""),71.4)</f>
        <v>71.4</v>
      </c>
      <c r="G716" s="26">
        <f>IFERROR(__xludf.DUMMYFUNCTION("""COMPUTED_VALUE"""),1.677676343255E12)</f>
        <v>1677676343255</v>
      </c>
      <c r="H716" s="26">
        <f t="shared" si="1"/>
        <v>145456</v>
      </c>
    </row>
    <row r="717">
      <c r="F717" s="26">
        <f>IFERROR(__xludf.DUMMYFUNCTION("""COMPUTED_VALUE"""),71.5)</f>
        <v>71.5</v>
      </c>
      <c r="G717" s="26">
        <f>IFERROR(__xludf.DUMMYFUNCTION("""COMPUTED_VALUE"""),1.677676343261E12)</f>
        <v>1677676343261</v>
      </c>
      <c r="H717" s="26">
        <f t="shared" si="1"/>
        <v>145462</v>
      </c>
    </row>
    <row r="718">
      <c r="F718" s="26">
        <f>IFERROR(__xludf.DUMMYFUNCTION("""COMPUTED_VALUE"""),71.6)</f>
        <v>71.6</v>
      </c>
      <c r="G718" s="26">
        <f>IFERROR(__xludf.DUMMYFUNCTION("""COMPUTED_VALUE"""),1.677676343267E12)</f>
        <v>1677676343267</v>
      </c>
      <c r="H718" s="26">
        <f t="shared" si="1"/>
        <v>145468</v>
      </c>
    </row>
    <row r="719">
      <c r="F719" s="26">
        <f>IFERROR(__xludf.DUMMYFUNCTION("""COMPUTED_VALUE"""),71.7)</f>
        <v>71.7</v>
      </c>
      <c r="G719" s="26">
        <f>IFERROR(__xludf.DUMMYFUNCTION("""COMPUTED_VALUE"""),1.677676343277E12)</f>
        <v>1677676343277</v>
      </c>
      <c r="H719" s="26">
        <f t="shared" si="1"/>
        <v>145478</v>
      </c>
    </row>
    <row r="720">
      <c r="F720" s="26">
        <f>IFERROR(__xludf.DUMMYFUNCTION("""COMPUTED_VALUE"""),71.8)</f>
        <v>71.8</v>
      </c>
      <c r="G720" s="26">
        <f>IFERROR(__xludf.DUMMYFUNCTION("""COMPUTED_VALUE"""),1.677676343283E12)</f>
        <v>1677676343283</v>
      </c>
      <c r="H720" s="26">
        <f t="shared" si="1"/>
        <v>145484</v>
      </c>
    </row>
    <row r="721">
      <c r="F721" s="26">
        <f>IFERROR(__xludf.DUMMYFUNCTION("""COMPUTED_VALUE"""),71.9)</f>
        <v>71.9</v>
      </c>
      <c r="G721" s="26">
        <f>IFERROR(__xludf.DUMMYFUNCTION("""COMPUTED_VALUE"""),1.677676343289E12)</f>
        <v>1677676343289</v>
      </c>
      <c r="H721" s="26">
        <f t="shared" si="1"/>
        <v>145490</v>
      </c>
    </row>
    <row r="722">
      <c r="F722" s="26">
        <f>IFERROR(__xludf.DUMMYFUNCTION("""COMPUTED_VALUE"""),72.0)</f>
        <v>72</v>
      </c>
      <c r="G722" s="26">
        <f>IFERROR(__xludf.DUMMYFUNCTION("""COMPUTED_VALUE"""),1.677676343295E12)</f>
        <v>1677676343295</v>
      </c>
      <c r="H722" s="26">
        <f t="shared" si="1"/>
        <v>145496</v>
      </c>
    </row>
    <row r="723">
      <c r="F723" s="26">
        <f>IFERROR(__xludf.DUMMYFUNCTION("""COMPUTED_VALUE"""),72.1)</f>
        <v>72.1</v>
      </c>
      <c r="G723" s="26">
        <f>IFERROR(__xludf.DUMMYFUNCTION("""COMPUTED_VALUE"""),1.6776763433E12)</f>
        <v>1677676343300</v>
      </c>
      <c r="H723" s="26">
        <f t="shared" si="1"/>
        <v>145501</v>
      </c>
    </row>
    <row r="724">
      <c r="F724" s="26">
        <f>IFERROR(__xludf.DUMMYFUNCTION("""COMPUTED_VALUE"""),72.2)</f>
        <v>72.2</v>
      </c>
      <c r="G724" s="26">
        <f>IFERROR(__xludf.DUMMYFUNCTION("""COMPUTED_VALUE"""),1.677676343307E12)</f>
        <v>1677676343307</v>
      </c>
      <c r="H724" s="26">
        <f t="shared" si="1"/>
        <v>145508</v>
      </c>
    </row>
    <row r="725">
      <c r="F725" s="26">
        <f>IFERROR(__xludf.DUMMYFUNCTION("""COMPUTED_VALUE"""),72.3)</f>
        <v>72.3</v>
      </c>
      <c r="G725" s="26">
        <f>IFERROR(__xludf.DUMMYFUNCTION("""COMPUTED_VALUE"""),1.677676343311E12)</f>
        <v>1677676343311</v>
      </c>
      <c r="H725" s="26">
        <f t="shared" si="1"/>
        <v>145512</v>
      </c>
    </row>
    <row r="726">
      <c r="F726" s="26">
        <f>IFERROR(__xludf.DUMMYFUNCTION("""COMPUTED_VALUE"""),72.4)</f>
        <v>72.4</v>
      </c>
      <c r="G726" s="26">
        <f>IFERROR(__xludf.DUMMYFUNCTION("""COMPUTED_VALUE"""),1.677676343318E12)</f>
        <v>1677676343318</v>
      </c>
      <c r="H726" s="26">
        <f t="shared" si="1"/>
        <v>145519</v>
      </c>
    </row>
    <row r="727">
      <c r="F727" s="26">
        <f>IFERROR(__xludf.DUMMYFUNCTION("""COMPUTED_VALUE"""),72.5)</f>
        <v>72.5</v>
      </c>
      <c r="G727" s="26">
        <f>IFERROR(__xludf.DUMMYFUNCTION("""COMPUTED_VALUE"""),1.677676343326E12)</f>
        <v>1677676343326</v>
      </c>
      <c r="H727" s="26">
        <f t="shared" si="1"/>
        <v>145527</v>
      </c>
    </row>
    <row r="728">
      <c r="F728" s="26">
        <f>IFERROR(__xludf.DUMMYFUNCTION("""COMPUTED_VALUE"""),72.6)</f>
        <v>72.6</v>
      </c>
      <c r="G728" s="26">
        <f>IFERROR(__xludf.DUMMYFUNCTION("""COMPUTED_VALUE"""),1.677676343334E12)</f>
        <v>1677676343334</v>
      </c>
      <c r="H728" s="26">
        <f t="shared" si="1"/>
        <v>145535</v>
      </c>
    </row>
    <row r="729">
      <c r="F729" s="26">
        <f>IFERROR(__xludf.DUMMYFUNCTION("""COMPUTED_VALUE"""),72.7)</f>
        <v>72.7</v>
      </c>
      <c r="G729" s="26">
        <f>IFERROR(__xludf.DUMMYFUNCTION("""COMPUTED_VALUE"""),1.677676343338E12)</f>
        <v>1677676343338</v>
      </c>
      <c r="H729" s="26">
        <f t="shared" si="1"/>
        <v>145539</v>
      </c>
    </row>
    <row r="730">
      <c r="F730" s="26">
        <f>IFERROR(__xludf.DUMMYFUNCTION("""COMPUTED_VALUE"""),72.8)</f>
        <v>72.8</v>
      </c>
      <c r="G730" s="26">
        <f>IFERROR(__xludf.DUMMYFUNCTION("""COMPUTED_VALUE"""),1.677676343344E12)</f>
        <v>1677676343344</v>
      </c>
      <c r="H730" s="26">
        <f t="shared" si="1"/>
        <v>145545</v>
      </c>
    </row>
    <row r="731">
      <c r="F731" s="26">
        <f>IFERROR(__xludf.DUMMYFUNCTION("""COMPUTED_VALUE"""),72.9)</f>
        <v>72.9</v>
      </c>
      <c r="G731" s="26">
        <f>IFERROR(__xludf.DUMMYFUNCTION("""COMPUTED_VALUE"""),1.677676343348E12)</f>
        <v>1677676343348</v>
      </c>
      <c r="H731" s="26">
        <f t="shared" si="1"/>
        <v>145549</v>
      </c>
    </row>
    <row r="732">
      <c r="F732" s="26">
        <f>IFERROR(__xludf.DUMMYFUNCTION("""COMPUTED_VALUE"""),73.0)</f>
        <v>73</v>
      </c>
      <c r="G732" s="26">
        <f>IFERROR(__xludf.DUMMYFUNCTION("""COMPUTED_VALUE"""),1.677676343354E12)</f>
        <v>1677676343354</v>
      </c>
      <c r="H732" s="26">
        <f t="shared" si="1"/>
        <v>145555</v>
      </c>
    </row>
    <row r="733">
      <c r="F733" s="26">
        <f>IFERROR(__xludf.DUMMYFUNCTION("""COMPUTED_VALUE"""),73.1)</f>
        <v>73.1</v>
      </c>
      <c r="G733" s="26">
        <f>IFERROR(__xludf.DUMMYFUNCTION("""COMPUTED_VALUE"""),1.677676343359E12)</f>
        <v>1677676343359</v>
      </c>
      <c r="H733" s="26">
        <f t="shared" si="1"/>
        <v>145560</v>
      </c>
    </row>
    <row r="734">
      <c r="F734" s="26">
        <f>IFERROR(__xludf.DUMMYFUNCTION("""COMPUTED_VALUE"""),73.2)</f>
        <v>73.2</v>
      </c>
      <c r="G734" s="26">
        <f>IFERROR(__xludf.DUMMYFUNCTION("""COMPUTED_VALUE"""),1.677676343365E12)</f>
        <v>1677676343365</v>
      </c>
      <c r="H734" s="26">
        <f t="shared" si="1"/>
        <v>145566</v>
      </c>
    </row>
    <row r="735">
      <c r="F735" s="26">
        <f>IFERROR(__xludf.DUMMYFUNCTION("""COMPUTED_VALUE"""),73.3)</f>
        <v>73.3</v>
      </c>
      <c r="G735" s="26">
        <f>IFERROR(__xludf.DUMMYFUNCTION("""COMPUTED_VALUE"""),1.677676343371E12)</f>
        <v>1677676343371</v>
      </c>
      <c r="H735" s="26">
        <f t="shared" si="1"/>
        <v>145572</v>
      </c>
    </row>
    <row r="736">
      <c r="F736" s="26">
        <f>IFERROR(__xludf.DUMMYFUNCTION("""COMPUTED_VALUE"""),73.4)</f>
        <v>73.4</v>
      </c>
      <c r="G736" s="26">
        <f>IFERROR(__xludf.DUMMYFUNCTION("""COMPUTED_VALUE"""),1.677676343376E12)</f>
        <v>1677676343376</v>
      </c>
      <c r="H736" s="26">
        <f t="shared" si="1"/>
        <v>145577</v>
      </c>
    </row>
    <row r="737">
      <c r="F737" s="26">
        <f>IFERROR(__xludf.DUMMYFUNCTION("""COMPUTED_VALUE"""),73.5)</f>
        <v>73.5</v>
      </c>
      <c r="G737" s="26">
        <f>IFERROR(__xludf.DUMMYFUNCTION("""COMPUTED_VALUE"""),1.677676343381E12)</f>
        <v>1677676343381</v>
      </c>
      <c r="H737" s="26">
        <f t="shared" si="1"/>
        <v>145582</v>
      </c>
    </row>
    <row r="738">
      <c r="F738" s="26">
        <f>IFERROR(__xludf.DUMMYFUNCTION("""COMPUTED_VALUE"""),73.6)</f>
        <v>73.6</v>
      </c>
      <c r="G738" s="26">
        <f>IFERROR(__xludf.DUMMYFUNCTION("""COMPUTED_VALUE"""),1.677676343385E12)</f>
        <v>1677676343385</v>
      </c>
      <c r="H738" s="26">
        <f t="shared" si="1"/>
        <v>145586</v>
      </c>
    </row>
    <row r="739">
      <c r="F739" s="26">
        <f>IFERROR(__xludf.DUMMYFUNCTION("""COMPUTED_VALUE"""),73.7)</f>
        <v>73.7</v>
      </c>
      <c r="G739" s="26">
        <f>IFERROR(__xludf.DUMMYFUNCTION("""COMPUTED_VALUE"""),1.677676343394E12)</f>
        <v>1677676343394</v>
      </c>
      <c r="H739" s="26">
        <f t="shared" si="1"/>
        <v>145595</v>
      </c>
    </row>
    <row r="740">
      <c r="F740" s="26">
        <f>IFERROR(__xludf.DUMMYFUNCTION("""COMPUTED_VALUE"""),73.8)</f>
        <v>73.8</v>
      </c>
      <c r="G740" s="26">
        <f>IFERROR(__xludf.DUMMYFUNCTION("""COMPUTED_VALUE"""),1.677676343401E12)</f>
        <v>1677676343401</v>
      </c>
      <c r="H740" s="26">
        <f t="shared" si="1"/>
        <v>145602</v>
      </c>
    </row>
    <row r="741">
      <c r="F741" s="26">
        <f>IFERROR(__xludf.DUMMYFUNCTION("""COMPUTED_VALUE"""),73.9)</f>
        <v>73.9</v>
      </c>
      <c r="G741" s="26">
        <f>IFERROR(__xludf.DUMMYFUNCTION("""COMPUTED_VALUE"""),1.677676343407E12)</f>
        <v>1677676343407</v>
      </c>
      <c r="H741" s="26">
        <f t="shared" si="1"/>
        <v>145608</v>
      </c>
    </row>
    <row r="742">
      <c r="F742" s="26">
        <f>IFERROR(__xludf.DUMMYFUNCTION("""COMPUTED_VALUE"""),74.0)</f>
        <v>74</v>
      </c>
      <c r="G742" s="26">
        <f>IFERROR(__xludf.DUMMYFUNCTION("""COMPUTED_VALUE"""),1.677676343416E12)</f>
        <v>1677676343416</v>
      </c>
      <c r="H742" s="26">
        <f t="shared" si="1"/>
        <v>145617</v>
      </c>
    </row>
    <row r="743">
      <c r="F743" s="26">
        <f>IFERROR(__xludf.DUMMYFUNCTION("""COMPUTED_VALUE"""),74.1)</f>
        <v>74.1</v>
      </c>
      <c r="G743" s="26">
        <f>IFERROR(__xludf.DUMMYFUNCTION("""COMPUTED_VALUE"""),1.677676343423E12)</f>
        <v>1677676343423</v>
      </c>
      <c r="H743" s="26">
        <f t="shared" si="1"/>
        <v>145624</v>
      </c>
    </row>
    <row r="744">
      <c r="F744" s="26">
        <f>IFERROR(__xludf.DUMMYFUNCTION("""COMPUTED_VALUE"""),74.2)</f>
        <v>74.2</v>
      </c>
      <c r="G744" s="26">
        <f>IFERROR(__xludf.DUMMYFUNCTION("""COMPUTED_VALUE"""),1.67767634343E12)</f>
        <v>1677676343430</v>
      </c>
      <c r="H744" s="26">
        <f t="shared" si="1"/>
        <v>145631</v>
      </c>
    </row>
    <row r="745">
      <c r="F745" s="26">
        <f>IFERROR(__xludf.DUMMYFUNCTION("""COMPUTED_VALUE"""),74.3)</f>
        <v>74.3</v>
      </c>
      <c r="G745" s="26">
        <f>IFERROR(__xludf.DUMMYFUNCTION("""COMPUTED_VALUE"""),1.677676343436E12)</f>
        <v>1677676343436</v>
      </c>
      <c r="H745" s="26">
        <f t="shared" si="1"/>
        <v>145637</v>
      </c>
    </row>
    <row r="746">
      <c r="F746" s="26">
        <f>IFERROR(__xludf.DUMMYFUNCTION("""COMPUTED_VALUE"""),74.4)</f>
        <v>74.4</v>
      </c>
      <c r="G746" s="26">
        <f>IFERROR(__xludf.DUMMYFUNCTION("""COMPUTED_VALUE"""),1.677676343444E12)</f>
        <v>1677676343444</v>
      </c>
      <c r="H746" s="26">
        <f t="shared" si="1"/>
        <v>145645</v>
      </c>
    </row>
    <row r="747">
      <c r="F747" s="26">
        <f>IFERROR(__xludf.DUMMYFUNCTION("""COMPUTED_VALUE"""),74.5)</f>
        <v>74.5</v>
      </c>
      <c r="G747" s="26">
        <f>IFERROR(__xludf.DUMMYFUNCTION("""COMPUTED_VALUE"""),1.677676343454E12)</f>
        <v>1677676343454</v>
      </c>
      <c r="H747" s="26">
        <f t="shared" si="1"/>
        <v>145655</v>
      </c>
    </row>
    <row r="748">
      <c r="F748" s="26">
        <f>IFERROR(__xludf.DUMMYFUNCTION("""COMPUTED_VALUE"""),74.6)</f>
        <v>74.6</v>
      </c>
      <c r="G748" s="26">
        <f>IFERROR(__xludf.DUMMYFUNCTION("""COMPUTED_VALUE"""),1.677676343458E12)</f>
        <v>1677676343458</v>
      </c>
      <c r="H748" s="26">
        <f t="shared" si="1"/>
        <v>145659</v>
      </c>
    </row>
    <row r="749">
      <c r="F749" s="26">
        <f>IFERROR(__xludf.DUMMYFUNCTION("""COMPUTED_VALUE"""),74.7)</f>
        <v>74.7</v>
      </c>
      <c r="G749" s="26">
        <f>IFERROR(__xludf.DUMMYFUNCTION("""COMPUTED_VALUE"""),1.677676343468E12)</f>
        <v>1677676343468</v>
      </c>
      <c r="H749" s="26">
        <f t="shared" si="1"/>
        <v>145669</v>
      </c>
    </row>
    <row r="750">
      <c r="F750" s="26">
        <f>IFERROR(__xludf.DUMMYFUNCTION("""COMPUTED_VALUE"""),74.8)</f>
        <v>74.8</v>
      </c>
      <c r="G750" s="26">
        <f>IFERROR(__xludf.DUMMYFUNCTION("""COMPUTED_VALUE"""),1.677676343478E12)</f>
        <v>1677676343478</v>
      </c>
      <c r="H750" s="26">
        <f t="shared" si="1"/>
        <v>145679</v>
      </c>
    </row>
    <row r="751">
      <c r="F751" s="26">
        <f>IFERROR(__xludf.DUMMYFUNCTION("""COMPUTED_VALUE"""),74.9)</f>
        <v>74.9</v>
      </c>
      <c r="G751" s="26">
        <f>IFERROR(__xludf.DUMMYFUNCTION("""COMPUTED_VALUE"""),1.677676343487E12)</f>
        <v>1677676343487</v>
      </c>
      <c r="H751" s="26">
        <f t="shared" si="1"/>
        <v>145688</v>
      </c>
    </row>
    <row r="752">
      <c r="F752" s="26">
        <f>IFERROR(__xludf.DUMMYFUNCTION("""COMPUTED_VALUE"""),75.0)</f>
        <v>75</v>
      </c>
      <c r="G752" s="26">
        <f>IFERROR(__xludf.DUMMYFUNCTION("""COMPUTED_VALUE"""),1.677676343492E12)</f>
        <v>1677676343492</v>
      </c>
      <c r="H752" s="26">
        <f t="shared" si="1"/>
        <v>145693</v>
      </c>
    </row>
    <row r="753">
      <c r="F753" s="26">
        <f>IFERROR(__xludf.DUMMYFUNCTION("""COMPUTED_VALUE"""),75.1)</f>
        <v>75.1</v>
      </c>
      <c r="G753" s="26">
        <f>IFERROR(__xludf.DUMMYFUNCTION("""COMPUTED_VALUE"""),1.677676343497E12)</f>
        <v>1677676343497</v>
      </c>
      <c r="H753" s="26">
        <f t="shared" si="1"/>
        <v>145698</v>
      </c>
    </row>
    <row r="754">
      <c r="F754" s="26">
        <f>IFERROR(__xludf.DUMMYFUNCTION("""COMPUTED_VALUE"""),75.2)</f>
        <v>75.2</v>
      </c>
      <c r="G754" s="26">
        <f>IFERROR(__xludf.DUMMYFUNCTION("""COMPUTED_VALUE"""),1.677676343505E12)</f>
        <v>1677676343505</v>
      </c>
      <c r="H754" s="26">
        <f t="shared" si="1"/>
        <v>145706</v>
      </c>
    </row>
    <row r="755">
      <c r="F755" s="26">
        <f>IFERROR(__xludf.DUMMYFUNCTION("""COMPUTED_VALUE"""),75.3)</f>
        <v>75.3</v>
      </c>
      <c r="G755" s="26">
        <f>IFERROR(__xludf.DUMMYFUNCTION("""COMPUTED_VALUE"""),1.677676343511E12)</f>
        <v>1677676343511</v>
      </c>
      <c r="H755" s="26">
        <f t="shared" si="1"/>
        <v>145712</v>
      </c>
    </row>
    <row r="756">
      <c r="F756" s="26">
        <f>IFERROR(__xludf.DUMMYFUNCTION("""COMPUTED_VALUE"""),75.4)</f>
        <v>75.4</v>
      </c>
      <c r="G756" s="26">
        <f>IFERROR(__xludf.DUMMYFUNCTION("""COMPUTED_VALUE"""),1.677676343517E12)</f>
        <v>1677676343517</v>
      </c>
      <c r="H756" s="26">
        <f t="shared" si="1"/>
        <v>145718</v>
      </c>
    </row>
    <row r="757">
      <c r="F757" s="26">
        <f>IFERROR(__xludf.DUMMYFUNCTION("""COMPUTED_VALUE"""),75.5)</f>
        <v>75.5</v>
      </c>
      <c r="G757" s="26">
        <f>IFERROR(__xludf.DUMMYFUNCTION("""COMPUTED_VALUE"""),1.677676343524E12)</f>
        <v>1677676343524</v>
      </c>
      <c r="H757" s="26">
        <f t="shared" si="1"/>
        <v>145725</v>
      </c>
    </row>
    <row r="758">
      <c r="F758" s="26">
        <f>IFERROR(__xludf.DUMMYFUNCTION("""COMPUTED_VALUE"""),75.6)</f>
        <v>75.6</v>
      </c>
      <c r="G758" s="26">
        <f>IFERROR(__xludf.DUMMYFUNCTION("""COMPUTED_VALUE"""),1.67767634353E12)</f>
        <v>1677676343530</v>
      </c>
      <c r="H758" s="26">
        <f t="shared" si="1"/>
        <v>145731</v>
      </c>
    </row>
    <row r="759">
      <c r="F759" s="26">
        <f>IFERROR(__xludf.DUMMYFUNCTION("""COMPUTED_VALUE"""),75.7)</f>
        <v>75.7</v>
      </c>
      <c r="G759" s="26">
        <f>IFERROR(__xludf.DUMMYFUNCTION("""COMPUTED_VALUE"""),1.677676343536E12)</f>
        <v>1677676343536</v>
      </c>
      <c r="H759" s="26">
        <f t="shared" si="1"/>
        <v>145737</v>
      </c>
    </row>
    <row r="760">
      <c r="F760" s="26">
        <f>IFERROR(__xludf.DUMMYFUNCTION("""COMPUTED_VALUE"""),75.8)</f>
        <v>75.8</v>
      </c>
      <c r="G760" s="26">
        <f>IFERROR(__xludf.DUMMYFUNCTION("""COMPUTED_VALUE"""),1.677676343542E12)</f>
        <v>1677676343542</v>
      </c>
      <c r="H760" s="26">
        <f t="shared" si="1"/>
        <v>145743</v>
      </c>
    </row>
    <row r="761">
      <c r="F761" s="26">
        <f>IFERROR(__xludf.DUMMYFUNCTION("""COMPUTED_VALUE"""),75.9)</f>
        <v>75.9</v>
      </c>
      <c r="G761" s="26">
        <f>IFERROR(__xludf.DUMMYFUNCTION("""COMPUTED_VALUE"""),1.677676343548E12)</f>
        <v>1677676343548</v>
      </c>
      <c r="H761" s="26">
        <f t="shared" si="1"/>
        <v>145749</v>
      </c>
    </row>
    <row r="762">
      <c r="F762" s="26">
        <f>IFERROR(__xludf.DUMMYFUNCTION("""COMPUTED_VALUE"""),76.0)</f>
        <v>76</v>
      </c>
      <c r="G762" s="26">
        <f>IFERROR(__xludf.DUMMYFUNCTION("""COMPUTED_VALUE"""),1.677676343555E12)</f>
        <v>1677676343555</v>
      </c>
      <c r="H762" s="26">
        <f t="shared" si="1"/>
        <v>145756</v>
      </c>
    </row>
    <row r="763">
      <c r="F763" s="26">
        <f>IFERROR(__xludf.DUMMYFUNCTION("""COMPUTED_VALUE"""),76.1)</f>
        <v>76.1</v>
      </c>
      <c r="G763" s="26">
        <f>IFERROR(__xludf.DUMMYFUNCTION("""COMPUTED_VALUE"""),1.677676343562E12)</f>
        <v>1677676343562</v>
      </c>
      <c r="H763" s="26">
        <f t="shared" si="1"/>
        <v>145763</v>
      </c>
    </row>
    <row r="764">
      <c r="F764" s="26">
        <f>IFERROR(__xludf.DUMMYFUNCTION("""COMPUTED_VALUE"""),76.2)</f>
        <v>76.2</v>
      </c>
      <c r="G764" s="26">
        <f>IFERROR(__xludf.DUMMYFUNCTION("""COMPUTED_VALUE"""),1.677676343566E12)</f>
        <v>1677676343566</v>
      </c>
      <c r="H764" s="26">
        <f t="shared" si="1"/>
        <v>145767</v>
      </c>
    </row>
    <row r="765">
      <c r="F765" s="26">
        <f>IFERROR(__xludf.DUMMYFUNCTION("""COMPUTED_VALUE"""),76.3)</f>
        <v>76.3</v>
      </c>
      <c r="G765" s="26">
        <f>IFERROR(__xludf.DUMMYFUNCTION("""COMPUTED_VALUE"""),1.677676343577E12)</f>
        <v>1677676343577</v>
      </c>
      <c r="H765" s="26">
        <f t="shared" si="1"/>
        <v>145778</v>
      </c>
    </row>
    <row r="766">
      <c r="F766" s="26">
        <f>IFERROR(__xludf.DUMMYFUNCTION("""COMPUTED_VALUE"""),76.4)</f>
        <v>76.4</v>
      </c>
      <c r="G766" s="26">
        <f>IFERROR(__xludf.DUMMYFUNCTION("""COMPUTED_VALUE"""),1.677676343586E12)</f>
        <v>1677676343586</v>
      </c>
      <c r="H766" s="26">
        <f t="shared" si="1"/>
        <v>145787</v>
      </c>
    </row>
    <row r="767">
      <c r="F767" s="26">
        <f>IFERROR(__xludf.DUMMYFUNCTION("""COMPUTED_VALUE"""),76.5)</f>
        <v>76.5</v>
      </c>
      <c r="G767" s="26">
        <f>IFERROR(__xludf.DUMMYFUNCTION("""COMPUTED_VALUE"""),1.677676343593E12)</f>
        <v>1677676343593</v>
      </c>
      <c r="H767" s="26">
        <f t="shared" si="1"/>
        <v>145794</v>
      </c>
    </row>
    <row r="768">
      <c r="F768" s="26">
        <f>IFERROR(__xludf.DUMMYFUNCTION("""COMPUTED_VALUE"""),76.6)</f>
        <v>76.6</v>
      </c>
      <c r="G768" s="26">
        <f>IFERROR(__xludf.DUMMYFUNCTION("""COMPUTED_VALUE"""),1.677676343599E12)</f>
        <v>1677676343599</v>
      </c>
      <c r="H768" s="26">
        <f t="shared" si="1"/>
        <v>145800</v>
      </c>
    </row>
    <row r="769">
      <c r="F769" s="26">
        <f>IFERROR(__xludf.DUMMYFUNCTION("""COMPUTED_VALUE"""),76.7)</f>
        <v>76.7</v>
      </c>
      <c r="G769" s="26">
        <f>IFERROR(__xludf.DUMMYFUNCTION("""COMPUTED_VALUE"""),1.677676343604E12)</f>
        <v>1677676343604</v>
      </c>
      <c r="H769" s="26">
        <f t="shared" si="1"/>
        <v>145805</v>
      </c>
    </row>
    <row r="770">
      <c r="F770" s="26">
        <f>IFERROR(__xludf.DUMMYFUNCTION("""COMPUTED_VALUE"""),76.8)</f>
        <v>76.8</v>
      </c>
      <c r="G770" s="26">
        <f>IFERROR(__xludf.DUMMYFUNCTION("""COMPUTED_VALUE"""),1.67767634361E12)</f>
        <v>1677676343610</v>
      </c>
      <c r="H770" s="26">
        <f t="shared" si="1"/>
        <v>145811</v>
      </c>
    </row>
    <row r="771">
      <c r="F771" s="26">
        <f>IFERROR(__xludf.DUMMYFUNCTION("""COMPUTED_VALUE"""),76.9)</f>
        <v>76.9</v>
      </c>
      <c r="G771" s="26">
        <f>IFERROR(__xludf.DUMMYFUNCTION("""COMPUTED_VALUE"""),1.677676343616E12)</f>
        <v>1677676343616</v>
      </c>
      <c r="H771" s="26">
        <f t="shared" si="1"/>
        <v>145817</v>
      </c>
    </row>
    <row r="772">
      <c r="F772" s="26">
        <f>IFERROR(__xludf.DUMMYFUNCTION("""COMPUTED_VALUE"""),77.0)</f>
        <v>77</v>
      </c>
      <c r="G772" s="26">
        <f>IFERROR(__xludf.DUMMYFUNCTION("""COMPUTED_VALUE"""),1.677676343622E12)</f>
        <v>1677676343622</v>
      </c>
      <c r="H772" s="26">
        <f t="shared" si="1"/>
        <v>145823</v>
      </c>
    </row>
    <row r="773">
      <c r="F773" s="26">
        <f>IFERROR(__xludf.DUMMYFUNCTION("""COMPUTED_VALUE"""),77.1)</f>
        <v>77.1</v>
      </c>
      <c r="G773" s="26">
        <f>IFERROR(__xludf.DUMMYFUNCTION("""COMPUTED_VALUE"""),1.677676343627E12)</f>
        <v>1677676343627</v>
      </c>
      <c r="H773" s="26">
        <f t="shared" si="1"/>
        <v>145828</v>
      </c>
    </row>
    <row r="774">
      <c r="F774" s="26">
        <f>IFERROR(__xludf.DUMMYFUNCTION("""COMPUTED_VALUE"""),77.2)</f>
        <v>77.2</v>
      </c>
      <c r="G774" s="26">
        <f>IFERROR(__xludf.DUMMYFUNCTION("""COMPUTED_VALUE"""),1.677676343634E12)</f>
        <v>1677676343634</v>
      </c>
      <c r="H774" s="26">
        <f t="shared" si="1"/>
        <v>145835</v>
      </c>
    </row>
    <row r="775">
      <c r="F775" s="26">
        <f>IFERROR(__xludf.DUMMYFUNCTION("""COMPUTED_VALUE"""),77.3)</f>
        <v>77.3</v>
      </c>
      <c r="G775" s="26">
        <f>IFERROR(__xludf.DUMMYFUNCTION("""COMPUTED_VALUE"""),1.67767634364E12)</f>
        <v>1677676343640</v>
      </c>
      <c r="H775" s="26">
        <f t="shared" si="1"/>
        <v>145841</v>
      </c>
    </row>
    <row r="776">
      <c r="F776" s="26">
        <f>IFERROR(__xludf.DUMMYFUNCTION("""COMPUTED_VALUE"""),77.4)</f>
        <v>77.4</v>
      </c>
      <c r="G776" s="26">
        <f>IFERROR(__xludf.DUMMYFUNCTION("""COMPUTED_VALUE"""),1.677676343647E12)</f>
        <v>1677676343647</v>
      </c>
      <c r="H776" s="26">
        <f t="shared" si="1"/>
        <v>145848</v>
      </c>
    </row>
    <row r="777">
      <c r="F777" s="26">
        <f>IFERROR(__xludf.DUMMYFUNCTION("""COMPUTED_VALUE"""),77.5)</f>
        <v>77.5</v>
      </c>
      <c r="G777" s="26">
        <f>IFERROR(__xludf.DUMMYFUNCTION("""COMPUTED_VALUE"""),1.677676343651E12)</f>
        <v>1677676343651</v>
      </c>
      <c r="H777" s="26">
        <f t="shared" si="1"/>
        <v>145852</v>
      </c>
    </row>
    <row r="778">
      <c r="F778" s="26">
        <f>IFERROR(__xludf.DUMMYFUNCTION("""COMPUTED_VALUE"""),77.6)</f>
        <v>77.6</v>
      </c>
      <c r="G778" s="26">
        <f>IFERROR(__xludf.DUMMYFUNCTION("""COMPUTED_VALUE"""),1.677676343657E12)</f>
        <v>1677676343657</v>
      </c>
      <c r="H778" s="26">
        <f t="shared" si="1"/>
        <v>145858</v>
      </c>
    </row>
    <row r="779">
      <c r="F779" s="26">
        <f>IFERROR(__xludf.DUMMYFUNCTION("""COMPUTED_VALUE"""),77.7)</f>
        <v>77.7</v>
      </c>
      <c r="G779" s="26">
        <f>IFERROR(__xludf.DUMMYFUNCTION("""COMPUTED_VALUE"""),1.677676343663E12)</f>
        <v>1677676343663</v>
      </c>
      <c r="H779" s="26">
        <f t="shared" si="1"/>
        <v>145864</v>
      </c>
    </row>
    <row r="780">
      <c r="F780" s="26">
        <f>IFERROR(__xludf.DUMMYFUNCTION("""COMPUTED_VALUE"""),77.8)</f>
        <v>77.8</v>
      </c>
      <c r="G780" s="26">
        <f>IFERROR(__xludf.DUMMYFUNCTION("""COMPUTED_VALUE"""),1.677676343667E12)</f>
        <v>1677676343667</v>
      </c>
      <c r="H780" s="26">
        <f t="shared" si="1"/>
        <v>145868</v>
      </c>
    </row>
    <row r="781">
      <c r="F781" s="26">
        <f>IFERROR(__xludf.DUMMYFUNCTION("""COMPUTED_VALUE"""),77.9)</f>
        <v>77.9</v>
      </c>
      <c r="G781" s="26">
        <f>IFERROR(__xludf.DUMMYFUNCTION("""COMPUTED_VALUE"""),1.677676343674E12)</f>
        <v>1677676343674</v>
      </c>
      <c r="H781" s="26">
        <f t="shared" si="1"/>
        <v>145875</v>
      </c>
    </row>
    <row r="782">
      <c r="F782" s="26">
        <f>IFERROR(__xludf.DUMMYFUNCTION("""COMPUTED_VALUE"""),78.0)</f>
        <v>78</v>
      </c>
      <c r="G782" s="26">
        <f>IFERROR(__xludf.DUMMYFUNCTION("""COMPUTED_VALUE"""),1.67767634368E12)</f>
        <v>1677676343680</v>
      </c>
      <c r="H782" s="26">
        <f t="shared" si="1"/>
        <v>145881</v>
      </c>
    </row>
    <row r="783">
      <c r="F783" s="26">
        <f>IFERROR(__xludf.DUMMYFUNCTION("""COMPUTED_VALUE"""),78.1)</f>
        <v>78.1</v>
      </c>
      <c r="G783" s="26">
        <f>IFERROR(__xludf.DUMMYFUNCTION("""COMPUTED_VALUE"""),1.677676343686E12)</f>
        <v>1677676343686</v>
      </c>
      <c r="H783" s="26">
        <f t="shared" si="1"/>
        <v>145887</v>
      </c>
    </row>
    <row r="784">
      <c r="F784" s="26">
        <f>IFERROR(__xludf.DUMMYFUNCTION("""COMPUTED_VALUE"""),78.2)</f>
        <v>78.2</v>
      </c>
      <c r="G784" s="26">
        <f>IFERROR(__xludf.DUMMYFUNCTION("""COMPUTED_VALUE"""),1.677676343694E12)</f>
        <v>1677676343694</v>
      </c>
      <c r="H784" s="26">
        <f t="shared" si="1"/>
        <v>145895</v>
      </c>
    </row>
    <row r="785">
      <c r="F785" s="26">
        <f>IFERROR(__xludf.DUMMYFUNCTION("""COMPUTED_VALUE"""),78.3)</f>
        <v>78.3</v>
      </c>
      <c r="G785" s="26">
        <f>IFERROR(__xludf.DUMMYFUNCTION("""COMPUTED_VALUE"""),1.677676343701E12)</f>
        <v>1677676343701</v>
      </c>
      <c r="H785" s="26">
        <f t="shared" si="1"/>
        <v>145902</v>
      </c>
    </row>
    <row r="786">
      <c r="F786" s="26">
        <f>IFERROR(__xludf.DUMMYFUNCTION("""COMPUTED_VALUE"""),78.4)</f>
        <v>78.4</v>
      </c>
      <c r="G786" s="26">
        <f>IFERROR(__xludf.DUMMYFUNCTION("""COMPUTED_VALUE"""),1.677676343705E12)</f>
        <v>1677676343705</v>
      </c>
      <c r="H786" s="26">
        <f t="shared" si="1"/>
        <v>145906</v>
      </c>
    </row>
    <row r="787">
      <c r="F787" s="26">
        <f>IFERROR(__xludf.DUMMYFUNCTION("""COMPUTED_VALUE"""),78.5)</f>
        <v>78.5</v>
      </c>
      <c r="G787" s="26">
        <f>IFERROR(__xludf.DUMMYFUNCTION("""COMPUTED_VALUE"""),1.677676343713E12)</f>
        <v>1677676343713</v>
      </c>
      <c r="H787" s="26">
        <f t="shared" si="1"/>
        <v>145914</v>
      </c>
    </row>
    <row r="788">
      <c r="F788" s="26">
        <f>IFERROR(__xludf.DUMMYFUNCTION("""COMPUTED_VALUE"""),78.6)</f>
        <v>78.6</v>
      </c>
      <c r="G788" s="26">
        <f>IFERROR(__xludf.DUMMYFUNCTION("""COMPUTED_VALUE"""),1.677676343718E12)</f>
        <v>1677676343718</v>
      </c>
      <c r="H788" s="26">
        <f t="shared" si="1"/>
        <v>145919</v>
      </c>
    </row>
    <row r="789">
      <c r="F789" s="26">
        <f>IFERROR(__xludf.DUMMYFUNCTION("""COMPUTED_VALUE"""),78.7)</f>
        <v>78.7</v>
      </c>
      <c r="G789" s="26">
        <f>IFERROR(__xludf.DUMMYFUNCTION("""COMPUTED_VALUE"""),1.677676343725E12)</f>
        <v>1677676343725</v>
      </c>
      <c r="H789" s="26">
        <f t="shared" si="1"/>
        <v>145926</v>
      </c>
    </row>
    <row r="790">
      <c r="F790" s="26">
        <f>IFERROR(__xludf.DUMMYFUNCTION("""COMPUTED_VALUE"""),78.8)</f>
        <v>78.8</v>
      </c>
      <c r="G790" s="26">
        <f>IFERROR(__xludf.DUMMYFUNCTION("""COMPUTED_VALUE"""),1.677676343731E12)</f>
        <v>1677676343731</v>
      </c>
      <c r="H790" s="26">
        <f t="shared" si="1"/>
        <v>145932</v>
      </c>
    </row>
    <row r="791">
      <c r="F791" s="26">
        <f>IFERROR(__xludf.DUMMYFUNCTION("""COMPUTED_VALUE"""),78.9)</f>
        <v>78.9</v>
      </c>
      <c r="G791" s="26">
        <f>IFERROR(__xludf.DUMMYFUNCTION("""COMPUTED_VALUE"""),1.677676343737E12)</f>
        <v>1677676343737</v>
      </c>
      <c r="H791" s="26">
        <f t="shared" si="1"/>
        <v>145938</v>
      </c>
    </row>
    <row r="792">
      <c r="F792" s="26">
        <f>IFERROR(__xludf.DUMMYFUNCTION("""COMPUTED_VALUE"""),79.0)</f>
        <v>79</v>
      </c>
      <c r="G792" s="26">
        <f>IFERROR(__xludf.DUMMYFUNCTION("""COMPUTED_VALUE"""),1.677676343741E12)</f>
        <v>1677676343741</v>
      </c>
      <c r="H792" s="26">
        <f t="shared" si="1"/>
        <v>145942</v>
      </c>
    </row>
    <row r="793">
      <c r="F793" s="26">
        <f>IFERROR(__xludf.DUMMYFUNCTION("""COMPUTED_VALUE"""),79.1)</f>
        <v>79.1</v>
      </c>
      <c r="G793" s="26">
        <f>IFERROR(__xludf.DUMMYFUNCTION("""COMPUTED_VALUE"""),1.677676343746E12)</f>
        <v>1677676343746</v>
      </c>
      <c r="H793" s="26">
        <f t="shared" si="1"/>
        <v>145947</v>
      </c>
    </row>
    <row r="794">
      <c r="F794" s="26">
        <f>IFERROR(__xludf.DUMMYFUNCTION("""COMPUTED_VALUE"""),79.2)</f>
        <v>79.2</v>
      </c>
      <c r="G794" s="26">
        <f>IFERROR(__xludf.DUMMYFUNCTION("""COMPUTED_VALUE"""),1.677676343752E12)</f>
        <v>1677676343752</v>
      </c>
      <c r="H794" s="26">
        <f t="shared" si="1"/>
        <v>145953</v>
      </c>
    </row>
    <row r="795">
      <c r="F795" s="26">
        <f>IFERROR(__xludf.DUMMYFUNCTION("""COMPUTED_VALUE"""),79.3)</f>
        <v>79.3</v>
      </c>
      <c r="G795" s="26">
        <f>IFERROR(__xludf.DUMMYFUNCTION("""COMPUTED_VALUE"""),1.677676343757E12)</f>
        <v>1677676343757</v>
      </c>
      <c r="H795" s="26">
        <f t="shared" si="1"/>
        <v>145958</v>
      </c>
    </row>
    <row r="796">
      <c r="F796" s="26">
        <f>IFERROR(__xludf.DUMMYFUNCTION("""COMPUTED_VALUE"""),79.4)</f>
        <v>79.4</v>
      </c>
      <c r="G796" s="26">
        <f>IFERROR(__xludf.DUMMYFUNCTION("""COMPUTED_VALUE"""),1.677676343761E12)</f>
        <v>1677676343761</v>
      </c>
      <c r="H796" s="26">
        <f t="shared" si="1"/>
        <v>145962</v>
      </c>
    </row>
    <row r="797">
      <c r="F797" s="26">
        <f>IFERROR(__xludf.DUMMYFUNCTION("""COMPUTED_VALUE"""),79.5)</f>
        <v>79.5</v>
      </c>
      <c r="G797" s="26">
        <f>IFERROR(__xludf.DUMMYFUNCTION("""COMPUTED_VALUE"""),1.677676343766E12)</f>
        <v>1677676343766</v>
      </c>
      <c r="H797" s="26">
        <f t="shared" si="1"/>
        <v>145967</v>
      </c>
    </row>
    <row r="798">
      <c r="F798" s="26">
        <f>IFERROR(__xludf.DUMMYFUNCTION("""COMPUTED_VALUE"""),79.6)</f>
        <v>79.6</v>
      </c>
      <c r="G798" s="26">
        <f>IFERROR(__xludf.DUMMYFUNCTION("""COMPUTED_VALUE"""),1.677676343773E12)</f>
        <v>1677676343773</v>
      </c>
      <c r="H798" s="26">
        <f t="shared" si="1"/>
        <v>145974</v>
      </c>
    </row>
    <row r="799">
      <c r="F799" s="26">
        <f>IFERROR(__xludf.DUMMYFUNCTION("""COMPUTED_VALUE"""),79.7)</f>
        <v>79.7</v>
      </c>
      <c r="G799" s="26">
        <f>IFERROR(__xludf.DUMMYFUNCTION("""COMPUTED_VALUE"""),1.677676343777E12)</f>
        <v>1677676343777</v>
      </c>
      <c r="H799" s="26">
        <f t="shared" si="1"/>
        <v>145978</v>
      </c>
    </row>
    <row r="800">
      <c r="F800" s="26">
        <f>IFERROR(__xludf.DUMMYFUNCTION("""COMPUTED_VALUE"""),79.8)</f>
        <v>79.8</v>
      </c>
      <c r="G800" s="26">
        <f>IFERROR(__xludf.DUMMYFUNCTION("""COMPUTED_VALUE"""),1.677676343782E12)</f>
        <v>1677676343782</v>
      </c>
      <c r="H800" s="26">
        <f t="shared" si="1"/>
        <v>145983</v>
      </c>
    </row>
    <row r="801">
      <c r="F801" s="26">
        <f>IFERROR(__xludf.DUMMYFUNCTION("""COMPUTED_VALUE"""),79.9)</f>
        <v>79.9</v>
      </c>
      <c r="G801" s="26">
        <f>IFERROR(__xludf.DUMMYFUNCTION("""COMPUTED_VALUE"""),1.677676343788E12)</f>
        <v>1677676343788</v>
      </c>
      <c r="H801" s="26">
        <f t="shared" si="1"/>
        <v>145989</v>
      </c>
    </row>
    <row r="802">
      <c r="F802" s="26">
        <f>IFERROR(__xludf.DUMMYFUNCTION("""COMPUTED_VALUE"""),80.0)</f>
        <v>80</v>
      </c>
      <c r="G802" s="26">
        <f>IFERROR(__xludf.DUMMYFUNCTION("""COMPUTED_VALUE"""),1.677676343794E12)</f>
        <v>1677676343794</v>
      </c>
      <c r="H802" s="26">
        <f t="shared" si="1"/>
        <v>145995</v>
      </c>
    </row>
    <row r="803">
      <c r="F803" s="26">
        <f>IFERROR(__xludf.DUMMYFUNCTION("""COMPUTED_VALUE"""),80.1)</f>
        <v>80.1</v>
      </c>
      <c r="G803" s="26">
        <f>IFERROR(__xludf.DUMMYFUNCTION("""COMPUTED_VALUE"""),1.677676343801E12)</f>
        <v>1677676343801</v>
      </c>
      <c r="H803" s="26">
        <f t="shared" si="1"/>
        <v>146002</v>
      </c>
    </row>
    <row r="804">
      <c r="F804" s="26">
        <f>IFERROR(__xludf.DUMMYFUNCTION("""COMPUTED_VALUE"""),80.2)</f>
        <v>80.2</v>
      </c>
      <c r="G804" s="26">
        <f>IFERROR(__xludf.DUMMYFUNCTION("""COMPUTED_VALUE"""),1.677676343806E12)</f>
        <v>1677676343806</v>
      </c>
      <c r="H804" s="26">
        <f t="shared" si="1"/>
        <v>146007</v>
      </c>
    </row>
    <row r="805">
      <c r="F805" s="26">
        <f>IFERROR(__xludf.DUMMYFUNCTION("""COMPUTED_VALUE"""),80.3)</f>
        <v>80.3</v>
      </c>
      <c r="G805" s="26">
        <f>IFERROR(__xludf.DUMMYFUNCTION("""COMPUTED_VALUE"""),1.677676343814E12)</f>
        <v>1677676343814</v>
      </c>
      <c r="H805" s="26">
        <f t="shared" si="1"/>
        <v>146015</v>
      </c>
    </row>
    <row r="806">
      <c r="F806" s="26">
        <f>IFERROR(__xludf.DUMMYFUNCTION("""COMPUTED_VALUE"""),80.4)</f>
        <v>80.4</v>
      </c>
      <c r="G806" s="26">
        <f>IFERROR(__xludf.DUMMYFUNCTION("""COMPUTED_VALUE"""),1.67767634382E12)</f>
        <v>1677676343820</v>
      </c>
      <c r="H806" s="26">
        <f t="shared" si="1"/>
        <v>146021</v>
      </c>
    </row>
    <row r="807">
      <c r="F807" s="26">
        <f>IFERROR(__xludf.DUMMYFUNCTION("""COMPUTED_VALUE"""),80.5)</f>
        <v>80.5</v>
      </c>
      <c r="G807" s="26">
        <f>IFERROR(__xludf.DUMMYFUNCTION("""COMPUTED_VALUE"""),1.677676343826E12)</f>
        <v>1677676343826</v>
      </c>
      <c r="H807" s="26">
        <f t="shared" si="1"/>
        <v>146027</v>
      </c>
    </row>
    <row r="808">
      <c r="F808" s="26">
        <f>IFERROR(__xludf.DUMMYFUNCTION("""COMPUTED_VALUE"""),80.6)</f>
        <v>80.6</v>
      </c>
      <c r="G808" s="26">
        <f>IFERROR(__xludf.DUMMYFUNCTION("""COMPUTED_VALUE"""),1.677676343833E12)</f>
        <v>1677676343833</v>
      </c>
      <c r="H808" s="26">
        <f t="shared" si="1"/>
        <v>146034</v>
      </c>
    </row>
    <row r="809">
      <c r="F809" s="26">
        <f>IFERROR(__xludf.DUMMYFUNCTION("""COMPUTED_VALUE"""),80.7)</f>
        <v>80.7</v>
      </c>
      <c r="G809" s="26">
        <f>IFERROR(__xludf.DUMMYFUNCTION("""COMPUTED_VALUE"""),1.677676343837E12)</f>
        <v>1677676343837</v>
      </c>
      <c r="H809" s="26">
        <f t="shared" si="1"/>
        <v>146038</v>
      </c>
    </row>
    <row r="810">
      <c r="F810" s="26">
        <f>IFERROR(__xludf.DUMMYFUNCTION("""COMPUTED_VALUE"""),80.8)</f>
        <v>80.8</v>
      </c>
      <c r="G810" s="26">
        <f>IFERROR(__xludf.DUMMYFUNCTION("""COMPUTED_VALUE"""),1.677676343844E12)</f>
        <v>1677676343844</v>
      </c>
      <c r="H810" s="26">
        <f t="shared" si="1"/>
        <v>146045</v>
      </c>
    </row>
    <row r="811">
      <c r="F811" s="26">
        <f>IFERROR(__xludf.DUMMYFUNCTION("""COMPUTED_VALUE"""),80.9)</f>
        <v>80.9</v>
      </c>
      <c r="G811" s="26">
        <f>IFERROR(__xludf.DUMMYFUNCTION("""COMPUTED_VALUE"""),1.67767634385E12)</f>
        <v>1677676343850</v>
      </c>
      <c r="H811" s="26">
        <f t="shared" si="1"/>
        <v>146051</v>
      </c>
    </row>
    <row r="812">
      <c r="F812" s="26">
        <f>IFERROR(__xludf.DUMMYFUNCTION("""COMPUTED_VALUE"""),81.0)</f>
        <v>81</v>
      </c>
      <c r="G812" s="26">
        <f>IFERROR(__xludf.DUMMYFUNCTION("""COMPUTED_VALUE"""),1.677676343856E12)</f>
        <v>1677676343856</v>
      </c>
      <c r="H812" s="26">
        <f t="shared" si="1"/>
        <v>146057</v>
      </c>
    </row>
    <row r="813">
      <c r="F813" s="26">
        <f>IFERROR(__xludf.DUMMYFUNCTION("""COMPUTED_VALUE"""),81.1)</f>
        <v>81.1</v>
      </c>
      <c r="G813" s="26">
        <f>IFERROR(__xludf.DUMMYFUNCTION("""COMPUTED_VALUE"""),1.677676343863E12)</f>
        <v>1677676343863</v>
      </c>
      <c r="H813" s="26">
        <f t="shared" si="1"/>
        <v>146064</v>
      </c>
    </row>
    <row r="814">
      <c r="F814" s="26">
        <f>IFERROR(__xludf.DUMMYFUNCTION("""COMPUTED_VALUE"""),81.2)</f>
        <v>81.2</v>
      </c>
      <c r="G814" s="26">
        <f>IFERROR(__xludf.DUMMYFUNCTION("""COMPUTED_VALUE"""),1.677676343871E12)</f>
        <v>1677676343871</v>
      </c>
      <c r="H814" s="26">
        <f t="shared" si="1"/>
        <v>146072</v>
      </c>
    </row>
    <row r="815">
      <c r="F815" s="26">
        <f>IFERROR(__xludf.DUMMYFUNCTION("""COMPUTED_VALUE"""),81.3)</f>
        <v>81.3</v>
      </c>
      <c r="G815" s="26">
        <f>IFERROR(__xludf.DUMMYFUNCTION("""COMPUTED_VALUE"""),1.67767634388E12)</f>
        <v>1677676343880</v>
      </c>
      <c r="H815" s="26">
        <f t="shared" si="1"/>
        <v>146081</v>
      </c>
    </row>
    <row r="816">
      <c r="F816" s="26">
        <f>IFERROR(__xludf.DUMMYFUNCTION("""COMPUTED_VALUE"""),81.4)</f>
        <v>81.4</v>
      </c>
      <c r="G816" s="26">
        <f>IFERROR(__xludf.DUMMYFUNCTION("""COMPUTED_VALUE"""),1.677676343888E12)</f>
        <v>1677676343888</v>
      </c>
      <c r="H816" s="26">
        <f t="shared" si="1"/>
        <v>146089</v>
      </c>
    </row>
    <row r="817">
      <c r="F817" s="26">
        <f>IFERROR(__xludf.DUMMYFUNCTION("""COMPUTED_VALUE"""),81.5)</f>
        <v>81.5</v>
      </c>
      <c r="G817" s="26">
        <f>IFERROR(__xludf.DUMMYFUNCTION("""COMPUTED_VALUE"""),1.677676343895E12)</f>
        <v>1677676343895</v>
      </c>
      <c r="H817" s="26">
        <f t="shared" si="1"/>
        <v>146096</v>
      </c>
    </row>
    <row r="818">
      <c r="F818" s="26">
        <f>IFERROR(__xludf.DUMMYFUNCTION("""COMPUTED_VALUE"""),81.6)</f>
        <v>81.6</v>
      </c>
      <c r="G818" s="26">
        <f>IFERROR(__xludf.DUMMYFUNCTION("""COMPUTED_VALUE"""),1.6776763439E12)</f>
        <v>1677676343900</v>
      </c>
      <c r="H818" s="26">
        <f t="shared" si="1"/>
        <v>146101</v>
      </c>
    </row>
    <row r="819">
      <c r="F819" s="26">
        <f>IFERROR(__xludf.DUMMYFUNCTION("""COMPUTED_VALUE"""),81.7)</f>
        <v>81.7</v>
      </c>
      <c r="G819" s="26">
        <f>IFERROR(__xludf.DUMMYFUNCTION("""COMPUTED_VALUE"""),1.677676343906E12)</f>
        <v>1677676343906</v>
      </c>
      <c r="H819" s="26">
        <f t="shared" si="1"/>
        <v>146107</v>
      </c>
    </row>
    <row r="820">
      <c r="F820" s="26">
        <f>IFERROR(__xludf.DUMMYFUNCTION("""COMPUTED_VALUE"""),81.8)</f>
        <v>81.8</v>
      </c>
      <c r="G820" s="26">
        <f>IFERROR(__xludf.DUMMYFUNCTION("""COMPUTED_VALUE"""),1.677676343913E12)</f>
        <v>1677676343913</v>
      </c>
      <c r="H820" s="26">
        <f t="shared" si="1"/>
        <v>146114</v>
      </c>
    </row>
    <row r="821">
      <c r="F821" s="26">
        <f>IFERROR(__xludf.DUMMYFUNCTION("""COMPUTED_VALUE"""),81.9)</f>
        <v>81.9</v>
      </c>
      <c r="G821" s="26">
        <f>IFERROR(__xludf.DUMMYFUNCTION("""COMPUTED_VALUE"""),1.677676343918E12)</f>
        <v>1677676343918</v>
      </c>
      <c r="H821" s="26">
        <f t="shared" si="1"/>
        <v>146119</v>
      </c>
    </row>
    <row r="822">
      <c r="F822" s="26">
        <f>IFERROR(__xludf.DUMMYFUNCTION("""COMPUTED_VALUE"""),82.0)</f>
        <v>82</v>
      </c>
      <c r="G822" s="26">
        <f>IFERROR(__xludf.DUMMYFUNCTION("""COMPUTED_VALUE"""),1.677676343924E12)</f>
        <v>1677676343924</v>
      </c>
      <c r="H822" s="26">
        <f t="shared" si="1"/>
        <v>146125</v>
      </c>
    </row>
    <row r="823">
      <c r="F823" s="26">
        <f>IFERROR(__xludf.DUMMYFUNCTION("""COMPUTED_VALUE"""),82.1)</f>
        <v>82.1</v>
      </c>
      <c r="G823" s="26">
        <f>IFERROR(__xludf.DUMMYFUNCTION("""COMPUTED_VALUE"""),1.677676343931E12)</f>
        <v>1677676343931</v>
      </c>
      <c r="H823" s="26">
        <f t="shared" si="1"/>
        <v>146132</v>
      </c>
    </row>
    <row r="824">
      <c r="F824" s="26">
        <f>IFERROR(__xludf.DUMMYFUNCTION("""COMPUTED_VALUE"""),82.2)</f>
        <v>82.2</v>
      </c>
      <c r="G824" s="26">
        <f>IFERROR(__xludf.DUMMYFUNCTION("""COMPUTED_VALUE"""),1.677676343936E12)</f>
        <v>1677676343936</v>
      </c>
      <c r="H824" s="26">
        <f t="shared" si="1"/>
        <v>146137</v>
      </c>
    </row>
    <row r="825">
      <c r="F825" s="26">
        <f>IFERROR(__xludf.DUMMYFUNCTION("""COMPUTED_VALUE"""),82.3)</f>
        <v>82.3</v>
      </c>
      <c r="G825" s="26">
        <f>IFERROR(__xludf.DUMMYFUNCTION("""COMPUTED_VALUE"""),1.677676343943E12)</f>
        <v>1677676343943</v>
      </c>
      <c r="H825" s="26">
        <f t="shared" si="1"/>
        <v>146144</v>
      </c>
    </row>
    <row r="826">
      <c r="F826" s="26">
        <f>IFERROR(__xludf.DUMMYFUNCTION("""COMPUTED_VALUE"""),82.4)</f>
        <v>82.4</v>
      </c>
      <c r="G826" s="26">
        <f>IFERROR(__xludf.DUMMYFUNCTION("""COMPUTED_VALUE"""),1.677676343949E12)</f>
        <v>1677676343949</v>
      </c>
      <c r="H826" s="26">
        <f t="shared" si="1"/>
        <v>146150</v>
      </c>
    </row>
    <row r="827">
      <c r="F827" s="26">
        <f>IFERROR(__xludf.DUMMYFUNCTION("""COMPUTED_VALUE"""),82.5)</f>
        <v>82.5</v>
      </c>
      <c r="G827" s="26">
        <f>IFERROR(__xludf.DUMMYFUNCTION("""COMPUTED_VALUE"""),1.677676343954E12)</f>
        <v>1677676343954</v>
      </c>
      <c r="H827" s="26">
        <f t="shared" si="1"/>
        <v>146155</v>
      </c>
    </row>
    <row r="828">
      <c r="F828" s="26">
        <f>IFERROR(__xludf.DUMMYFUNCTION("""COMPUTED_VALUE"""),82.6)</f>
        <v>82.6</v>
      </c>
      <c r="G828" s="26">
        <f>IFERROR(__xludf.DUMMYFUNCTION("""COMPUTED_VALUE"""),1.677676343959E12)</f>
        <v>1677676343959</v>
      </c>
      <c r="H828" s="26">
        <f t="shared" si="1"/>
        <v>146160</v>
      </c>
    </row>
    <row r="829">
      <c r="F829" s="26">
        <f>IFERROR(__xludf.DUMMYFUNCTION("""COMPUTED_VALUE"""),82.7)</f>
        <v>82.7</v>
      </c>
      <c r="G829" s="26">
        <f>IFERROR(__xludf.DUMMYFUNCTION("""COMPUTED_VALUE"""),1.677676343965E12)</f>
        <v>1677676343965</v>
      </c>
      <c r="H829" s="26">
        <f t="shared" si="1"/>
        <v>146166</v>
      </c>
    </row>
    <row r="830">
      <c r="F830" s="26">
        <f>IFERROR(__xludf.DUMMYFUNCTION("""COMPUTED_VALUE"""),82.8)</f>
        <v>82.8</v>
      </c>
      <c r="G830" s="26">
        <f>IFERROR(__xludf.DUMMYFUNCTION("""COMPUTED_VALUE"""),1.67767634397E12)</f>
        <v>1677676343970</v>
      </c>
      <c r="H830" s="26">
        <f t="shared" si="1"/>
        <v>146171</v>
      </c>
    </row>
    <row r="831">
      <c r="F831" s="26">
        <f>IFERROR(__xludf.DUMMYFUNCTION("""COMPUTED_VALUE"""),82.9)</f>
        <v>82.9</v>
      </c>
      <c r="G831" s="26">
        <f>IFERROR(__xludf.DUMMYFUNCTION("""COMPUTED_VALUE"""),1.677676343974E12)</f>
        <v>1677676343974</v>
      </c>
      <c r="H831" s="26">
        <f t="shared" si="1"/>
        <v>146175</v>
      </c>
    </row>
    <row r="832">
      <c r="F832" s="26">
        <f>IFERROR(__xludf.DUMMYFUNCTION("""COMPUTED_VALUE"""),83.0)</f>
        <v>83</v>
      </c>
      <c r="G832" s="26">
        <f>IFERROR(__xludf.DUMMYFUNCTION("""COMPUTED_VALUE"""),1.67767634398E12)</f>
        <v>1677676343980</v>
      </c>
      <c r="H832" s="26">
        <f t="shared" si="1"/>
        <v>146181</v>
      </c>
    </row>
    <row r="833">
      <c r="F833" s="26">
        <f>IFERROR(__xludf.DUMMYFUNCTION("""COMPUTED_VALUE"""),83.1)</f>
        <v>83.1</v>
      </c>
      <c r="G833" s="26">
        <f>IFERROR(__xludf.DUMMYFUNCTION("""COMPUTED_VALUE"""),1.677676343987E12)</f>
        <v>1677676343987</v>
      </c>
      <c r="H833" s="26">
        <f t="shared" si="1"/>
        <v>146188</v>
      </c>
    </row>
    <row r="834">
      <c r="F834" s="26">
        <f>IFERROR(__xludf.DUMMYFUNCTION("""COMPUTED_VALUE"""),83.2)</f>
        <v>83.2</v>
      </c>
      <c r="G834" s="26">
        <f>IFERROR(__xludf.DUMMYFUNCTION("""COMPUTED_VALUE"""),1.677676343994E12)</f>
        <v>1677676343994</v>
      </c>
      <c r="H834" s="26">
        <f t="shared" si="1"/>
        <v>146195</v>
      </c>
    </row>
    <row r="835">
      <c r="F835" s="26">
        <f>IFERROR(__xludf.DUMMYFUNCTION("""COMPUTED_VALUE"""),83.3)</f>
        <v>83.3</v>
      </c>
      <c r="G835" s="26">
        <f>IFERROR(__xludf.DUMMYFUNCTION("""COMPUTED_VALUE"""),1.677676343999E12)</f>
        <v>1677676343999</v>
      </c>
      <c r="H835" s="26">
        <f t="shared" si="1"/>
        <v>146200</v>
      </c>
    </row>
    <row r="836">
      <c r="F836" s="26">
        <f>IFERROR(__xludf.DUMMYFUNCTION("""COMPUTED_VALUE"""),83.4)</f>
        <v>83.4</v>
      </c>
      <c r="G836" s="26">
        <f>IFERROR(__xludf.DUMMYFUNCTION("""COMPUTED_VALUE"""),1.677676344005E12)</f>
        <v>1677676344005</v>
      </c>
      <c r="H836" s="26">
        <f t="shared" si="1"/>
        <v>146206</v>
      </c>
    </row>
    <row r="837">
      <c r="F837" s="26">
        <f>IFERROR(__xludf.DUMMYFUNCTION("""COMPUTED_VALUE"""),83.5)</f>
        <v>83.5</v>
      </c>
      <c r="G837" s="26">
        <f>IFERROR(__xludf.DUMMYFUNCTION("""COMPUTED_VALUE"""),1.677676344011E12)</f>
        <v>1677676344011</v>
      </c>
      <c r="H837" s="26">
        <f t="shared" si="1"/>
        <v>146212</v>
      </c>
    </row>
    <row r="838">
      <c r="F838" s="26">
        <f>IFERROR(__xludf.DUMMYFUNCTION("""COMPUTED_VALUE"""),83.6)</f>
        <v>83.6</v>
      </c>
      <c r="G838" s="26">
        <f>IFERROR(__xludf.DUMMYFUNCTION("""COMPUTED_VALUE"""),1.677676344016E12)</f>
        <v>1677676344016</v>
      </c>
      <c r="H838" s="26">
        <f t="shared" si="1"/>
        <v>146217</v>
      </c>
    </row>
    <row r="839">
      <c r="F839" s="26">
        <f>IFERROR(__xludf.DUMMYFUNCTION("""COMPUTED_VALUE"""),83.7)</f>
        <v>83.7</v>
      </c>
      <c r="G839" s="26">
        <f>IFERROR(__xludf.DUMMYFUNCTION("""COMPUTED_VALUE"""),1.677676344022E12)</f>
        <v>1677676344022</v>
      </c>
      <c r="H839" s="26">
        <f t="shared" si="1"/>
        <v>146223</v>
      </c>
    </row>
    <row r="840">
      <c r="F840" s="26">
        <f>IFERROR(__xludf.DUMMYFUNCTION("""COMPUTED_VALUE"""),83.8)</f>
        <v>83.8</v>
      </c>
      <c r="G840" s="26">
        <f>IFERROR(__xludf.DUMMYFUNCTION("""COMPUTED_VALUE"""),1.677676344027E12)</f>
        <v>1677676344027</v>
      </c>
      <c r="H840" s="26">
        <f t="shared" si="1"/>
        <v>146228</v>
      </c>
    </row>
    <row r="841">
      <c r="F841" s="26">
        <f>IFERROR(__xludf.DUMMYFUNCTION("""COMPUTED_VALUE"""),83.9)</f>
        <v>83.9</v>
      </c>
      <c r="G841" s="26">
        <f>IFERROR(__xludf.DUMMYFUNCTION("""COMPUTED_VALUE"""),1.677676344033E12)</f>
        <v>1677676344033</v>
      </c>
      <c r="H841" s="26">
        <f t="shared" si="1"/>
        <v>146234</v>
      </c>
    </row>
    <row r="842">
      <c r="F842" s="26">
        <f>IFERROR(__xludf.DUMMYFUNCTION("""COMPUTED_VALUE"""),84.0)</f>
        <v>84</v>
      </c>
      <c r="G842" s="26">
        <f>IFERROR(__xludf.DUMMYFUNCTION("""COMPUTED_VALUE"""),1.677676344038E12)</f>
        <v>1677676344038</v>
      </c>
      <c r="H842" s="26">
        <f t="shared" si="1"/>
        <v>146239</v>
      </c>
    </row>
    <row r="843">
      <c r="F843" s="26">
        <f>IFERROR(__xludf.DUMMYFUNCTION("""COMPUTED_VALUE"""),84.1)</f>
        <v>84.1</v>
      </c>
      <c r="G843" s="26">
        <f>IFERROR(__xludf.DUMMYFUNCTION("""COMPUTED_VALUE"""),1.677676344045E12)</f>
        <v>1677676344045</v>
      </c>
      <c r="H843" s="26">
        <f t="shared" si="1"/>
        <v>146246</v>
      </c>
    </row>
    <row r="844">
      <c r="F844" s="26">
        <f>IFERROR(__xludf.DUMMYFUNCTION("""COMPUTED_VALUE"""),84.2)</f>
        <v>84.2</v>
      </c>
      <c r="G844" s="26">
        <f>IFERROR(__xludf.DUMMYFUNCTION("""COMPUTED_VALUE"""),1.677676344051E12)</f>
        <v>1677676344051</v>
      </c>
      <c r="H844" s="26">
        <f t="shared" si="1"/>
        <v>146252</v>
      </c>
    </row>
    <row r="845">
      <c r="F845" s="26">
        <f>IFERROR(__xludf.DUMMYFUNCTION("""COMPUTED_VALUE"""),84.3)</f>
        <v>84.3</v>
      </c>
      <c r="G845" s="26">
        <f>IFERROR(__xludf.DUMMYFUNCTION("""COMPUTED_VALUE"""),1.677676344057E12)</f>
        <v>1677676344057</v>
      </c>
      <c r="H845" s="26">
        <f t="shared" si="1"/>
        <v>146258</v>
      </c>
    </row>
    <row r="846">
      <c r="F846" s="26">
        <f>IFERROR(__xludf.DUMMYFUNCTION("""COMPUTED_VALUE"""),84.4)</f>
        <v>84.4</v>
      </c>
      <c r="G846" s="26">
        <f>IFERROR(__xludf.DUMMYFUNCTION("""COMPUTED_VALUE"""),1.677676344062E12)</f>
        <v>1677676344062</v>
      </c>
      <c r="H846" s="26">
        <f t="shared" si="1"/>
        <v>146263</v>
      </c>
    </row>
    <row r="847">
      <c r="F847" s="26">
        <f>IFERROR(__xludf.DUMMYFUNCTION("""COMPUTED_VALUE"""),84.5)</f>
        <v>84.5</v>
      </c>
      <c r="G847" s="26">
        <f>IFERROR(__xludf.DUMMYFUNCTION("""COMPUTED_VALUE"""),1.677676344069E12)</f>
        <v>1677676344069</v>
      </c>
      <c r="H847" s="26">
        <f t="shared" si="1"/>
        <v>146270</v>
      </c>
    </row>
    <row r="848">
      <c r="F848" s="26">
        <f>IFERROR(__xludf.DUMMYFUNCTION("""COMPUTED_VALUE"""),84.6)</f>
        <v>84.6</v>
      </c>
      <c r="G848" s="26">
        <f>IFERROR(__xludf.DUMMYFUNCTION("""COMPUTED_VALUE"""),1.677676344078E12)</f>
        <v>1677676344078</v>
      </c>
      <c r="H848" s="26">
        <f t="shared" si="1"/>
        <v>146279</v>
      </c>
    </row>
    <row r="849">
      <c r="F849" s="26">
        <f>IFERROR(__xludf.DUMMYFUNCTION("""COMPUTED_VALUE"""),84.7)</f>
        <v>84.7</v>
      </c>
      <c r="G849" s="26">
        <f>IFERROR(__xludf.DUMMYFUNCTION("""COMPUTED_VALUE"""),1.677676344086E12)</f>
        <v>1677676344086</v>
      </c>
      <c r="H849" s="26">
        <f t="shared" si="1"/>
        <v>146287</v>
      </c>
    </row>
    <row r="850">
      <c r="F850" s="26">
        <f>IFERROR(__xludf.DUMMYFUNCTION("""COMPUTED_VALUE"""),84.8)</f>
        <v>84.8</v>
      </c>
      <c r="G850" s="26">
        <f>IFERROR(__xludf.DUMMYFUNCTION("""COMPUTED_VALUE"""),1.67767634409E12)</f>
        <v>1677676344090</v>
      </c>
      <c r="H850" s="26">
        <f t="shared" si="1"/>
        <v>146291</v>
      </c>
    </row>
    <row r="851">
      <c r="F851" s="26">
        <f>IFERROR(__xludf.DUMMYFUNCTION("""COMPUTED_VALUE"""),84.9)</f>
        <v>84.9</v>
      </c>
      <c r="G851" s="26">
        <f>IFERROR(__xludf.DUMMYFUNCTION("""COMPUTED_VALUE"""),1.677676344095E12)</f>
        <v>1677676344095</v>
      </c>
      <c r="H851" s="26">
        <f t="shared" si="1"/>
        <v>146296</v>
      </c>
    </row>
    <row r="852">
      <c r="F852" s="26">
        <f>IFERROR(__xludf.DUMMYFUNCTION("""COMPUTED_VALUE"""),85.0)</f>
        <v>85</v>
      </c>
      <c r="G852" s="26">
        <f>IFERROR(__xludf.DUMMYFUNCTION("""COMPUTED_VALUE"""),1.677676344101E12)</f>
        <v>1677676344101</v>
      </c>
      <c r="H852" s="26">
        <f t="shared" si="1"/>
        <v>146302</v>
      </c>
    </row>
    <row r="853">
      <c r="F853" s="26">
        <f>IFERROR(__xludf.DUMMYFUNCTION("""COMPUTED_VALUE"""),85.1)</f>
        <v>85.1</v>
      </c>
      <c r="G853" s="26">
        <f>IFERROR(__xludf.DUMMYFUNCTION("""COMPUTED_VALUE"""),1.677676344107E12)</f>
        <v>1677676344107</v>
      </c>
      <c r="H853" s="26">
        <f t="shared" si="1"/>
        <v>146308</v>
      </c>
    </row>
    <row r="854">
      <c r="F854" s="26">
        <f>IFERROR(__xludf.DUMMYFUNCTION("""COMPUTED_VALUE"""),85.2)</f>
        <v>85.2</v>
      </c>
      <c r="G854" s="26">
        <f>IFERROR(__xludf.DUMMYFUNCTION("""COMPUTED_VALUE"""),1.677676344116E12)</f>
        <v>1677676344116</v>
      </c>
      <c r="H854" s="26">
        <f t="shared" si="1"/>
        <v>146317</v>
      </c>
    </row>
    <row r="855">
      <c r="F855" s="26">
        <f>IFERROR(__xludf.DUMMYFUNCTION("""COMPUTED_VALUE"""),85.3)</f>
        <v>85.3</v>
      </c>
      <c r="G855" s="26">
        <f>IFERROR(__xludf.DUMMYFUNCTION("""COMPUTED_VALUE"""),1.677676344122E12)</f>
        <v>1677676344122</v>
      </c>
      <c r="H855" s="26">
        <f t="shared" si="1"/>
        <v>146323</v>
      </c>
    </row>
    <row r="856">
      <c r="F856" s="26">
        <f>IFERROR(__xludf.DUMMYFUNCTION("""COMPUTED_VALUE"""),85.4)</f>
        <v>85.4</v>
      </c>
      <c r="G856" s="26">
        <f>IFERROR(__xludf.DUMMYFUNCTION("""COMPUTED_VALUE"""),1.677676344126E12)</f>
        <v>1677676344126</v>
      </c>
      <c r="H856" s="26">
        <f t="shared" si="1"/>
        <v>146327</v>
      </c>
    </row>
    <row r="857">
      <c r="F857" s="26">
        <f>IFERROR(__xludf.DUMMYFUNCTION("""COMPUTED_VALUE"""),85.5)</f>
        <v>85.5</v>
      </c>
      <c r="G857" s="26">
        <f>IFERROR(__xludf.DUMMYFUNCTION("""COMPUTED_VALUE"""),1.677676344132E12)</f>
        <v>1677676344132</v>
      </c>
      <c r="H857" s="26">
        <f t="shared" si="1"/>
        <v>146333</v>
      </c>
    </row>
    <row r="858">
      <c r="F858" s="26">
        <f>IFERROR(__xludf.DUMMYFUNCTION("""COMPUTED_VALUE"""),85.6)</f>
        <v>85.6</v>
      </c>
      <c r="G858" s="26">
        <f>IFERROR(__xludf.DUMMYFUNCTION("""COMPUTED_VALUE"""),1.677676344137E12)</f>
        <v>1677676344137</v>
      </c>
      <c r="H858" s="26">
        <f t="shared" si="1"/>
        <v>146338</v>
      </c>
    </row>
    <row r="859">
      <c r="F859" s="26">
        <f>IFERROR(__xludf.DUMMYFUNCTION("""COMPUTED_VALUE"""),85.7)</f>
        <v>85.7</v>
      </c>
      <c r="G859" s="26">
        <f>IFERROR(__xludf.DUMMYFUNCTION("""COMPUTED_VALUE"""),1.677676344145E12)</f>
        <v>1677676344145</v>
      </c>
      <c r="H859" s="26">
        <f t="shared" si="1"/>
        <v>146346</v>
      </c>
    </row>
    <row r="860">
      <c r="F860" s="26">
        <f>IFERROR(__xludf.DUMMYFUNCTION("""COMPUTED_VALUE"""),85.8)</f>
        <v>85.8</v>
      </c>
      <c r="G860" s="26">
        <f>IFERROR(__xludf.DUMMYFUNCTION("""COMPUTED_VALUE"""),1.677676344151E12)</f>
        <v>1677676344151</v>
      </c>
      <c r="H860" s="26">
        <f t="shared" si="1"/>
        <v>146352</v>
      </c>
    </row>
    <row r="861">
      <c r="F861" s="26">
        <f>IFERROR(__xludf.DUMMYFUNCTION("""COMPUTED_VALUE"""),85.9)</f>
        <v>85.9</v>
      </c>
      <c r="G861" s="26">
        <f>IFERROR(__xludf.DUMMYFUNCTION("""COMPUTED_VALUE"""),1.677676344156E12)</f>
        <v>1677676344156</v>
      </c>
      <c r="H861" s="26">
        <f t="shared" si="1"/>
        <v>146357</v>
      </c>
    </row>
    <row r="862">
      <c r="F862" s="26">
        <f>IFERROR(__xludf.DUMMYFUNCTION("""COMPUTED_VALUE"""),86.0)</f>
        <v>86</v>
      </c>
      <c r="G862" s="26">
        <f>IFERROR(__xludf.DUMMYFUNCTION("""COMPUTED_VALUE"""),1.677676344164E12)</f>
        <v>1677676344164</v>
      </c>
      <c r="H862" s="26">
        <f t="shared" si="1"/>
        <v>146365</v>
      </c>
    </row>
    <row r="863">
      <c r="F863" s="26">
        <f>IFERROR(__xludf.DUMMYFUNCTION("""COMPUTED_VALUE"""),86.1)</f>
        <v>86.1</v>
      </c>
      <c r="G863" s="26">
        <f>IFERROR(__xludf.DUMMYFUNCTION("""COMPUTED_VALUE"""),1.67767634417E12)</f>
        <v>1677676344170</v>
      </c>
      <c r="H863" s="26">
        <f t="shared" si="1"/>
        <v>146371</v>
      </c>
    </row>
    <row r="864">
      <c r="F864" s="26">
        <f>IFERROR(__xludf.DUMMYFUNCTION("""COMPUTED_VALUE"""),86.2)</f>
        <v>86.2</v>
      </c>
      <c r="G864" s="26">
        <f>IFERROR(__xludf.DUMMYFUNCTION("""COMPUTED_VALUE"""),1.677676344176E12)</f>
        <v>1677676344176</v>
      </c>
      <c r="H864" s="26">
        <f t="shared" si="1"/>
        <v>146377</v>
      </c>
    </row>
    <row r="865">
      <c r="F865" s="26">
        <f>IFERROR(__xludf.DUMMYFUNCTION("""COMPUTED_VALUE"""),86.3)</f>
        <v>86.3</v>
      </c>
      <c r="G865" s="26">
        <f>IFERROR(__xludf.DUMMYFUNCTION("""COMPUTED_VALUE"""),1.67767634418E12)</f>
        <v>1677676344180</v>
      </c>
      <c r="H865" s="26">
        <f t="shared" si="1"/>
        <v>146381</v>
      </c>
    </row>
    <row r="866">
      <c r="F866" s="26">
        <f>IFERROR(__xludf.DUMMYFUNCTION("""COMPUTED_VALUE"""),86.4)</f>
        <v>86.4</v>
      </c>
      <c r="G866" s="26">
        <f>IFERROR(__xludf.DUMMYFUNCTION("""COMPUTED_VALUE"""),1.677676344186E12)</f>
        <v>1677676344186</v>
      </c>
      <c r="H866" s="26">
        <f t="shared" si="1"/>
        <v>146387</v>
      </c>
    </row>
    <row r="867">
      <c r="F867" s="26">
        <f>IFERROR(__xludf.DUMMYFUNCTION("""COMPUTED_VALUE"""),86.5)</f>
        <v>86.5</v>
      </c>
      <c r="G867" s="26">
        <f>IFERROR(__xludf.DUMMYFUNCTION("""COMPUTED_VALUE"""),1.677676344191E12)</f>
        <v>1677676344191</v>
      </c>
      <c r="H867" s="26">
        <f t="shared" si="1"/>
        <v>146392</v>
      </c>
    </row>
    <row r="868">
      <c r="F868" s="26">
        <f>IFERROR(__xludf.DUMMYFUNCTION("""COMPUTED_VALUE"""),86.6)</f>
        <v>86.6</v>
      </c>
      <c r="G868" s="26">
        <f>IFERROR(__xludf.DUMMYFUNCTION("""COMPUTED_VALUE"""),1.677676344197E12)</f>
        <v>1677676344197</v>
      </c>
      <c r="H868" s="26">
        <f t="shared" si="1"/>
        <v>146398</v>
      </c>
    </row>
    <row r="869">
      <c r="F869" s="26">
        <f>IFERROR(__xludf.DUMMYFUNCTION("""COMPUTED_VALUE"""),86.7)</f>
        <v>86.7</v>
      </c>
      <c r="G869" s="26">
        <f>IFERROR(__xludf.DUMMYFUNCTION("""COMPUTED_VALUE"""),1.677676344202E12)</f>
        <v>1677676344202</v>
      </c>
      <c r="H869" s="26">
        <f t="shared" si="1"/>
        <v>146403</v>
      </c>
    </row>
    <row r="870">
      <c r="F870" s="26">
        <f>IFERROR(__xludf.DUMMYFUNCTION("""COMPUTED_VALUE"""),86.8)</f>
        <v>86.8</v>
      </c>
      <c r="G870" s="26">
        <f>IFERROR(__xludf.DUMMYFUNCTION("""COMPUTED_VALUE"""),1.677676344208E12)</f>
        <v>1677676344208</v>
      </c>
      <c r="H870" s="26">
        <f t="shared" si="1"/>
        <v>146409</v>
      </c>
    </row>
    <row r="871">
      <c r="F871" s="26">
        <f>IFERROR(__xludf.DUMMYFUNCTION("""COMPUTED_VALUE"""),86.9)</f>
        <v>86.9</v>
      </c>
      <c r="G871" s="26">
        <f>IFERROR(__xludf.DUMMYFUNCTION("""COMPUTED_VALUE"""),1.677676344219E12)</f>
        <v>1677676344219</v>
      </c>
      <c r="H871" s="26">
        <f t="shared" si="1"/>
        <v>146420</v>
      </c>
    </row>
    <row r="872">
      <c r="F872" s="26">
        <f>IFERROR(__xludf.DUMMYFUNCTION("""COMPUTED_VALUE"""),87.0)</f>
        <v>87</v>
      </c>
      <c r="G872" s="26">
        <f>IFERROR(__xludf.DUMMYFUNCTION("""COMPUTED_VALUE"""),1.677676344227E12)</f>
        <v>1677676344227</v>
      </c>
      <c r="H872" s="26">
        <f t="shared" si="1"/>
        <v>146428</v>
      </c>
    </row>
    <row r="873">
      <c r="F873" s="26">
        <f>IFERROR(__xludf.DUMMYFUNCTION("""COMPUTED_VALUE"""),87.1)</f>
        <v>87.1</v>
      </c>
      <c r="G873" s="26">
        <f>IFERROR(__xludf.DUMMYFUNCTION("""COMPUTED_VALUE"""),1.677676344239E12)</f>
        <v>1677676344239</v>
      </c>
      <c r="H873" s="26">
        <f t="shared" si="1"/>
        <v>146440</v>
      </c>
    </row>
    <row r="874">
      <c r="F874" s="26">
        <f>IFERROR(__xludf.DUMMYFUNCTION("""COMPUTED_VALUE"""),87.2)</f>
        <v>87.2</v>
      </c>
      <c r="G874" s="26">
        <f>IFERROR(__xludf.DUMMYFUNCTION("""COMPUTED_VALUE"""),1.677676345248E12)</f>
        <v>1677676345248</v>
      </c>
      <c r="H874" s="26">
        <f t="shared" si="1"/>
        <v>147449</v>
      </c>
    </row>
    <row r="875">
      <c r="F875" s="26">
        <f>IFERROR(__xludf.DUMMYFUNCTION("""COMPUTED_VALUE"""),87.3)</f>
        <v>87.3</v>
      </c>
      <c r="G875" s="26">
        <f>IFERROR(__xludf.DUMMYFUNCTION("""COMPUTED_VALUE"""),1.677676345859E12)</f>
        <v>1677676345859</v>
      </c>
      <c r="H875" s="26">
        <f t="shared" si="1"/>
        <v>148060</v>
      </c>
    </row>
    <row r="876">
      <c r="F876" s="26">
        <f>IFERROR(__xludf.DUMMYFUNCTION("""COMPUTED_VALUE"""),87.4)</f>
        <v>87.4</v>
      </c>
      <c r="G876" s="26">
        <f>IFERROR(__xludf.DUMMYFUNCTION("""COMPUTED_VALUE"""),1.677676345867E12)</f>
        <v>1677676345867</v>
      </c>
      <c r="H876" s="26">
        <f t="shared" si="1"/>
        <v>148068</v>
      </c>
    </row>
    <row r="877">
      <c r="F877" s="26">
        <f>IFERROR(__xludf.DUMMYFUNCTION("""COMPUTED_VALUE"""),87.5)</f>
        <v>87.5</v>
      </c>
      <c r="G877" s="26">
        <f>IFERROR(__xludf.DUMMYFUNCTION("""COMPUTED_VALUE"""),1.677676345872E12)</f>
        <v>1677676345872</v>
      </c>
      <c r="H877" s="26">
        <f t="shared" si="1"/>
        <v>148073</v>
      </c>
    </row>
    <row r="878">
      <c r="F878" s="26">
        <f>IFERROR(__xludf.DUMMYFUNCTION("""COMPUTED_VALUE"""),87.6)</f>
        <v>87.6</v>
      </c>
      <c r="G878" s="26">
        <f>IFERROR(__xludf.DUMMYFUNCTION("""COMPUTED_VALUE"""),1.677676345878E12)</f>
        <v>1677676345878</v>
      </c>
      <c r="H878" s="26">
        <f t="shared" si="1"/>
        <v>148079</v>
      </c>
    </row>
    <row r="879">
      <c r="F879" s="26">
        <f>IFERROR(__xludf.DUMMYFUNCTION("""COMPUTED_VALUE"""),87.7)</f>
        <v>87.7</v>
      </c>
      <c r="G879" s="26">
        <f>IFERROR(__xludf.DUMMYFUNCTION("""COMPUTED_VALUE"""),1.677676345885E12)</f>
        <v>1677676345885</v>
      </c>
      <c r="H879" s="26">
        <f t="shared" si="1"/>
        <v>148086</v>
      </c>
    </row>
    <row r="880">
      <c r="F880" s="26">
        <f>IFERROR(__xludf.DUMMYFUNCTION("""COMPUTED_VALUE"""),87.8)</f>
        <v>87.8</v>
      </c>
      <c r="G880" s="26">
        <f>IFERROR(__xludf.DUMMYFUNCTION("""COMPUTED_VALUE"""),1.67767634589E12)</f>
        <v>1677676345890</v>
      </c>
      <c r="H880" s="26">
        <f t="shared" si="1"/>
        <v>148091</v>
      </c>
    </row>
    <row r="881">
      <c r="F881" s="26">
        <f>IFERROR(__xludf.DUMMYFUNCTION("""COMPUTED_VALUE"""),87.9)</f>
        <v>87.9</v>
      </c>
      <c r="G881" s="26">
        <f>IFERROR(__xludf.DUMMYFUNCTION("""COMPUTED_VALUE"""),1.677676345899E12)</f>
        <v>1677676345899</v>
      </c>
      <c r="H881" s="26">
        <f t="shared" si="1"/>
        <v>148100</v>
      </c>
    </row>
    <row r="882">
      <c r="F882" s="26">
        <f>IFERROR(__xludf.DUMMYFUNCTION("""COMPUTED_VALUE"""),88.0)</f>
        <v>88</v>
      </c>
      <c r="G882" s="26">
        <f>IFERROR(__xludf.DUMMYFUNCTION("""COMPUTED_VALUE"""),1.677676345906E12)</f>
        <v>1677676345906</v>
      </c>
      <c r="H882" s="26">
        <f t="shared" si="1"/>
        <v>148107</v>
      </c>
    </row>
    <row r="883">
      <c r="F883" s="26">
        <f>IFERROR(__xludf.DUMMYFUNCTION("""COMPUTED_VALUE"""),88.1)</f>
        <v>88.1</v>
      </c>
      <c r="G883" s="26">
        <f>IFERROR(__xludf.DUMMYFUNCTION("""COMPUTED_VALUE"""),1.67767634591E12)</f>
        <v>1677676345910</v>
      </c>
      <c r="H883" s="26">
        <f t="shared" si="1"/>
        <v>148111</v>
      </c>
    </row>
    <row r="884">
      <c r="F884" s="26">
        <f>IFERROR(__xludf.DUMMYFUNCTION("""COMPUTED_VALUE"""),88.2)</f>
        <v>88.2</v>
      </c>
      <c r="G884" s="26">
        <f>IFERROR(__xludf.DUMMYFUNCTION("""COMPUTED_VALUE"""),1.677676345916E12)</f>
        <v>1677676345916</v>
      </c>
      <c r="H884" s="26">
        <f t="shared" si="1"/>
        <v>148117</v>
      </c>
    </row>
    <row r="885">
      <c r="F885" s="26">
        <f>IFERROR(__xludf.DUMMYFUNCTION("""COMPUTED_VALUE"""),88.3)</f>
        <v>88.3</v>
      </c>
      <c r="G885" s="26">
        <f>IFERROR(__xludf.DUMMYFUNCTION("""COMPUTED_VALUE"""),1.677676345922E12)</f>
        <v>1677676345922</v>
      </c>
      <c r="H885" s="26">
        <f t="shared" si="1"/>
        <v>148123</v>
      </c>
    </row>
    <row r="886">
      <c r="F886" s="26">
        <f>IFERROR(__xludf.DUMMYFUNCTION("""COMPUTED_VALUE"""),88.4)</f>
        <v>88.4</v>
      </c>
      <c r="G886" s="26">
        <f>IFERROR(__xludf.DUMMYFUNCTION("""COMPUTED_VALUE"""),1.677676345928E12)</f>
        <v>1677676345928</v>
      </c>
      <c r="H886" s="26">
        <f t="shared" si="1"/>
        <v>148129</v>
      </c>
    </row>
    <row r="887">
      <c r="F887" s="26">
        <f>IFERROR(__xludf.DUMMYFUNCTION("""COMPUTED_VALUE"""),88.5)</f>
        <v>88.5</v>
      </c>
      <c r="G887" s="26">
        <f>IFERROR(__xludf.DUMMYFUNCTION("""COMPUTED_VALUE"""),1.677676345934E12)</f>
        <v>1677676345934</v>
      </c>
      <c r="H887" s="26">
        <f t="shared" si="1"/>
        <v>148135</v>
      </c>
    </row>
    <row r="888">
      <c r="F888" s="26">
        <f>IFERROR(__xludf.DUMMYFUNCTION("""COMPUTED_VALUE"""),88.6)</f>
        <v>88.6</v>
      </c>
      <c r="G888" s="26">
        <f>IFERROR(__xludf.DUMMYFUNCTION("""COMPUTED_VALUE"""),1.677676345938E12)</f>
        <v>1677676345938</v>
      </c>
      <c r="H888" s="26">
        <f t="shared" si="1"/>
        <v>148139</v>
      </c>
    </row>
    <row r="889">
      <c r="F889" s="26">
        <f>IFERROR(__xludf.DUMMYFUNCTION("""COMPUTED_VALUE"""),88.7)</f>
        <v>88.7</v>
      </c>
      <c r="G889" s="26">
        <f>IFERROR(__xludf.DUMMYFUNCTION("""COMPUTED_VALUE"""),1.677676345947E12)</f>
        <v>1677676345947</v>
      </c>
      <c r="H889" s="26">
        <f t="shared" si="1"/>
        <v>148148</v>
      </c>
    </row>
    <row r="890">
      <c r="F890" s="26">
        <f>IFERROR(__xludf.DUMMYFUNCTION("""COMPUTED_VALUE"""),88.8)</f>
        <v>88.8</v>
      </c>
      <c r="G890" s="26">
        <f>IFERROR(__xludf.DUMMYFUNCTION("""COMPUTED_VALUE"""),1.677676345953E12)</f>
        <v>1677676345953</v>
      </c>
      <c r="H890" s="26">
        <f t="shared" si="1"/>
        <v>148154</v>
      </c>
    </row>
    <row r="891">
      <c r="F891" s="26">
        <f>IFERROR(__xludf.DUMMYFUNCTION("""COMPUTED_VALUE"""),88.9)</f>
        <v>88.9</v>
      </c>
      <c r="G891" s="26">
        <f>IFERROR(__xludf.DUMMYFUNCTION("""COMPUTED_VALUE"""),1.677676345958E12)</f>
        <v>1677676345958</v>
      </c>
      <c r="H891" s="26">
        <f t="shared" si="1"/>
        <v>148159</v>
      </c>
    </row>
    <row r="892">
      <c r="F892" s="26">
        <f>IFERROR(__xludf.DUMMYFUNCTION("""COMPUTED_VALUE"""),89.0)</f>
        <v>89</v>
      </c>
      <c r="G892" s="26">
        <f>IFERROR(__xludf.DUMMYFUNCTION("""COMPUTED_VALUE"""),1.677676345966E12)</f>
        <v>1677676345966</v>
      </c>
      <c r="H892" s="26">
        <f t="shared" si="1"/>
        <v>148167</v>
      </c>
    </row>
    <row r="893">
      <c r="F893" s="26">
        <f>IFERROR(__xludf.DUMMYFUNCTION("""COMPUTED_VALUE"""),89.1)</f>
        <v>89.1</v>
      </c>
      <c r="G893" s="26">
        <f>IFERROR(__xludf.DUMMYFUNCTION("""COMPUTED_VALUE"""),1.677676345973E12)</f>
        <v>1677676345973</v>
      </c>
      <c r="H893" s="26">
        <f t="shared" si="1"/>
        <v>148174</v>
      </c>
    </row>
    <row r="894">
      <c r="F894" s="26">
        <f>IFERROR(__xludf.DUMMYFUNCTION("""COMPUTED_VALUE"""),89.2)</f>
        <v>89.2</v>
      </c>
      <c r="G894" s="26">
        <f>IFERROR(__xludf.DUMMYFUNCTION("""COMPUTED_VALUE"""),1.677676345979E12)</f>
        <v>1677676345979</v>
      </c>
      <c r="H894" s="26">
        <f t="shared" si="1"/>
        <v>148180</v>
      </c>
    </row>
    <row r="895">
      <c r="F895" s="26">
        <f>IFERROR(__xludf.DUMMYFUNCTION("""COMPUTED_VALUE"""),89.3)</f>
        <v>89.3</v>
      </c>
      <c r="G895" s="26">
        <f>IFERROR(__xludf.DUMMYFUNCTION("""COMPUTED_VALUE"""),1.677676345986E12)</f>
        <v>1677676345986</v>
      </c>
      <c r="H895" s="26">
        <f t="shared" si="1"/>
        <v>148187</v>
      </c>
    </row>
    <row r="896">
      <c r="F896" s="26">
        <f>IFERROR(__xludf.DUMMYFUNCTION("""COMPUTED_VALUE"""),89.4)</f>
        <v>89.4</v>
      </c>
      <c r="G896" s="26">
        <f>IFERROR(__xludf.DUMMYFUNCTION("""COMPUTED_VALUE"""),1.67767634599E12)</f>
        <v>1677676345990</v>
      </c>
      <c r="H896" s="26">
        <f t="shared" si="1"/>
        <v>148191</v>
      </c>
    </row>
    <row r="897">
      <c r="F897" s="26">
        <f>IFERROR(__xludf.DUMMYFUNCTION("""COMPUTED_VALUE"""),89.5)</f>
        <v>89.5</v>
      </c>
      <c r="G897" s="26">
        <f>IFERROR(__xludf.DUMMYFUNCTION("""COMPUTED_VALUE"""),1.677676345997E12)</f>
        <v>1677676345997</v>
      </c>
      <c r="H897" s="26">
        <f t="shared" si="1"/>
        <v>148198</v>
      </c>
    </row>
    <row r="898">
      <c r="F898" s="26">
        <f>IFERROR(__xludf.DUMMYFUNCTION("""COMPUTED_VALUE"""),89.6)</f>
        <v>89.6</v>
      </c>
      <c r="G898" s="26">
        <f>IFERROR(__xludf.DUMMYFUNCTION("""COMPUTED_VALUE"""),1.677676346002E12)</f>
        <v>1677676346002</v>
      </c>
      <c r="H898" s="26">
        <f t="shared" si="1"/>
        <v>148203</v>
      </c>
    </row>
    <row r="899">
      <c r="F899" s="26">
        <f>IFERROR(__xludf.DUMMYFUNCTION("""COMPUTED_VALUE"""),89.7)</f>
        <v>89.7</v>
      </c>
      <c r="G899" s="26">
        <f>IFERROR(__xludf.DUMMYFUNCTION("""COMPUTED_VALUE"""),1.677676346008E12)</f>
        <v>1677676346008</v>
      </c>
      <c r="H899" s="26">
        <f t="shared" si="1"/>
        <v>148209</v>
      </c>
    </row>
    <row r="900">
      <c r="F900" s="26">
        <f>IFERROR(__xludf.DUMMYFUNCTION("""COMPUTED_VALUE"""),89.8)</f>
        <v>89.8</v>
      </c>
      <c r="G900" s="26">
        <f>IFERROR(__xludf.DUMMYFUNCTION("""COMPUTED_VALUE"""),1.677676346015E12)</f>
        <v>1677676346015</v>
      </c>
      <c r="H900" s="26">
        <f t="shared" si="1"/>
        <v>148216</v>
      </c>
    </row>
    <row r="901">
      <c r="F901" s="26">
        <f>IFERROR(__xludf.DUMMYFUNCTION("""COMPUTED_VALUE"""),89.9)</f>
        <v>89.9</v>
      </c>
      <c r="G901" s="26">
        <f>IFERROR(__xludf.DUMMYFUNCTION("""COMPUTED_VALUE"""),1.67767634602E12)</f>
        <v>1677676346020</v>
      </c>
      <c r="H901" s="26">
        <f t="shared" si="1"/>
        <v>148221</v>
      </c>
    </row>
    <row r="902">
      <c r="F902" s="26">
        <f>IFERROR(__xludf.DUMMYFUNCTION("""COMPUTED_VALUE"""),90.0)</f>
        <v>90</v>
      </c>
      <c r="G902" s="26">
        <f>IFERROR(__xludf.DUMMYFUNCTION("""COMPUTED_VALUE"""),1.677676346026E12)</f>
        <v>1677676346026</v>
      </c>
      <c r="H902" s="26">
        <f t="shared" si="1"/>
        <v>148227</v>
      </c>
    </row>
    <row r="903">
      <c r="F903" s="26">
        <f>IFERROR(__xludf.DUMMYFUNCTION("""COMPUTED_VALUE"""),90.1)</f>
        <v>90.1</v>
      </c>
      <c r="G903" s="26">
        <f>IFERROR(__xludf.DUMMYFUNCTION("""COMPUTED_VALUE"""),1.677676346032E12)</f>
        <v>1677676346032</v>
      </c>
      <c r="H903" s="26">
        <f t="shared" si="1"/>
        <v>148233</v>
      </c>
    </row>
    <row r="904">
      <c r="F904" s="26">
        <f>IFERROR(__xludf.DUMMYFUNCTION("""COMPUTED_VALUE"""),90.2)</f>
        <v>90.2</v>
      </c>
      <c r="G904" s="26">
        <f>IFERROR(__xludf.DUMMYFUNCTION("""COMPUTED_VALUE"""),1.677676346037E12)</f>
        <v>1677676346037</v>
      </c>
      <c r="H904" s="26">
        <f t="shared" si="1"/>
        <v>148238</v>
      </c>
    </row>
    <row r="905">
      <c r="F905" s="26">
        <f>IFERROR(__xludf.DUMMYFUNCTION("""COMPUTED_VALUE"""),90.3)</f>
        <v>90.3</v>
      </c>
      <c r="G905" s="26">
        <f>IFERROR(__xludf.DUMMYFUNCTION("""COMPUTED_VALUE"""),1.677676346043E12)</f>
        <v>1677676346043</v>
      </c>
      <c r="H905" s="26">
        <f t="shared" si="1"/>
        <v>148244</v>
      </c>
    </row>
    <row r="906">
      <c r="F906" s="26">
        <f>IFERROR(__xludf.DUMMYFUNCTION("""COMPUTED_VALUE"""),90.4)</f>
        <v>90.4</v>
      </c>
      <c r="G906" s="26">
        <f>IFERROR(__xludf.DUMMYFUNCTION("""COMPUTED_VALUE"""),1.677676346049E12)</f>
        <v>1677676346049</v>
      </c>
      <c r="H906" s="26">
        <f t="shared" si="1"/>
        <v>148250</v>
      </c>
    </row>
    <row r="907">
      <c r="F907" s="26">
        <f>IFERROR(__xludf.DUMMYFUNCTION("""COMPUTED_VALUE"""),90.5)</f>
        <v>90.5</v>
      </c>
      <c r="G907" s="26">
        <f>IFERROR(__xludf.DUMMYFUNCTION("""COMPUTED_VALUE"""),1.677676346056E12)</f>
        <v>1677676346056</v>
      </c>
      <c r="H907" s="26">
        <f t="shared" si="1"/>
        <v>148257</v>
      </c>
    </row>
    <row r="908">
      <c r="F908" s="26">
        <f>IFERROR(__xludf.DUMMYFUNCTION("""COMPUTED_VALUE"""),90.6)</f>
        <v>90.6</v>
      </c>
      <c r="G908" s="26">
        <f>IFERROR(__xludf.DUMMYFUNCTION("""COMPUTED_VALUE"""),1.67767634606E12)</f>
        <v>1677676346060</v>
      </c>
      <c r="H908" s="26">
        <f t="shared" si="1"/>
        <v>148261</v>
      </c>
    </row>
    <row r="909">
      <c r="F909" s="26">
        <f>IFERROR(__xludf.DUMMYFUNCTION("""COMPUTED_VALUE"""),90.7)</f>
        <v>90.7</v>
      </c>
      <c r="G909" s="26">
        <f>IFERROR(__xludf.DUMMYFUNCTION("""COMPUTED_VALUE"""),1.677676346066E12)</f>
        <v>1677676346066</v>
      </c>
      <c r="H909" s="26">
        <f t="shared" si="1"/>
        <v>148267</v>
      </c>
    </row>
    <row r="910">
      <c r="F910" s="26">
        <f>IFERROR(__xludf.DUMMYFUNCTION("""COMPUTED_VALUE"""),90.8)</f>
        <v>90.8</v>
      </c>
      <c r="G910" s="26">
        <f>IFERROR(__xludf.DUMMYFUNCTION("""COMPUTED_VALUE"""),1.677676346071E12)</f>
        <v>1677676346071</v>
      </c>
      <c r="H910" s="26">
        <f t="shared" si="1"/>
        <v>148272</v>
      </c>
    </row>
    <row r="911">
      <c r="F911" s="26">
        <f>IFERROR(__xludf.DUMMYFUNCTION("""COMPUTED_VALUE"""),90.9)</f>
        <v>90.9</v>
      </c>
      <c r="G911" s="26">
        <f>IFERROR(__xludf.DUMMYFUNCTION("""COMPUTED_VALUE"""),1.677676346077E12)</f>
        <v>1677676346077</v>
      </c>
      <c r="H911" s="26">
        <f t="shared" si="1"/>
        <v>148278</v>
      </c>
    </row>
    <row r="912">
      <c r="F912" s="26">
        <f>IFERROR(__xludf.DUMMYFUNCTION("""COMPUTED_VALUE"""),91.0)</f>
        <v>91</v>
      </c>
      <c r="G912" s="26">
        <f>IFERROR(__xludf.DUMMYFUNCTION("""COMPUTED_VALUE"""),1.677676346084E12)</f>
        <v>1677676346084</v>
      </c>
      <c r="H912" s="26">
        <f t="shared" si="1"/>
        <v>148285</v>
      </c>
    </row>
    <row r="913">
      <c r="F913" s="26">
        <f>IFERROR(__xludf.DUMMYFUNCTION("""COMPUTED_VALUE"""),91.1)</f>
        <v>91.1</v>
      </c>
      <c r="G913" s="26">
        <f>IFERROR(__xludf.DUMMYFUNCTION("""COMPUTED_VALUE"""),1.677676346091E12)</f>
        <v>1677676346091</v>
      </c>
      <c r="H913" s="26">
        <f t="shared" si="1"/>
        <v>148292</v>
      </c>
    </row>
    <row r="914">
      <c r="F914" s="26">
        <f>IFERROR(__xludf.DUMMYFUNCTION("""COMPUTED_VALUE"""),91.2)</f>
        <v>91.2</v>
      </c>
      <c r="G914" s="26">
        <f>IFERROR(__xludf.DUMMYFUNCTION("""COMPUTED_VALUE"""),1.677676346096E12)</f>
        <v>1677676346096</v>
      </c>
      <c r="H914" s="26">
        <f t="shared" si="1"/>
        <v>148297</v>
      </c>
    </row>
    <row r="915">
      <c r="F915" s="26">
        <f>IFERROR(__xludf.DUMMYFUNCTION("""COMPUTED_VALUE"""),91.3)</f>
        <v>91.3</v>
      </c>
      <c r="G915" s="26">
        <f>IFERROR(__xludf.DUMMYFUNCTION("""COMPUTED_VALUE"""),1.677676346102E12)</f>
        <v>1677676346102</v>
      </c>
      <c r="H915" s="26">
        <f t="shared" si="1"/>
        <v>148303</v>
      </c>
    </row>
    <row r="916">
      <c r="F916" s="26">
        <f>IFERROR(__xludf.DUMMYFUNCTION("""COMPUTED_VALUE"""),91.4)</f>
        <v>91.4</v>
      </c>
      <c r="G916" s="26">
        <f>IFERROR(__xludf.DUMMYFUNCTION("""COMPUTED_VALUE"""),1.677676346109E12)</f>
        <v>1677676346109</v>
      </c>
      <c r="H916" s="26">
        <f t="shared" si="1"/>
        <v>148310</v>
      </c>
    </row>
    <row r="917">
      <c r="F917" s="26">
        <f>IFERROR(__xludf.DUMMYFUNCTION("""COMPUTED_VALUE"""),91.5)</f>
        <v>91.5</v>
      </c>
      <c r="G917" s="26">
        <f>IFERROR(__xludf.DUMMYFUNCTION("""COMPUTED_VALUE"""),1.677676346113E12)</f>
        <v>1677676346113</v>
      </c>
      <c r="H917" s="26">
        <f t="shared" si="1"/>
        <v>148314</v>
      </c>
    </row>
    <row r="918">
      <c r="F918" s="26">
        <f>IFERROR(__xludf.DUMMYFUNCTION("""COMPUTED_VALUE"""),91.6)</f>
        <v>91.6</v>
      </c>
      <c r="G918" s="26">
        <f>IFERROR(__xludf.DUMMYFUNCTION("""COMPUTED_VALUE"""),1.677676346119E12)</f>
        <v>1677676346119</v>
      </c>
      <c r="H918" s="26">
        <f t="shared" si="1"/>
        <v>148320</v>
      </c>
    </row>
    <row r="919">
      <c r="F919" s="26">
        <f>IFERROR(__xludf.DUMMYFUNCTION("""COMPUTED_VALUE"""),91.7)</f>
        <v>91.7</v>
      </c>
      <c r="G919" s="26">
        <f>IFERROR(__xludf.DUMMYFUNCTION("""COMPUTED_VALUE"""),1.677676346127E12)</f>
        <v>1677676346127</v>
      </c>
      <c r="H919" s="26">
        <f t="shared" si="1"/>
        <v>148328</v>
      </c>
    </row>
    <row r="920">
      <c r="F920" s="26">
        <f>IFERROR(__xludf.DUMMYFUNCTION("""COMPUTED_VALUE"""),91.8)</f>
        <v>91.8</v>
      </c>
      <c r="G920" s="26">
        <f>IFERROR(__xludf.DUMMYFUNCTION("""COMPUTED_VALUE"""),1.677676346133E12)</f>
        <v>1677676346133</v>
      </c>
      <c r="H920" s="26">
        <f t="shared" si="1"/>
        <v>148334</v>
      </c>
    </row>
    <row r="921">
      <c r="F921" s="26">
        <f>IFERROR(__xludf.DUMMYFUNCTION("""COMPUTED_VALUE"""),91.9)</f>
        <v>91.9</v>
      </c>
      <c r="G921" s="26">
        <f>IFERROR(__xludf.DUMMYFUNCTION("""COMPUTED_VALUE"""),1.677676346139E12)</f>
        <v>1677676346139</v>
      </c>
      <c r="H921" s="26">
        <f t="shared" si="1"/>
        <v>148340</v>
      </c>
    </row>
    <row r="922">
      <c r="F922" s="26">
        <f>IFERROR(__xludf.DUMMYFUNCTION("""COMPUTED_VALUE"""),92.0)</f>
        <v>92</v>
      </c>
      <c r="G922" s="26">
        <f>IFERROR(__xludf.DUMMYFUNCTION("""COMPUTED_VALUE"""),1.677676346143E12)</f>
        <v>1677676346143</v>
      </c>
      <c r="H922" s="26">
        <f t="shared" si="1"/>
        <v>148344</v>
      </c>
    </row>
    <row r="923">
      <c r="F923" s="26">
        <f>IFERROR(__xludf.DUMMYFUNCTION("""COMPUTED_VALUE"""),92.1)</f>
        <v>92.1</v>
      </c>
      <c r="G923" s="26">
        <f>IFERROR(__xludf.DUMMYFUNCTION("""COMPUTED_VALUE"""),1.677676346149E12)</f>
        <v>1677676346149</v>
      </c>
      <c r="H923" s="26">
        <f t="shared" si="1"/>
        <v>148350</v>
      </c>
    </row>
    <row r="924">
      <c r="F924" s="26">
        <f>IFERROR(__xludf.DUMMYFUNCTION("""COMPUTED_VALUE"""),92.2)</f>
        <v>92.2</v>
      </c>
      <c r="G924" s="26">
        <f>IFERROR(__xludf.DUMMYFUNCTION("""COMPUTED_VALUE"""),1.677676346156E12)</f>
        <v>1677676346156</v>
      </c>
      <c r="H924" s="26">
        <f t="shared" si="1"/>
        <v>148357</v>
      </c>
    </row>
    <row r="925">
      <c r="F925" s="26">
        <f>IFERROR(__xludf.DUMMYFUNCTION("""COMPUTED_VALUE"""),92.3)</f>
        <v>92.3</v>
      </c>
      <c r="G925" s="26">
        <f>IFERROR(__xludf.DUMMYFUNCTION("""COMPUTED_VALUE"""),1.677676346161E12)</f>
        <v>1677676346161</v>
      </c>
      <c r="H925" s="26">
        <f t="shared" si="1"/>
        <v>148362</v>
      </c>
    </row>
    <row r="926">
      <c r="F926" s="26">
        <f>IFERROR(__xludf.DUMMYFUNCTION("""COMPUTED_VALUE"""),92.4)</f>
        <v>92.4</v>
      </c>
      <c r="G926" s="26">
        <f>IFERROR(__xludf.DUMMYFUNCTION("""COMPUTED_VALUE"""),1.677676346167E12)</f>
        <v>1677676346167</v>
      </c>
      <c r="H926" s="26">
        <f t="shared" si="1"/>
        <v>148368</v>
      </c>
    </row>
    <row r="927">
      <c r="F927" s="26">
        <f>IFERROR(__xludf.DUMMYFUNCTION("""COMPUTED_VALUE"""),92.5)</f>
        <v>92.5</v>
      </c>
      <c r="G927" s="26">
        <f>IFERROR(__xludf.DUMMYFUNCTION("""COMPUTED_VALUE"""),1.677676346173E12)</f>
        <v>1677676346173</v>
      </c>
      <c r="H927" s="26">
        <f t="shared" si="1"/>
        <v>148374</v>
      </c>
    </row>
    <row r="928">
      <c r="F928" s="26">
        <f>IFERROR(__xludf.DUMMYFUNCTION("""COMPUTED_VALUE"""),92.6)</f>
        <v>92.6</v>
      </c>
      <c r="G928" s="26">
        <f>IFERROR(__xludf.DUMMYFUNCTION("""COMPUTED_VALUE"""),1.677676346177E12)</f>
        <v>1677676346177</v>
      </c>
      <c r="H928" s="26">
        <f t="shared" si="1"/>
        <v>148378</v>
      </c>
    </row>
    <row r="929">
      <c r="F929" s="26">
        <f>IFERROR(__xludf.DUMMYFUNCTION("""COMPUTED_VALUE"""),92.7)</f>
        <v>92.7</v>
      </c>
      <c r="G929" s="26">
        <f>IFERROR(__xludf.DUMMYFUNCTION("""COMPUTED_VALUE"""),1.677676346184E12)</f>
        <v>1677676346184</v>
      </c>
      <c r="H929" s="26">
        <f t="shared" si="1"/>
        <v>148385</v>
      </c>
    </row>
    <row r="930">
      <c r="F930" s="26">
        <f>IFERROR(__xludf.DUMMYFUNCTION("""COMPUTED_VALUE"""),92.8)</f>
        <v>92.8</v>
      </c>
      <c r="G930" s="26">
        <f>IFERROR(__xludf.DUMMYFUNCTION("""COMPUTED_VALUE"""),1.677676346191E12)</f>
        <v>1677676346191</v>
      </c>
      <c r="H930" s="26">
        <f t="shared" si="1"/>
        <v>148392</v>
      </c>
    </row>
    <row r="931">
      <c r="F931" s="26">
        <f>IFERROR(__xludf.DUMMYFUNCTION("""COMPUTED_VALUE"""),92.9)</f>
        <v>92.9</v>
      </c>
      <c r="G931" s="26">
        <f>IFERROR(__xludf.DUMMYFUNCTION("""COMPUTED_VALUE"""),1.677676346197E12)</f>
        <v>1677676346197</v>
      </c>
      <c r="H931" s="26">
        <f t="shared" si="1"/>
        <v>148398</v>
      </c>
    </row>
    <row r="932">
      <c r="F932" s="26">
        <f>IFERROR(__xludf.DUMMYFUNCTION("""COMPUTED_VALUE"""),93.0)</f>
        <v>93</v>
      </c>
      <c r="G932" s="26">
        <f>IFERROR(__xludf.DUMMYFUNCTION("""COMPUTED_VALUE"""),1.677676346203E12)</f>
        <v>1677676346203</v>
      </c>
      <c r="H932" s="26">
        <f t="shared" si="1"/>
        <v>148404</v>
      </c>
    </row>
    <row r="933">
      <c r="F933" s="26">
        <f>IFERROR(__xludf.DUMMYFUNCTION("""COMPUTED_VALUE"""),93.1)</f>
        <v>93.1</v>
      </c>
      <c r="G933" s="26">
        <f>IFERROR(__xludf.DUMMYFUNCTION("""COMPUTED_VALUE"""),1.677676346209E12)</f>
        <v>1677676346209</v>
      </c>
      <c r="H933" s="26">
        <f t="shared" si="1"/>
        <v>148410</v>
      </c>
    </row>
    <row r="934">
      <c r="F934" s="26">
        <f>IFERROR(__xludf.DUMMYFUNCTION("""COMPUTED_VALUE"""),93.2)</f>
        <v>93.2</v>
      </c>
      <c r="G934" s="26">
        <f>IFERROR(__xludf.DUMMYFUNCTION("""COMPUTED_VALUE"""),1.677676346216E12)</f>
        <v>1677676346216</v>
      </c>
      <c r="H934" s="26">
        <f t="shared" si="1"/>
        <v>148417</v>
      </c>
    </row>
    <row r="935">
      <c r="F935" s="26">
        <f>IFERROR(__xludf.DUMMYFUNCTION("""COMPUTED_VALUE"""),93.3)</f>
        <v>93.3</v>
      </c>
      <c r="G935" s="26">
        <f>IFERROR(__xludf.DUMMYFUNCTION("""COMPUTED_VALUE"""),1.677676346221E12)</f>
        <v>1677676346221</v>
      </c>
      <c r="H935" s="26">
        <f t="shared" si="1"/>
        <v>148422</v>
      </c>
    </row>
    <row r="936">
      <c r="F936" s="26">
        <f>IFERROR(__xludf.DUMMYFUNCTION("""COMPUTED_VALUE"""),93.4)</f>
        <v>93.4</v>
      </c>
      <c r="G936" s="26">
        <f>IFERROR(__xludf.DUMMYFUNCTION("""COMPUTED_VALUE"""),1.677676346227E12)</f>
        <v>1677676346227</v>
      </c>
      <c r="H936" s="26">
        <f t="shared" si="1"/>
        <v>148428</v>
      </c>
    </row>
    <row r="937">
      <c r="F937" s="26">
        <f>IFERROR(__xludf.DUMMYFUNCTION("""COMPUTED_VALUE"""),93.5)</f>
        <v>93.5</v>
      </c>
      <c r="G937" s="26">
        <f>IFERROR(__xludf.DUMMYFUNCTION("""COMPUTED_VALUE"""),1.677676346233E12)</f>
        <v>1677676346233</v>
      </c>
      <c r="H937" s="26">
        <f t="shared" si="1"/>
        <v>148434</v>
      </c>
    </row>
    <row r="938">
      <c r="F938" s="26">
        <f>IFERROR(__xludf.DUMMYFUNCTION("""COMPUTED_VALUE"""),93.6)</f>
        <v>93.6</v>
      </c>
      <c r="G938" s="26">
        <f>IFERROR(__xludf.DUMMYFUNCTION("""COMPUTED_VALUE"""),1.67767634624E12)</f>
        <v>1677676346240</v>
      </c>
      <c r="H938" s="26">
        <f t="shared" si="1"/>
        <v>148441</v>
      </c>
    </row>
    <row r="939">
      <c r="F939" s="26">
        <f>IFERROR(__xludf.DUMMYFUNCTION("""COMPUTED_VALUE"""),93.7)</f>
        <v>93.7</v>
      </c>
      <c r="G939" s="26">
        <f>IFERROR(__xludf.DUMMYFUNCTION("""COMPUTED_VALUE"""),1.677676346247E12)</f>
        <v>1677676346247</v>
      </c>
      <c r="H939" s="26">
        <f t="shared" si="1"/>
        <v>148448</v>
      </c>
    </row>
    <row r="940">
      <c r="F940" s="26">
        <f>IFERROR(__xludf.DUMMYFUNCTION("""COMPUTED_VALUE"""),93.8)</f>
        <v>93.8</v>
      </c>
      <c r="G940" s="26">
        <f>IFERROR(__xludf.DUMMYFUNCTION("""COMPUTED_VALUE"""),1.677676346254E12)</f>
        <v>1677676346254</v>
      </c>
      <c r="H940" s="26">
        <f t="shared" si="1"/>
        <v>148455</v>
      </c>
    </row>
    <row r="941">
      <c r="F941" s="26">
        <f>IFERROR(__xludf.DUMMYFUNCTION("""COMPUTED_VALUE"""),93.9)</f>
        <v>93.9</v>
      </c>
      <c r="G941" s="26">
        <f>IFERROR(__xludf.DUMMYFUNCTION("""COMPUTED_VALUE"""),1.677676346259E12)</f>
        <v>1677676346259</v>
      </c>
      <c r="H941" s="26">
        <f t="shared" si="1"/>
        <v>148460</v>
      </c>
    </row>
    <row r="942">
      <c r="F942" s="26">
        <f>IFERROR(__xludf.DUMMYFUNCTION("""COMPUTED_VALUE"""),94.0)</f>
        <v>94</v>
      </c>
      <c r="G942" s="26">
        <f>IFERROR(__xludf.DUMMYFUNCTION("""COMPUTED_VALUE"""),1.677676346267E12)</f>
        <v>1677676346267</v>
      </c>
      <c r="H942" s="26">
        <f t="shared" si="1"/>
        <v>148468</v>
      </c>
    </row>
    <row r="943">
      <c r="F943" s="26">
        <f>IFERROR(__xludf.DUMMYFUNCTION("""COMPUTED_VALUE"""),94.1)</f>
        <v>94.1</v>
      </c>
      <c r="G943" s="26">
        <f>IFERROR(__xludf.DUMMYFUNCTION("""COMPUTED_VALUE"""),1.677676346274E12)</f>
        <v>1677676346274</v>
      </c>
      <c r="H943" s="26">
        <f t="shared" si="1"/>
        <v>148475</v>
      </c>
    </row>
    <row r="944">
      <c r="F944" s="26">
        <f>IFERROR(__xludf.DUMMYFUNCTION("""COMPUTED_VALUE"""),94.2)</f>
        <v>94.2</v>
      </c>
      <c r="G944" s="26">
        <f>IFERROR(__xludf.DUMMYFUNCTION("""COMPUTED_VALUE"""),1.677676346279E12)</f>
        <v>1677676346279</v>
      </c>
      <c r="H944" s="26">
        <f t="shared" si="1"/>
        <v>148480</v>
      </c>
    </row>
    <row r="945">
      <c r="F945" s="26">
        <f>IFERROR(__xludf.DUMMYFUNCTION("""COMPUTED_VALUE"""),94.3)</f>
        <v>94.3</v>
      </c>
      <c r="G945" s="26">
        <f>IFERROR(__xludf.DUMMYFUNCTION("""COMPUTED_VALUE"""),1.677676346287E12)</f>
        <v>1677676346287</v>
      </c>
      <c r="H945" s="26">
        <f t="shared" si="1"/>
        <v>148488</v>
      </c>
    </row>
    <row r="946">
      <c r="F946" s="26">
        <f>IFERROR(__xludf.DUMMYFUNCTION("""COMPUTED_VALUE"""),94.4)</f>
        <v>94.4</v>
      </c>
      <c r="G946" s="26">
        <f>IFERROR(__xludf.DUMMYFUNCTION("""COMPUTED_VALUE"""),1.677676346291E12)</f>
        <v>1677676346291</v>
      </c>
      <c r="H946" s="26">
        <f t="shared" si="1"/>
        <v>148492</v>
      </c>
    </row>
    <row r="947">
      <c r="F947" s="26">
        <f>IFERROR(__xludf.DUMMYFUNCTION("""COMPUTED_VALUE"""),94.5)</f>
        <v>94.5</v>
      </c>
      <c r="G947" s="26">
        <f>IFERROR(__xludf.DUMMYFUNCTION("""COMPUTED_VALUE"""),1.677676346297E12)</f>
        <v>1677676346297</v>
      </c>
      <c r="H947" s="26">
        <f t="shared" si="1"/>
        <v>148498</v>
      </c>
    </row>
    <row r="948">
      <c r="F948" s="26">
        <f>IFERROR(__xludf.DUMMYFUNCTION("""COMPUTED_VALUE"""),94.6)</f>
        <v>94.6</v>
      </c>
      <c r="G948" s="26">
        <f>IFERROR(__xludf.DUMMYFUNCTION("""COMPUTED_VALUE"""),1.677676346303E12)</f>
        <v>1677676346303</v>
      </c>
      <c r="H948" s="26">
        <f t="shared" si="1"/>
        <v>148504</v>
      </c>
    </row>
    <row r="949">
      <c r="F949" s="26">
        <f>IFERROR(__xludf.DUMMYFUNCTION("""COMPUTED_VALUE"""),94.7)</f>
        <v>94.7</v>
      </c>
      <c r="G949" s="26">
        <f>IFERROR(__xludf.DUMMYFUNCTION("""COMPUTED_VALUE"""),1.677676346307E12)</f>
        <v>1677676346307</v>
      </c>
      <c r="H949" s="26">
        <f t="shared" si="1"/>
        <v>148508</v>
      </c>
    </row>
    <row r="950">
      <c r="F950" s="26">
        <f>IFERROR(__xludf.DUMMYFUNCTION("""COMPUTED_VALUE"""),94.8)</f>
        <v>94.8</v>
      </c>
      <c r="G950" s="26">
        <f>IFERROR(__xludf.DUMMYFUNCTION("""COMPUTED_VALUE"""),1.677676346314E12)</f>
        <v>1677676346314</v>
      </c>
      <c r="H950" s="26">
        <f t="shared" si="1"/>
        <v>148515</v>
      </c>
    </row>
    <row r="951">
      <c r="F951" s="26">
        <f>IFERROR(__xludf.DUMMYFUNCTION("""COMPUTED_VALUE"""),94.9)</f>
        <v>94.9</v>
      </c>
      <c r="G951" s="26">
        <f>IFERROR(__xludf.DUMMYFUNCTION("""COMPUTED_VALUE"""),1.67767634632E12)</f>
        <v>1677676346320</v>
      </c>
      <c r="H951" s="26">
        <f t="shared" si="1"/>
        <v>148521</v>
      </c>
    </row>
    <row r="952">
      <c r="F952" s="26">
        <f>IFERROR(__xludf.DUMMYFUNCTION("""COMPUTED_VALUE"""),95.0)</f>
        <v>95</v>
      </c>
      <c r="G952" s="26">
        <f>IFERROR(__xludf.DUMMYFUNCTION("""COMPUTED_VALUE"""),1.677676346327E12)</f>
        <v>1677676346327</v>
      </c>
      <c r="H952" s="26">
        <f t="shared" si="1"/>
        <v>148528</v>
      </c>
    </row>
    <row r="953">
      <c r="F953" s="26">
        <f>IFERROR(__xludf.DUMMYFUNCTION("""COMPUTED_VALUE"""),95.1)</f>
        <v>95.1</v>
      </c>
      <c r="G953" s="26">
        <f>IFERROR(__xludf.DUMMYFUNCTION("""COMPUTED_VALUE"""),1.677676346333E12)</f>
        <v>1677676346333</v>
      </c>
      <c r="H953" s="26">
        <f t="shared" si="1"/>
        <v>148534</v>
      </c>
    </row>
    <row r="954">
      <c r="F954" s="26">
        <f>IFERROR(__xludf.DUMMYFUNCTION("""COMPUTED_VALUE"""),95.2)</f>
        <v>95.2</v>
      </c>
      <c r="G954" s="26">
        <f>IFERROR(__xludf.DUMMYFUNCTION("""COMPUTED_VALUE"""),1.677676346338E12)</f>
        <v>1677676346338</v>
      </c>
      <c r="H954" s="26">
        <f t="shared" si="1"/>
        <v>148539</v>
      </c>
    </row>
    <row r="955">
      <c r="F955" s="26">
        <f>IFERROR(__xludf.DUMMYFUNCTION("""COMPUTED_VALUE"""),95.3)</f>
        <v>95.3</v>
      </c>
      <c r="G955" s="26">
        <f>IFERROR(__xludf.DUMMYFUNCTION("""COMPUTED_VALUE"""),1.677676346345E12)</f>
        <v>1677676346345</v>
      </c>
      <c r="H955" s="26">
        <f t="shared" si="1"/>
        <v>148546</v>
      </c>
    </row>
    <row r="956">
      <c r="F956" s="26">
        <f>IFERROR(__xludf.DUMMYFUNCTION("""COMPUTED_VALUE"""),95.4)</f>
        <v>95.4</v>
      </c>
      <c r="G956" s="26">
        <f>IFERROR(__xludf.DUMMYFUNCTION("""COMPUTED_VALUE"""),1.677676346349E12)</f>
        <v>1677676346349</v>
      </c>
      <c r="H956" s="26">
        <f t="shared" si="1"/>
        <v>148550</v>
      </c>
    </row>
    <row r="957">
      <c r="F957" s="26">
        <f>IFERROR(__xludf.DUMMYFUNCTION("""COMPUTED_VALUE"""),95.5)</f>
        <v>95.5</v>
      </c>
      <c r="G957" s="26">
        <f>IFERROR(__xludf.DUMMYFUNCTION("""COMPUTED_VALUE"""),1.677676346356E12)</f>
        <v>1677676346356</v>
      </c>
      <c r="H957" s="26">
        <f t="shared" si="1"/>
        <v>148557</v>
      </c>
    </row>
    <row r="958">
      <c r="F958" s="26">
        <f>IFERROR(__xludf.DUMMYFUNCTION("""COMPUTED_VALUE"""),95.6)</f>
        <v>95.6</v>
      </c>
      <c r="G958" s="26">
        <f>IFERROR(__xludf.DUMMYFUNCTION("""COMPUTED_VALUE"""),1.677676346362E12)</f>
        <v>1677676346362</v>
      </c>
      <c r="H958" s="26">
        <f t="shared" si="1"/>
        <v>148563</v>
      </c>
    </row>
    <row r="959">
      <c r="F959" s="26">
        <f>IFERROR(__xludf.DUMMYFUNCTION("""COMPUTED_VALUE"""),95.7)</f>
        <v>95.7</v>
      </c>
      <c r="G959" s="26">
        <f>IFERROR(__xludf.DUMMYFUNCTION("""COMPUTED_VALUE"""),1.677676346368E12)</f>
        <v>1677676346368</v>
      </c>
      <c r="H959" s="26">
        <f t="shared" si="1"/>
        <v>148569</v>
      </c>
    </row>
    <row r="960">
      <c r="F960" s="26">
        <f>IFERROR(__xludf.DUMMYFUNCTION("""COMPUTED_VALUE"""),95.8)</f>
        <v>95.8</v>
      </c>
      <c r="G960" s="26">
        <f>IFERROR(__xludf.DUMMYFUNCTION("""COMPUTED_VALUE"""),1.677676346375E12)</f>
        <v>1677676346375</v>
      </c>
      <c r="H960" s="26">
        <f t="shared" si="1"/>
        <v>148576</v>
      </c>
    </row>
    <row r="961">
      <c r="F961" s="26">
        <f>IFERROR(__xludf.DUMMYFUNCTION("""COMPUTED_VALUE"""),95.9)</f>
        <v>95.9</v>
      </c>
      <c r="G961" s="26">
        <f>IFERROR(__xludf.DUMMYFUNCTION("""COMPUTED_VALUE"""),1.67767634638E12)</f>
        <v>1677676346380</v>
      </c>
      <c r="H961" s="26">
        <f t="shared" si="1"/>
        <v>148581</v>
      </c>
    </row>
    <row r="962">
      <c r="F962" s="26">
        <f>IFERROR(__xludf.DUMMYFUNCTION("""COMPUTED_VALUE"""),96.0)</f>
        <v>96</v>
      </c>
      <c r="G962" s="26">
        <f>IFERROR(__xludf.DUMMYFUNCTION("""COMPUTED_VALUE"""),1.677676346386E12)</f>
        <v>1677676346386</v>
      </c>
      <c r="H962" s="26">
        <f t="shared" si="1"/>
        <v>148587</v>
      </c>
    </row>
    <row r="963">
      <c r="F963" s="26">
        <f>IFERROR(__xludf.DUMMYFUNCTION("""COMPUTED_VALUE"""),96.1)</f>
        <v>96.1</v>
      </c>
      <c r="G963" s="26">
        <f>IFERROR(__xludf.DUMMYFUNCTION("""COMPUTED_VALUE"""),1.677676346392E12)</f>
        <v>1677676346392</v>
      </c>
      <c r="H963" s="26">
        <f t="shared" si="1"/>
        <v>148593</v>
      </c>
    </row>
    <row r="964">
      <c r="F964" s="26">
        <f>IFERROR(__xludf.DUMMYFUNCTION("""COMPUTED_VALUE"""),96.2)</f>
        <v>96.2</v>
      </c>
      <c r="G964" s="26">
        <f>IFERROR(__xludf.DUMMYFUNCTION("""COMPUTED_VALUE"""),1.677676346398E12)</f>
        <v>1677676346398</v>
      </c>
      <c r="H964" s="26">
        <f t="shared" si="1"/>
        <v>148599</v>
      </c>
    </row>
    <row r="965">
      <c r="F965" s="26">
        <f>IFERROR(__xludf.DUMMYFUNCTION("""COMPUTED_VALUE"""),96.3)</f>
        <v>96.3</v>
      </c>
      <c r="G965" s="26">
        <f>IFERROR(__xludf.DUMMYFUNCTION("""COMPUTED_VALUE"""),1.677676346405E12)</f>
        <v>1677676346405</v>
      </c>
      <c r="H965" s="26">
        <f t="shared" si="1"/>
        <v>148606</v>
      </c>
    </row>
    <row r="966">
      <c r="F966" s="26">
        <f>IFERROR(__xludf.DUMMYFUNCTION("""COMPUTED_VALUE"""),96.4)</f>
        <v>96.4</v>
      </c>
      <c r="G966" s="26">
        <f>IFERROR(__xludf.DUMMYFUNCTION("""COMPUTED_VALUE"""),1.677676346412E12)</f>
        <v>1677676346412</v>
      </c>
      <c r="H966" s="26">
        <f t="shared" si="1"/>
        <v>148613</v>
      </c>
    </row>
    <row r="967">
      <c r="F967" s="26">
        <f>IFERROR(__xludf.DUMMYFUNCTION("""COMPUTED_VALUE"""),96.5)</f>
        <v>96.5</v>
      </c>
      <c r="G967" s="26">
        <f>IFERROR(__xludf.DUMMYFUNCTION("""COMPUTED_VALUE"""),1.677676346417E12)</f>
        <v>1677676346417</v>
      </c>
      <c r="H967" s="26">
        <f t="shared" si="1"/>
        <v>148618</v>
      </c>
    </row>
    <row r="968">
      <c r="F968" s="26">
        <f>IFERROR(__xludf.DUMMYFUNCTION("""COMPUTED_VALUE"""),96.6)</f>
        <v>96.6</v>
      </c>
      <c r="G968" s="26">
        <f>IFERROR(__xludf.DUMMYFUNCTION("""COMPUTED_VALUE"""),1.677676346424E12)</f>
        <v>1677676346424</v>
      </c>
      <c r="H968" s="26">
        <f t="shared" si="1"/>
        <v>148625</v>
      </c>
    </row>
    <row r="969">
      <c r="F969" s="26">
        <f>IFERROR(__xludf.DUMMYFUNCTION("""COMPUTED_VALUE"""),96.7)</f>
        <v>96.7</v>
      </c>
      <c r="G969" s="26">
        <f>IFERROR(__xludf.DUMMYFUNCTION("""COMPUTED_VALUE"""),1.677676346429E12)</f>
        <v>1677676346429</v>
      </c>
      <c r="H969" s="26">
        <f t="shared" si="1"/>
        <v>148630</v>
      </c>
    </row>
    <row r="970">
      <c r="F970" s="26">
        <f>IFERROR(__xludf.DUMMYFUNCTION("""COMPUTED_VALUE"""),96.8)</f>
        <v>96.8</v>
      </c>
      <c r="G970" s="26">
        <f>IFERROR(__xludf.DUMMYFUNCTION("""COMPUTED_VALUE"""),1.677676346436E12)</f>
        <v>1677676346436</v>
      </c>
      <c r="H970" s="26">
        <f t="shared" si="1"/>
        <v>148637</v>
      </c>
    </row>
    <row r="971">
      <c r="F971" s="26">
        <f>IFERROR(__xludf.DUMMYFUNCTION("""COMPUTED_VALUE"""),96.9)</f>
        <v>96.9</v>
      </c>
      <c r="G971" s="26">
        <f>IFERROR(__xludf.DUMMYFUNCTION("""COMPUTED_VALUE"""),1.677676346442E12)</f>
        <v>1677676346442</v>
      </c>
      <c r="H971" s="26">
        <f t="shared" si="1"/>
        <v>148643</v>
      </c>
    </row>
    <row r="972">
      <c r="F972" s="26">
        <f>IFERROR(__xludf.DUMMYFUNCTION("""COMPUTED_VALUE"""),97.0)</f>
        <v>97</v>
      </c>
      <c r="G972" s="26">
        <f>IFERROR(__xludf.DUMMYFUNCTION("""COMPUTED_VALUE"""),1.677676346448E12)</f>
        <v>1677676346448</v>
      </c>
      <c r="H972" s="26">
        <f t="shared" si="1"/>
        <v>148649</v>
      </c>
    </row>
    <row r="973">
      <c r="F973" s="26">
        <f>IFERROR(__xludf.DUMMYFUNCTION("""COMPUTED_VALUE"""),97.1)</f>
        <v>97.1</v>
      </c>
      <c r="G973" s="26">
        <f>IFERROR(__xludf.DUMMYFUNCTION("""COMPUTED_VALUE"""),1.677676346455E12)</f>
        <v>1677676346455</v>
      </c>
      <c r="H973" s="26">
        <f t="shared" si="1"/>
        <v>148656</v>
      </c>
    </row>
    <row r="974">
      <c r="F974" s="26">
        <f>IFERROR(__xludf.DUMMYFUNCTION("""COMPUTED_VALUE"""),97.2)</f>
        <v>97.2</v>
      </c>
      <c r="G974" s="26">
        <f>IFERROR(__xludf.DUMMYFUNCTION("""COMPUTED_VALUE"""),1.677676346461E12)</f>
        <v>1677676346461</v>
      </c>
      <c r="H974" s="26">
        <f t="shared" si="1"/>
        <v>148662</v>
      </c>
    </row>
    <row r="975">
      <c r="F975" s="26">
        <f>IFERROR(__xludf.DUMMYFUNCTION("""COMPUTED_VALUE"""),97.3)</f>
        <v>97.3</v>
      </c>
      <c r="G975" s="26">
        <f>IFERROR(__xludf.DUMMYFUNCTION("""COMPUTED_VALUE"""),1.677676346467E12)</f>
        <v>1677676346467</v>
      </c>
      <c r="H975" s="26">
        <f t="shared" si="1"/>
        <v>148668</v>
      </c>
    </row>
    <row r="976">
      <c r="F976" s="26">
        <f>IFERROR(__xludf.DUMMYFUNCTION("""COMPUTED_VALUE"""),97.4)</f>
        <v>97.4</v>
      </c>
      <c r="G976" s="26">
        <f>IFERROR(__xludf.DUMMYFUNCTION("""COMPUTED_VALUE"""),1.677676346475E12)</f>
        <v>1677676346475</v>
      </c>
      <c r="H976" s="26">
        <f t="shared" si="1"/>
        <v>148676</v>
      </c>
    </row>
    <row r="977">
      <c r="F977" s="26">
        <f>IFERROR(__xludf.DUMMYFUNCTION("""COMPUTED_VALUE"""),97.5)</f>
        <v>97.5</v>
      </c>
      <c r="G977" s="26">
        <f>IFERROR(__xludf.DUMMYFUNCTION("""COMPUTED_VALUE"""),1.677676346481E12)</f>
        <v>1677676346481</v>
      </c>
      <c r="H977" s="26">
        <f t="shared" si="1"/>
        <v>148682</v>
      </c>
    </row>
    <row r="978">
      <c r="F978" s="26">
        <f>IFERROR(__xludf.DUMMYFUNCTION("""COMPUTED_VALUE"""),97.6)</f>
        <v>97.6</v>
      </c>
      <c r="G978" s="26">
        <f>IFERROR(__xludf.DUMMYFUNCTION("""COMPUTED_VALUE"""),1.677676346487E12)</f>
        <v>1677676346487</v>
      </c>
      <c r="H978" s="26">
        <f t="shared" si="1"/>
        <v>148688</v>
      </c>
    </row>
    <row r="979">
      <c r="F979" s="26">
        <f>IFERROR(__xludf.DUMMYFUNCTION("""COMPUTED_VALUE"""),97.7)</f>
        <v>97.7</v>
      </c>
      <c r="G979" s="26">
        <f>IFERROR(__xludf.DUMMYFUNCTION("""COMPUTED_VALUE"""),1.677676346495E12)</f>
        <v>1677676346495</v>
      </c>
      <c r="H979" s="26">
        <f t="shared" si="1"/>
        <v>148696</v>
      </c>
    </row>
    <row r="980">
      <c r="F980" s="26">
        <f>IFERROR(__xludf.DUMMYFUNCTION("""COMPUTED_VALUE"""),97.8)</f>
        <v>97.8</v>
      </c>
      <c r="G980" s="26">
        <f>IFERROR(__xludf.DUMMYFUNCTION("""COMPUTED_VALUE"""),1.677676346499E12)</f>
        <v>1677676346499</v>
      </c>
      <c r="H980" s="26">
        <f t="shared" si="1"/>
        <v>148700</v>
      </c>
    </row>
    <row r="981">
      <c r="F981" s="26">
        <f>IFERROR(__xludf.DUMMYFUNCTION("""COMPUTED_VALUE"""),97.9)</f>
        <v>97.9</v>
      </c>
      <c r="G981" s="26">
        <f>IFERROR(__xludf.DUMMYFUNCTION("""COMPUTED_VALUE"""),1.677676346507E12)</f>
        <v>1677676346507</v>
      </c>
      <c r="H981" s="26">
        <f t="shared" si="1"/>
        <v>148708</v>
      </c>
    </row>
    <row r="982">
      <c r="F982" s="26">
        <f>IFERROR(__xludf.DUMMYFUNCTION("""COMPUTED_VALUE"""),98.0)</f>
        <v>98</v>
      </c>
      <c r="G982" s="26">
        <f>IFERROR(__xludf.DUMMYFUNCTION("""COMPUTED_VALUE"""),1.677676346514E12)</f>
        <v>1677676346514</v>
      </c>
      <c r="H982" s="26">
        <f t="shared" si="1"/>
        <v>148715</v>
      </c>
    </row>
    <row r="983">
      <c r="F983" s="26">
        <f>IFERROR(__xludf.DUMMYFUNCTION("""COMPUTED_VALUE"""),98.1)</f>
        <v>98.1</v>
      </c>
      <c r="G983" s="26">
        <f>IFERROR(__xludf.DUMMYFUNCTION("""COMPUTED_VALUE"""),1.677676346518E12)</f>
        <v>1677676346518</v>
      </c>
      <c r="H983" s="26">
        <f t="shared" si="1"/>
        <v>148719</v>
      </c>
    </row>
    <row r="984">
      <c r="F984" s="26">
        <f>IFERROR(__xludf.DUMMYFUNCTION("""COMPUTED_VALUE"""),98.2)</f>
        <v>98.2</v>
      </c>
      <c r="G984" s="26">
        <f>IFERROR(__xludf.DUMMYFUNCTION("""COMPUTED_VALUE"""),1.677676346525E12)</f>
        <v>1677676346525</v>
      </c>
      <c r="H984" s="26">
        <f t="shared" si="1"/>
        <v>148726</v>
      </c>
    </row>
    <row r="985">
      <c r="F985" s="26">
        <f>IFERROR(__xludf.DUMMYFUNCTION("""COMPUTED_VALUE"""),98.3)</f>
        <v>98.3</v>
      </c>
      <c r="G985" s="26">
        <f>IFERROR(__xludf.DUMMYFUNCTION("""COMPUTED_VALUE"""),1.677676346532E12)</f>
        <v>1677676346532</v>
      </c>
      <c r="H985" s="26">
        <f t="shared" si="1"/>
        <v>148733</v>
      </c>
    </row>
    <row r="986">
      <c r="F986" s="26">
        <f>IFERROR(__xludf.DUMMYFUNCTION("""COMPUTED_VALUE"""),98.4)</f>
        <v>98.4</v>
      </c>
      <c r="G986" s="26">
        <f>IFERROR(__xludf.DUMMYFUNCTION("""COMPUTED_VALUE"""),1.677676346537E12)</f>
        <v>1677676346537</v>
      </c>
      <c r="H986" s="26">
        <f t="shared" si="1"/>
        <v>148738</v>
      </c>
    </row>
    <row r="987">
      <c r="F987" s="26">
        <f>IFERROR(__xludf.DUMMYFUNCTION("""COMPUTED_VALUE"""),98.5)</f>
        <v>98.5</v>
      </c>
      <c r="G987" s="26">
        <f>IFERROR(__xludf.DUMMYFUNCTION("""COMPUTED_VALUE"""),1.677676346542E12)</f>
        <v>1677676346542</v>
      </c>
      <c r="H987" s="26">
        <f t="shared" si="1"/>
        <v>148743</v>
      </c>
    </row>
    <row r="988">
      <c r="F988" s="26">
        <f>IFERROR(__xludf.DUMMYFUNCTION("""COMPUTED_VALUE"""),98.6)</f>
        <v>98.6</v>
      </c>
      <c r="G988" s="26">
        <f>IFERROR(__xludf.DUMMYFUNCTION("""COMPUTED_VALUE"""),1.677676346548E12)</f>
        <v>1677676346548</v>
      </c>
      <c r="H988" s="26">
        <f t="shared" si="1"/>
        <v>148749</v>
      </c>
    </row>
    <row r="989">
      <c r="F989" s="26">
        <f>IFERROR(__xludf.DUMMYFUNCTION("""COMPUTED_VALUE"""),98.7)</f>
        <v>98.7</v>
      </c>
      <c r="G989" s="26">
        <f>IFERROR(__xludf.DUMMYFUNCTION("""COMPUTED_VALUE"""),1.677676346562E12)</f>
        <v>1677676346562</v>
      </c>
      <c r="H989" s="26">
        <f t="shared" si="1"/>
        <v>148763</v>
      </c>
    </row>
    <row r="990">
      <c r="F990" s="26">
        <f>IFERROR(__xludf.DUMMYFUNCTION("""COMPUTED_VALUE"""),98.8)</f>
        <v>98.8</v>
      </c>
      <c r="G990" s="26">
        <f>IFERROR(__xludf.DUMMYFUNCTION("""COMPUTED_VALUE"""),1.677676346571E12)</f>
        <v>1677676346571</v>
      </c>
      <c r="H990" s="26">
        <f t="shared" si="1"/>
        <v>148772</v>
      </c>
    </row>
    <row r="991">
      <c r="F991" s="26">
        <f>IFERROR(__xludf.DUMMYFUNCTION("""COMPUTED_VALUE"""),98.9)</f>
        <v>98.9</v>
      </c>
      <c r="G991" s="26">
        <f>IFERROR(__xludf.DUMMYFUNCTION("""COMPUTED_VALUE"""),1.67767634658E12)</f>
        <v>1677676346580</v>
      </c>
      <c r="H991" s="26">
        <f t="shared" si="1"/>
        <v>148781</v>
      </c>
    </row>
    <row r="992">
      <c r="F992" s="26">
        <f>IFERROR(__xludf.DUMMYFUNCTION("""COMPUTED_VALUE"""),99.0)</f>
        <v>99</v>
      </c>
      <c r="G992" s="26">
        <f>IFERROR(__xludf.DUMMYFUNCTION("""COMPUTED_VALUE"""),1.677676346586E12)</f>
        <v>1677676346586</v>
      </c>
      <c r="H992" s="26">
        <f t="shared" si="1"/>
        <v>148787</v>
      </c>
    </row>
    <row r="993">
      <c r="F993" s="26">
        <f>IFERROR(__xludf.DUMMYFUNCTION("""COMPUTED_VALUE"""),99.1)</f>
        <v>99.1</v>
      </c>
      <c r="G993" s="26">
        <f>IFERROR(__xludf.DUMMYFUNCTION("""COMPUTED_VALUE"""),1.677676346592E12)</f>
        <v>1677676346592</v>
      </c>
      <c r="H993" s="26">
        <f t="shared" si="1"/>
        <v>148793</v>
      </c>
    </row>
    <row r="994">
      <c r="F994" s="26">
        <f>IFERROR(__xludf.DUMMYFUNCTION("""COMPUTED_VALUE"""),99.2)</f>
        <v>99.2</v>
      </c>
      <c r="G994" s="26">
        <f>IFERROR(__xludf.DUMMYFUNCTION("""COMPUTED_VALUE"""),1.677676346598E12)</f>
        <v>1677676346598</v>
      </c>
      <c r="H994" s="26">
        <f t="shared" si="1"/>
        <v>148799</v>
      </c>
    </row>
    <row r="995">
      <c r="F995" s="26">
        <f>IFERROR(__xludf.DUMMYFUNCTION("""COMPUTED_VALUE"""),99.3)</f>
        <v>99.3</v>
      </c>
      <c r="G995" s="26">
        <f>IFERROR(__xludf.DUMMYFUNCTION("""COMPUTED_VALUE"""),1.677676346605E12)</f>
        <v>1677676346605</v>
      </c>
      <c r="H995" s="26">
        <f t="shared" si="1"/>
        <v>148806</v>
      </c>
    </row>
    <row r="996">
      <c r="F996" s="26">
        <f>IFERROR(__xludf.DUMMYFUNCTION("""COMPUTED_VALUE"""),99.4)</f>
        <v>99.4</v>
      </c>
      <c r="G996" s="26">
        <f>IFERROR(__xludf.DUMMYFUNCTION("""COMPUTED_VALUE"""),1.677676346611E12)</f>
        <v>1677676346611</v>
      </c>
      <c r="H996" s="26">
        <f t="shared" si="1"/>
        <v>148812</v>
      </c>
    </row>
    <row r="997">
      <c r="F997" s="26">
        <f>IFERROR(__xludf.DUMMYFUNCTION("""COMPUTED_VALUE"""),99.5)</f>
        <v>99.5</v>
      </c>
      <c r="G997" s="26">
        <f>IFERROR(__xludf.DUMMYFUNCTION("""COMPUTED_VALUE"""),1.677676346617E12)</f>
        <v>1677676346617</v>
      </c>
      <c r="H997" s="26">
        <f t="shared" si="1"/>
        <v>148818</v>
      </c>
    </row>
    <row r="998">
      <c r="F998" s="26">
        <f>IFERROR(__xludf.DUMMYFUNCTION("""COMPUTED_VALUE"""),99.6)</f>
        <v>99.6</v>
      </c>
      <c r="G998" s="26">
        <f>IFERROR(__xludf.DUMMYFUNCTION("""COMPUTED_VALUE"""),1.677676346628E12)</f>
        <v>1677676346628</v>
      </c>
      <c r="H998" s="26">
        <f t="shared" si="1"/>
        <v>148829</v>
      </c>
    </row>
    <row r="999">
      <c r="F999" s="26">
        <f>IFERROR(__xludf.DUMMYFUNCTION("""COMPUTED_VALUE"""),99.7)</f>
        <v>99.7</v>
      </c>
      <c r="G999" s="26">
        <f>IFERROR(__xludf.DUMMYFUNCTION("""COMPUTED_VALUE"""),1.677676346638E12)</f>
        <v>1677676346638</v>
      </c>
      <c r="H999" s="26">
        <f t="shared" si="1"/>
        <v>148839</v>
      </c>
    </row>
    <row r="1000">
      <c r="F1000" s="26">
        <f>IFERROR(__xludf.DUMMYFUNCTION("""COMPUTED_VALUE"""),99.8)</f>
        <v>99.8</v>
      </c>
      <c r="G1000" s="26">
        <f>IFERROR(__xludf.DUMMYFUNCTION("""COMPUTED_VALUE"""),1.677676346642E12)</f>
        <v>1677676346642</v>
      </c>
      <c r="H1000" s="26">
        <f t="shared" si="1"/>
        <v>148843</v>
      </c>
    </row>
    <row r="1001">
      <c r="F1001" s="26">
        <f>IFERROR(__xludf.DUMMYFUNCTION("""COMPUTED_VALUE"""),99.9)</f>
        <v>99.9</v>
      </c>
      <c r="G1001" s="26">
        <f>IFERROR(__xludf.DUMMYFUNCTION("""COMPUTED_VALUE"""),1.677676346648E12)</f>
        <v>1677676346648</v>
      </c>
      <c r="H1001" s="26">
        <f t="shared" si="1"/>
        <v>148849</v>
      </c>
    </row>
    <row r="1002">
      <c r="F1002" s="26">
        <f>IFERROR(__xludf.DUMMYFUNCTION("""COMPUTED_VALUE"""),100.0)</f>
        <v>100</v>
      </c>
      <c r="G1002" s="26">
        <f>IFERROR(__xludf.DUMMYFUNCTION("""COMPUTED_VALUE"""),1.677676346653E12)</f>
        <v>1677676346653</v>
      </c>
      <c r="H1002" s="26">
        <f t="shared" si="1"/>
        <v>148854</v>
      </c>
    </row>
    <row r="1003">
      <c r="F1003" s="26">
        <f>IFERROR(__xludf.DUMMYFUNCTION("""COMPUTED_VALUE"""),100.1)</f>
        <v>100.1</v>
      </c>
      <c r="G1003" s="26">
        <f>IFERROR(__xludf.DUMMYFUNCTION("""COMPUTED_VALUE"""),1.677676346658E12)</f>
        <v>1677676346658</v>
      </c>
      <c r="H1003" s="26">
        <f t="shared" si="1"/>
        <v>148859</v>
      </c>
    </row>
    <row r="1004">
      <c r="F1004" s="26">
        <f>IFERROR(__xludf.DUMMYFUNCTION("""COMPUTED_VALUE"""),100.2)</f>
        <v>100.2</v>
      </c>
      <c r="G1004" s="26">
        <f>IFERROR(__xludf.DUMMYFUNCTION("""COMPUTED_VALUE"""),1.677676346667E12)</f>
        <v>1677676346667</v>
      </c>
      <c r="H1004" s="26">
        <f t="shared" si="1"/>
        <v>148868</v>
      </c>
    </row>
    <row r="1005">
      <c r="F1005" s="26">
        <f>IFERROR(__xludf.DUMMYFUNCTION("""COMPUTED_VALUE"""),100.3)</f>
        <v>100.3</v>
      </c>
      <c r="G1005" s="26">
        <f>IFERROR(__xludf.DUMMYFUNCTION("""COMPUTED_VALUE"""),1.677676346673E12)</f>
        <v>1677676346673</v>
      </c>
      <c r="H1005" s="26">
        <f t="shared" si="1"/>
        <v>148874</v>
      </c>
    </row>
    <row r="1006">
      <c r="F1006" s="26">
        <f>IFERROR(__xludf.DUMMYFUNCTION("""COMPUTED_VALUE"""),100.4)</f>
        <v>100.4</v>
      </c>
      <c r="G1006" s="26">
        <f>IFERROR(__xludf.DUMMYFUNCTION("""COMPUTED_VALUE"""),1.677676346678E12)</f>
        <v>1677676346678</v>
      </c>
      <c r="H1006" s="26">
        <f t="shared" si="1"/>
        <v>148879</v>
      </c>
    </row>
    <row r="1007">
      <c r="F1007" s="26">
        <f>IFERROR(__xludf.DUMMYFUNCTION("""COMPUTED_VALUE"""),100.5)</f>
        <v>100.5</v>
      </c>
      <c r="G1007" s="26">
        <f>IFERROR(__xludf.DUMMYFUNCTION("""COMPUTED_VALUE"""),1.677676346685E12)</f>
        <v>1677676346685</v>
      </c>
      <c r="H1007" s="26">
        <f t="shared" si="1"/>
        <v>148886</v>
      </c>
    </row>
    <row r="1008">
      <c r="F1008" s="26">
        <f>IFERROR(__xludf.DUMMYFUNCTION("""COMPUTED_VALUE"""),100.6)</f>
        <v>100.6</v>
      </c>
      <c r="G1008" s="26">
        <f>IFERROR(__xludf.DUMMYFUNCTION("""COMPUTED_VALUE"""),1.67767634669E12)</f>
        <v>1677676346690</v>
      </c>
      <c r="H1008" s="26">
        <f t="shared" si="1"/>
        <v>148891</v>
      </c>
    </row>
    <row r="1009">
      <c r="F1009" s="26">
        <f>IFERROR(__xludf.DUMMYFUNCTION("""COMPUTED_VALUE"""),100.7)</f>
        <v>100.7</v>
      </c>
      <c r="G1009" s="26">
        <f>IFERROR(__xludf.DUMMYFUNCTION("""COMPUTED_VALUE"""),1.677676346697E12)</f>
        <v>1677676346697</v>
      </c>
      <c r="H1009" s="26">
        <f t="shared" si="1"/>
        <v>148898</v>
      </c>
    </row>
    <row r="1010">
      <c r="F1010" s="26">
        <f>IFERROR(__xludf.DUMMYFUNCTION("""COMPUTED_VALUE"""),100.8)</f>
        <v>100.8</v>
      </c>
      <c r="G1010" s="26">
        <f>IFERROR(__xludf.DUMMYFUNCTION("""COMPUTED_VALUE"""),1.677676346704E12)</f>
        <v>1677676346704</v>
      </c>
      <c r="H1010" s="26">
        <f t="shared" si="1"/>
        <v>148905</v>
      </c>
    </row>
    <row r="1011">
      <c r="F1011" s="26">
        <f>IFERROR(__xludf.DUMMYFUNCTION("""COMPUTED_VALUE"""),100.9)</f>
        <v>100.9</v>
      </c>
      <c r="G1011" s="26">
        <f>IFERROR(__xludf.DUMMYFUNCTION("""COMPUTED_VALUE"""),1.677676346709E12)</f>
        <v>1677676346709</v>
      </c>
      <c r="H1011" s="26">
        <f t="shared" si="1"/>
        <v>148910</v>
      </c>
    </row>
    <row r="1012">
      <c r="F1012" s="26">
        <f>IFERROR(__xludf.DUMMYFUNCTION("""COMPUTED_VALUE"""),101.0)</f>
        <v>101</v>
      </c>
      <c r="G1012" s="26">
        <f>IFERROR(__xludf.DUMMYFUNCTION("""COMPUTED_VALUE"""),1.677676346717E12)</f>
        <v>1677676346717</v>
      </c>
      <c r="H1012" s="26">
        <f t="shared" si="1"/>
        <v>148918</v>
      </c>
    </row>
    <row r="1013">
      <c r="F1013" s="26">
        <f>IFERROR(__xludf.DUMMYFUNCTION("""COMPUTED_VALUE"""),101.1)</f>
        <v>101.1</v>
      </c>
      <c r="G1013" s="26">
        <f>IFERROR(__xludf.DUMMYFUNCTION("""COMPUTED_VALUE"""),1.677676346722E12)</f>
        <v>1677676346722</v>
      </c>
      <c r="H1013" s="26">
        <f t="shared" si="1"/>
        <v>148923</v>
      </c>
    </row>
    <row r="1014">
      <c r="F1014" s="26">
        <f>IFERROR(__xludf.DUMMYFUNCTION("""COMPUTED_VALUE"""),101.2)</f>
        <v>101.2</v>
      </c>
      <c r="G1014" s="26">
        <f>IFERROR(__xludf.DUMMYFUNCTION("""COMPUTED_VALUE"""),1.677676346728E12)</f>
        <v>1677676346728</v>
      </c>
      <c r="H1014" s="26">
        <f t="shared" si="1"/>
        <v>148929</v>
      </c>
    </row>
    <row r="1015">
      <c r="F1015" s="26">
        <f>IFERROR(__xludf.DUMMYFUNCTION("""COMPUTED_VALUE"""),101.3)</f>
        <v>101.3</v>
      </c>
      <c r="G1015" s="26">
        <f>IFERROR(__xludf.DUMMYFUNCTION("""COMPUTED_VALUE"""),1.677676346739E12)</f>
        <v>1677676346739</v>
      </c>
      <c r="H1015" s="26">
        <f t="shared" si="1"/>
        <v>148940</v>
      </c>
    </row>
    <row r="1016">
      <c r="F1016" s="26">
        <f>IFERROR(__xludf.DUMMYFUNCTION("""COMPUTED_VALUE"""),101.4)</f>
        <v>101.4</v>
      </c>
      <c r="G1016" s="26">
        <f>IFERROR(__xludf.DUMMYFUNCTION("""COMPUTED_VALUE"""),1.677676346747E12)</f>
        <v>1677676346747</v>
      </c>
      <c r="H1016" s="26">
        <f t="shared" si="1"/>
        <v>148948</v>
      </c>
    </row>
    <row r="1017">
      <c r="F1017" s="26">
        <f>IFERROR(__xludf.DUMMYFUNCTION("""COMPUTED_VALUE"""),101.5)</f>
        <v>101.5</v>
      </c>
      <c r="G1017" s="26">
        <f>IFERROR(__xludf.DUMMYFUNCTION("""COMPUTED_VALUE"""),1.677676346753E12)</f>
        <v>1677676346753</v>
      </c>
      <c r="H1017" s="26">
        <f t="shared" si="1"/>
        <v>148954</v>
      </c>
    </row>
    <row r="1018">
      <c r="F1018" s="26">
        <f>IFERROR(__xludf.DUMMYFUNCTION("""COMPUTED_VALUE"""),101.6)</f>
        <v>101.6</v>
      </c>
      <c r="G1018" s="26">
        <f>IFERROR(__xludf.DUMMYFUNCTION("""COMPUTED_VALUE"""),1.677676346758E12)</f>
        <v>1677676346758</v>
      </c>
      <c r="H1018" s="26">
        <f t="shared" si="1"/>
        <v>148959</v>
      </c>
    </row>
    <row r="1019">
      <c r="F1019" s="26">
        <f>IFERROR(__xludf.DUMMYFUNCTION("""COMPUTED_VALUE"""),101.7)</f>
        <v>101.7</v>
      </c>
      <c r="G1019" s="26">
        <f>IFERROR(__xludf.DUMMYFUNCTION("""COMPUTED_VALUE"""),1.677676346764E12)</f>
        <v>1677676346764</v>
      </c>
      <c r="H1019" s="26">
        <f t="shared" si="1"/>
        <v>148965</v>
      </c>
    </row>
    <row r="1020">
      <c r="F1020" s="26">
        <f>IFERROR(__xludf.DUMMYFUNCTION("""COMPUTED_VALUE"""),101.8)</f>
        <v>101.8</v>
      </c>
      <c r="G1020" s="26">
        <f>IFERROR(__xludf.DUMMYFUNCTION("""COMPUTED_VALUE"""),1.677676346771E12)</f>
        <v>1677676346771</v>
      </c>
      <c r="H1020" s="26">
        <f t="shared" si="1"/>
        <v>148972</v>
      </c>
    </row>
    <row r="1021">
      <c r="F1021" s="26">
        <f>IFERROR(__xludf.DUMMYFUNCTION("""COMPUTED_VALUE"""),101.9)</f>
        <v>101.9</v>
      </c>
      <c r="G1021" s="26">
        <f>IFERROR(__xludf.DUMMYFUNCTION("""COMPUTED_VALUE"""),1.677676346782E12)</f>
        <v>1677676346782</v>
      </c>
      <c r="H1021" s="26">
        <f t="shared" si="1"/>
        <v>148983</v>
      </c>
    </row>
    <row r="1022">
      <c r="F1022" s="26">
        <f>IFERROR(__xludf.DUMMYFUNCTION("""COMPUTED_VALUE"""),102.0)</f>
        <v>102</v>
      </c>
      <c r="G1022" s="26">
        <f>IFERROR(__xludf.DUMMYFUNCTION("""COMPUTED_VALUE"""),1.677676346789E12)</f>
        <v>1677676346789</v>
      </c>
      <c r="H1022" s="26">
        <f t="shared" si="1"/>
        <v>148990</v>
      </c>
    </row>
    <row r="1023">
      <c r="F1023" s="26">
        <f>IFERROR(__xludf.DUMMYFUNCTION("""COMPUTED_VALUE"""),102.1)</f>
        <v>102.1</v>
      </c>
      <c r="G1023" s="26">
        <f>IFERROR(__xludf.DUMMYFUNCTION("""COMPUTED_VALUE"""),1.677676346798E12)</f>
        <v>1677676346798</v>
      </c>
      <c r="H1023" s="26">
        <f t="shared" si="1"/>
        <v>148999</v>
      </c>
    </row>
    <row r="1024">
      <c r="F1024" s="26">
        <f>IFERROR(__xludf.DUMMYFUNCTION("""COMPUTED_VALUE"""),102.2)</f>
        <v>102.2</v>
      </c>
      <c r="G1024" s="26">
        <f>IFERROR(__xludf.DUMMYFUNCTION("""COMPUTED_VALUE"""),1.677676346804E12)</f>
        <v>1677676346804</v>
      </c>
      <c r="H1024" s="26">
        <f t="shared" si="1"/>
        <v>149005</v>
      </c>
    </row>
    <row r="1025">
      <c r="F1025" s="26">
        <f>IFERROR(__xludf.DUMMYFUNCTION("""COMPUTED_VALUE"""),102.3)</f>
        <v>102.3</v>
      </c>
      <c r="G1025" s="26">
        <f>IFERROR(__xludf.DUMMYFUNCTION("""COMPUTED_VALUE"""),1.677676346809E12)</f>
        <v>1677676346809</v>
      </c>
      <c r="H1025" s="26">
        <f t="shared" si="1"/>
        <v>149010</v>
      </c>
    </row>
    <row r="1026">
      <c r="F1026" s="26">
        <f>IFERROR(__xludf.DUMMYFUNCTION("""COMPUTED_VALUE"""),102.4)</f>
        <v>102.4</v>
      </c>
      <c r="G1026" s="26">
        <f>IFERROR(__xludf.DUMMYFUNCTION("""COMPUTED_VALUE"""),1.677676346817E12)</f>
        <v>1677676346817</v>
      </c>
      <c r="H1026" s="26">
        <f t="shared" si="1"/>
        <v>149018</v>
      </c>
    </row>
    <row r="1027">
      <c r="F1027" s="26">
        <f>IFERROR(__xludf.DUMMYFUNCTION("""COMPUTED_VALUE"""),102.5)</f>
        <v>102.5</v>
      </c>
      <c r="G1027" s="26">
        <f>IFERROR(__xludf.DUMMYFUNCTION("""COMPUTED_VALUE"""),1.677676346822E12)</f>
        <v>1677676346822</v>
      </c>
      <c r="H1027" s="26">
        <f t="shared" si="1"/>
        <v>149023</v>
      </c>
    </row>
    <row r="1028">
      <c r="F1028" s="26">
        <f>IFERROR(__xludf.DUMMYFUNCTION("""COMPUTED_VALUE"""),102.6)</f>
        <v>102.6</v>
      </c>
      <c r="G1028" s="26">
        <f>IFERROR(__xludf.DUMMYFUNCTION("""COMPUTED_VALUE"""),1.677676346828E12)</f>
        <v>1677676346828</v>
      </c>
      <c r="H1028" s="26">
        <f t="shared" si="1"/>
        <v>149029</v>
      </c>
    </row>
    <row r="1029">
      <c r="F1029" s="26">
        <f>IFERROR(__xludf.DUMMYFUNCTION("""COMPUTED_VALUE"""),102.7)</f>
        <v>102.7</v>
      </c>
      <c r="G1029" s="26">
        <f>IFERROR(__xludf.DUMMYFUNCTION("""COMPUTED_VALUE"""),1.677676346836E12)</f>
        <v>1677676346836</v>
      </c>
      <c r="H1029" s="26">
        <f t="shared" si="1"/>
        <v>149037</v>
      </c>
    </row>
    <row r="1030">
      <c r="F1030" s="26">
        <f>IFERROR(__xludf.DUMMYFUNCTION("""COMPUTED_VALUE"""),102.8)</f>
        <v>102.8</v>
      </c>
      <c r="G1030" s="26">
        <f>IFERROR(__xludf.DUMMYFUNCTION("""COMPUTED_VALUE"""),1.677676346842E12)</f>
        <v>1677676346842</v>
      </c>
      <c r="H1030" s="26">
        <f t="shared" si="1"/>
        <v>149043</v>
      </c>
    </row>
    <row r="1031">
      <c r="F1031" s="26">
        <f>IFERROR(__xludf.DUMMYFUNCTION("""COMPUTED_VALUE"""),102.9)</f>
        <v>102.9</v>
      </c>
      <c r="G1031" s="26">
        <f>IFERROR(__xludf.DUMMYFUNCTION("""COMPUTED_VALUE"""),1.677676346848E12)</f>
        <v>1677676346848</v>
      </c>
      <c r="H1031" s="26">
        <f t="shared" si="1"/>
        <v>149049</v>
      </c>
    </row>
    <row r="1032">
      <c r="F1032" s="26">
        <f>IFERROR(__xludf.DUMMYFUNCTION("""COMPUTED_VALUE"""),103.0)</f>
        <v>103</v>
      </c>
      <c r="G1032" s="26">
        <f>IFERROR(__xludf.DUMMYFUNCTION("""COMPUTED_VALUE"""),1.677676346853E12)</f>
        <v>1677676346853</v>
      </c>
      <c r="H1032" s="26">
        <f t="shared" si="1"/>
        <v>149054</v>
      </c>
    </row>
    <row r="1033">
      <c r="F1033" s="26">
        <f>IFERROR(__xludf.DUMMYFUNCTION("""COMPUTED_VALUE"""),103.1)</f>
        <v>103.1</v>
      </c>
      <c r="G1033" s="26">
        <f>IFERROR(__xludf.DUMMYFUNCTION("""COMPUTED_VALUE"""),1.67767634686E12)</f>
        <v>1677676346860</v>
      </c>
      <c r="H1033" s="26">
        <f t="shared" si="1"/>
        <v>149061</v>
      </c>
    </row>
    <row r="1034">
      <c r="F1034" s="26">
        <f>IFERROR(__xludf.DUMMYFUNCTION("""COMPUTED_VALUE"""),103.2)</f>
        <v>103.2</v>
      </c>
      <c r="G1034" s="26">
        <f>IFERROR(__xludf.DUMMYFUNCTION("""COMPUTED_VALUE"""),1.677676346867E12)</f>
        <v>1677676346867</v>
      </c>
      <c r="H1034" s="26">
        <f t="shared" si="1"/>
        <v>149068</v>
      </c>
    </row>
    <row r="1035">
      <c r="F1035" s="26">
        <f>IFERROR(__xludf.DUMMYFUNCTION("""COMPUTED_VALUE"""),103.3)</f>
        <v>103.3</v>
      </c>
      <c r="G1035" s="26">
        <f>IFERROR(__xludf.DUMMYFUNCTION("""COMPUTED_VALUE"""),1.677676346873E12)</f>
        <v>1677676346873</v>
      </c>
      <c r="H1035" s="26">
        <f t="shared" si="1"/>
        <v>149074</v>
      </c>
    </row>
    <row r="1036">
      <c r="F1036" s="26">
        <f>IFERROR(__xludf.DUMMYFUNCTION("""COMPUTED_VALUE"""),103.4)</f>
        <v>103.4</v>
      </c>
      <c r="G1036" s="26">
        <f>IFERROR(__xludf.DUMMYFUNCTION("""COMPUTED_VALUE"""),1.677676346879E12)</f>
        <v>1677676346879</v>
      </c>
      <c r="H1036" s="26">
        <f t="shared" si="1"/>
        <v>149080</v>
      </c>
    </row>
    <row r="1037">
      <c r="F1037" s="26">
        <f>IFERROR(__xludf.DUMMYFUNCTION("""COMPUTED_VALUE"""),103.5)</f>
        <v>103.5</v>
      </c>
      <c r="G1037" s="26">
        <f>IFERROR(__xludf.DUMMYFUNCTION("""COMPUTED_VALUE"""),1.677676346886E12)</f>
        <v>1677676346886</v>
      </c>
      <c r="H1037" s="26">
        <f t="shared" si="1"/>
        <v>149087</v>
      </c>
    </row>
    <row r="1038">
      <c r="F1038" s="26">
        <f>IFERROR(__xludf.DUMMYFUNCTION("""COMPUTED_VALUE"""),103.6)</f>
        <v>103.6</v>
      </c>
      <c r="G1038" s="26">
        <f>IFERROR(__xludf.DUMMYFUNCTION("""COMPUTED_VALUE"""),1.677676346891E12)</f>
        <v>1677676346891</v>
      </c>
      <c r="H1038" s="26">
        <f t="shared" si="1"/>
        <v>149092</v>
      </c>
    </row>
    <row r="1039">
      <c r="F1039" s="26">
        <f>IFERROR(__xludf.DUMMYFUNCTION("""COMPUTED_VALUE"""),103.7)</f>
        <v>103.7</v>
      </c>
      <c r="G1039" s="26">
        <f>IFERROR(__xludf.DUMMYFUNCTION("""COMPUTED_VALUE"""),1.677676346898E12)</f>
        <v>1677676346898</v>
      </c>
      <c r="H1039" s="26">
        <f t="shared" si="1"/>
        <v>149099</v>
      </c>
    </row>
    <row r="1040">
      <c r="F1040" s="26">
        <f>IFERROR(__xludf.DUMMYFUNCTION("""COMPUTED_VALUE"""),103.8)</f>
        <v>103.8</v>
      </c>
      <c r="G1040" s="26">
        <f>IFERROR(__xludf.DUMMYFUNCTION("""COMPUTED_VALUE"""),1.677676346904E12)</f>
        <v>1677676346904</v>
      </c>
      <c r="H1040" s="26">
        <f t="shared" si="1"/>
        <v>149105</v>
      </c>
    </row>
    <row r="1041">
      <c r="F1041" s="26">
        <f>IFERROR(__xludf.DUMMYFUNCTION("""COMPUTED_VALUE"""),103.9)</f>
        <v>103.9</v>
      </c>
      <c r="G1041" s="26">
        <f>IFERROR(__xludf.DUMMYFUNCTION("""COMPUTED_VALUE"""),1.677676346909E12)</f>
        <v>1677676346909</v>
      </c>
      <c r="H1041" s="26">
        <f t="shared" si="1"/>
        <v>149110</v>
      </c>
    </row>
    <row r="1042">
      <c r="F1042" s="26">
        <f>IFERROR(__xludf.DUMMYFUNCTION("""COMPUTED_VALUE"""),104.0)</f>
        <v>104</v>
      </c>
      <c r="G1042" s="26">
        <f>IFERROR(__xludf.DUMMYFUNCTION("""COMPUTED_VALUE"""),1.677676346915E12)</f>
        <v>1677676346915</v>
      </c>
      <c r="H1042" s="26">
        <f t="shared" si="1"/>
        <v>149116</v>
      </c>
    </row>
    <row r="1043">
      <c r="F1043" s="26">
        <f>IFERROR(__xludf.DUMMYFUNCTION("""COMPUTED_VALUE"""),104.1)</f>
        <v>104.1</v>
      </c>
      <c r="G1043" s="26">
        <f>IFERROR(__xludf.DUMMYFUNCTION("""COMPUTED_VALUE"""),1.677676346921E12)</f>
        <v>1677676346921</v>
      </c>
      <c r="H1043" s="26">
        <f t="shared" si="1"/>
        <v>149122</v>
      </c>
    </row>
    <row r="1044">
      <c r="F1044" s="26">
        <f>IFERROR(__xludf.DUMMYFUNCTION("""COMPUTED_VALUE"""),104.2)</f>
        <v>104.2</v>
      </c>
      <c r="G1044" s="26">
        <f>IFERROR(__xludf.DUMMYFUNCTION("""COMPUTED_VALUE"""),1.677676346928E12)</f>
        <v>1677676346928</v>
      </c>
      <c r="H1044" s="26">
        <f t="shared" si="1"/>
        <v>149129</v>
      </c>
    </row>
    <row r="1045">
      <c r="F1045" s="26">
        <f>IFERROR(__xludf.DUMMYFUNCTION("""COMPUTED_VALUE"""),104.3)</f>
        <v>104.3</v>
      </c>
      <c r="G1045" s="26">
        <f>IFERROR(__xludf.DUMMYFUNCTION("""COMPUTED_VALUE"""),1.677676346936E12)</f>
        <v>1677676346936</v>
      </c>
      <c r="H1045" s="26">
        <f t="shared" si="1"/>
        <v>149137</v>
      </c>
    </row>
    <row r="1046">
      <c r="F1046" s="26">
        <f>IFERROR(__xludf.DUMMYFUNCTION("""COMPUTED_VALUE"""),104.4)</f>
        <v>104.4</v>
      </c>
      <c r="G1046" s="26">
        <f>IFERROR(__xludf.DUMMYFUNCTION("""COMPUTED_VALUE"""),1.677676346942E12)</f>
        <v>1677676346942</v>
      </c>
      <c r="H1046" s="26">
        <f t="shared" si="1"/>
        <v>149143</v>
      </c>
    </row>
    <row r="1047">
      <c r="F1047" s="26">
        <f>IFERROR(__xludf.DUMMYFUNCTION("""COMPUTED_VALUE"""),104.5)</f>
        <v>104.5</v>
      </c>
      <c r="G1047" s="26">
        <f>IFERROR(__xludf.DUMMYFUNCTION("""COMPUTED_VALUE"""),1.677676346948E12)</f>
        <v>1677676346948</v>
      </c>
      <c r="H1047" s="26">
        <f t="shared" si="1"/>
        <v>149149</v>
      </c>
    </row>
    <row r="1048">
      <c r="F1048" s="26">
        <f>IFERROR(__xludf.DUMMYFUNCTION("""COMPUTED_VALUE"""),104.6)</f>
        <v>104.6</v>
      </c>
      <c r="G1048" s="26">
        <f>IFERROR(__xludf.DUMMYFUNCTION("""COMPUTED_VALUE"""),1.677676346955E12)</f>
        <v>1677676346955</v>
      </c>
      <c r="H1048" s="26">
        <f t="shared" si="1"/>
        <v>149156</v>
      </c>
    </row>
    <row r="1049">
      <c r="F1049" s="26">
        <f>IFERROR(__xludf.DUMMYFUNCTION("""COMPUTED_VALUE"""),104.7)</f>
        <v>104.7</v>
      </c>
      <c r="G1049" s="26">
        <f>IFERROR(__xludf.DUMMYFUNCTION("""COMPUTED_VALUE"""),1.677676346962E12)</f>
        <v>1677676346962</v>
      </c>
      <c r="H1049" s="26">
        <f t="shared" si="1"/>
        <v>149163</v>
      </c>
    </row>
    <row r="1050">
      <c r="F1050" s="26">
        <f>IFERROR(__xludf.DUMMYFUNCTION("""COMPUTED_VALUE"""),104.8)</f>
        <v>104.8</v>
      </c>
      <c r="G1050" s="26">
        <f>IFERROR(__xludf.DUMMYFUNCTION("""COMPUTED_VALUE"""),1.677676346968E12)</f>
        <v>1677676346968</v>
      </c>
      <c r="H1050" s="26">
        <f t="shared" si="1"/>
        <v>149169</v>
      </c>
    </row>
    <row r="1051">
      <c r="F1051" s="26">
        <f>IFERROR(__xludf.DUMMYFUNCTION("""COMPUTED_VALUE"""),104.9)</f>
        <v>104.9</v>
      </c>
      <c r="G1051" s="26">
        <f>IFERROR(__xludf.DUMMYFUNCTION("""COMPUTED_VALUE"""),1.677676346974E12)</f>
        <v>1677676346974</v>
      </c>
      <c r="H1051" s="26">
        <f t="shared" si="1"/>
        <v>149175</v>
      </c>
    </row>
    <row r="1052">
      <c r="F1052" s="26">
        <f>IFERROR(__xludf.DUMMYFUNCTION("""COMPUTED_VALUE"""),105.0)</f>
        <v>105</v>
      </c>
      <c r="G1052" s="26">
        <f>IFERROR(__xludf.DUMMYFUNCTION("""COMPUTED_VALUE"""),1.677676346979E12)</f>
        <v>1677676346979</v>
      </c>
      <c r="H1052" s="26">
        <f t="shared" si="1"/>
        <v>149180</v>
      </c>
    </row>
    <row r="1053">
      <c r="F1053" s="26">
        <f>IFERROR(__xludf.DUMMYFUNCTION("""COMPUTED_VALUE"""),105.1)</f>
        <v>105.1</v>
      </c>
      <c r="G1053" s="26">
        <f>IFERROR(__xludf.DUMMYFUNCTION("""COMPUTED_VALUE"""),1.677676346986E12)</f>
        <v>1677676346986</v>
      </c>
      <c r="H1053" s="26">
        <f t="shared" si="1"/>
        <v>149187</v>
      </c>
    </row>
    <row r="1054">
      <c r="F1054" s="26">
        <f>IFERROR(__xludf.DUMMYFUNCTION("""COMPUTED_VALUE"""),105.2)</f>
        <v>105.2</v>
      </c>
      <c r="G1054" s="26">
        <f>IFERROR(__xludf.DUMMYFUNCTION("""COMPUTED_VALUE"""),1.677676346991E12)</f>
        <v>1677676346991</v>
      </c>
      <c r="H1054" s="26">
        <f t="shared" si="1"/>
        <v>149192</v>
      </c>
    </row>
    <row r="1055">
      <c r="F1055" s="26">
        <f>IFERROR(__xludf.DUMMYFUNCTION("""COMPUTED_VALUE"""),105.3)</f>
        <v>105.3</v>
      </c>
      <c r="G1055" s="26">
        <f>IFERROR(__xludf.DUMMYFUNCTION("""COMPUTED_VALUE"""),1.677676346998E12)</f>
        <v>1677676346998</v>
      </c>
      <c r="H1055" s="26">
        <f t="shared" si="1"/>
        <v>149199</v>
      </c>
    </row>
    <row r="1056">
      <c r="F1056" s="26">
        <f>IFERROR(__xludf.DUMMYFUNCTION("""COMPUTED_VALUE"""),105.4)</f>
        <v>105.4</v>
      </c>
      <c r="G1056" s="26">
        <f>IFERROR(__xludf.DUMMYFUNCTION("""COMPUTED_VALUE"""),1.677676347004E12)</f>
        <v>1677676347004</v>
      </c>
      <c r="H1056" s="26">
        <f t="shared" si="1"/>
        <v>149205</v>
      </c>
    </row>
    <row r="1057">
      <c r="F1057" s="26">
        <f>IFERROR(__xludf.DUMMYFUNCTION("""COMPUTED_VALUE"""),105.5)</f>
        <v>105.5</v>
      </c>
      <c r="G1057" s="26">
        <f>IFERROR(__xludf.DUMMYFUNCTION("""COMPUTED_VALUE"""),1.67767634701E12)</f>
        <v>1677676347010</v>
      </c>
      <c r="H1057" s="26">
        <f t="shared" si="1"/>
        <v>149211</v>
      </c>
    </row>
    <row r="1058">
      <c r="F1058" s="26">
        <f>IFERROR(__xludf.DUMMYFUNCTION("""COMPUTED_VALUE"""),105.6)</f>
        <v>105.6</v>
      </c>
      <c r="G1058" s="26">
        <f>IFERROR(__xludf.DUMMYFUNCTION("""COMPUTED_VALUE"""),1.677676347019E12)</f>
        <v>1677676347019</v>
      </c>
      <c r="H1058" s="26">
        <f t="shared" si="1"/>
        <v>149220</v>
      </c>
    </row>
    <row r="1059">
      <c r="F1059" s="26">
        <f>IFERROR(__xludf.DUMMYFUNCTION("""COMPUTED_VALUE"""),105.7)</f>
        <v>105.7</v>
      </c>
      <c r="G1059" s="26">
        <f>IFERROR(__xludf.DUMMYFUNCTION("""COMPUTED_VALUE"""),1.677676347026E12)</f>
        <v>1677676347026</v>
      </c>
      <c r="H1059" s="26">
        <f t="shared" si="1"/>
        <v>149227</v>
      </c>
    </row>
    <row r="1060">
      <c r="F1060" s="26">
        <f>IFERROR(__xludf.DUMMYFUNCTION("""COMPUTED_VALUE"""),105.8)</f>
        <v>105.8</v>
      </c>
      <c r="G1060" s="26">
        <f>IFERROR(__xludf.DUMMYFUNCTION("""COMPUTED_VALUE"""),1.67767634703E12)</f>
        <v>1677676347030</v>
      </c>
      <c r="H1060" s="26">
        <f t="shared" si="1"/>
        <v>149231</v>
      </c>
    </row>
    <row r="1061">
      <c r="F1061" s="26">
        <f>IFERROR(__xludf.DUMMYFUNCTION("""COMPUTED_VALUE"""),105.9)</f>
        <v>105.9</v>
      </c>
      <c r="G1061" s="26">
        <f>IFERROR(__xludf.DUMMYFUNCTION("""COMPUTED_VALUE"""),1.67767634704E12)</f>
        <v>1677676347040</v>
      </c>
      <c r="H1061" s="26">
        <f t="shared" si="1"/>
        <v>149241</v>
      </c>
    </row>
    <row r="1062">
      <c r="F1062" s="26">
        <f>IFERROR(__xludf.DUMMYFUNCTION("""COMPUTED_VALUE"""),106.0)</f>
        <v>106</v>
      </c>
      <c r="G1062" s="26">
        <f>IFERROR(__xludf.DUMMYFUNCTION("""COMPUTED_VALUE"""),1.677676347052E12)</f>
        <v>1677676347052</v>
      </c>
      <c r="H1062" s="26">
        <f t="shared" si="1"/>
        <v>149253</v>
      </c>
    </row>
    <row r="1063">
      <c r="F1063" s="26">
        <f>IFERROR(__xludf.DUMMYFUNCTION("""COMPUTED_VALUE"""),106.1)</f>
        <v>106.1</v>
      </c>
      <c r="G1063" s="26">
        <f>IFERROR(__xludf.DUMMYFUNCTION("""COMPUTED_VALUE"""),1.677676347061E12)</f>
        <v>1677676347061</v>
      </c>
      <c r="H1063" s="26">
        <f t="shared" si="1"/>
        <v>149262</v>
      </c>
    </row>
    <row r="1064">
      <c r="F1064" s="26">
        <f>IFERROR(__xludf.DUMMYFUNCTION("""COMPUTED_VALUE"""),106.2)</f>
        <v>106.2</v>
      </c>
      <c r="G1064" s="26">
        <f>IFERROR(__xludf.DUMMYFUNCTION("""COMPUTED_VALUE"""),1.677676347071E12)</f>
        <v>1677676347071</v>
      </c>
      <c r="H1064" s="26">
        <f t="shared" si="1"/>
        <v>149272</v>
      </c>
    </row>
    <row r="1065">
      <c r="F1065" s="26">
        <f>IFERROR(__xludf.DUMMYFUNCTION("""COMPUTED_VALUE"""),106.3)</f>
        <v>106.3</v>
      </c>
      <c r="G1065" s="26">
        <f>IFERROR(__xludf.DUMMYFUNCTION("""COMPUTED_VALUE"""),1.677676347082E12)</f>
        <v>1677676347082</v>
      </c>
      <c r="H1065" s="26">
        <f t="shared" si="1"/>
        <v>149283</v>
      </c>
    </row>
    <row r="1066">
      <c r="F1066" s="26">
        <f>IFERROR(__xludf.DUMMYFUNCTION("""COMPUTED_VALUE"""),106.4)</f>
        <v>106.4</v>
      </c>
      <c r="G1066" s="26">
        <f>IFERROR(__xludf.DUMMYFUNCTION("""COMPUTED_VALUE"""),1.67767634709E12)</f>
        <v>1677676347090</v>
      </c>
      <c r="H1066" s="26">
        <f t="shared" si="1"/>
        <v>149291</v>
      </c>
    </row>
    <row r="1067">
      <c r="F1067" s="26">
        <f>IFERROR(__xludf.DUMMYFUNCTION("""COMPUTED_VALUE"""),106.5)</f>
        <v>106.5</v>
      </c>
      <c r="G1067" s="26">
        <f>IFERROR(__xludf.DUMMYFUNCTION("""COMPUTED_VALUE"""),1.677676347102E12)</f>
        <v>1677676347102</v>
      </c>
      <c r="H1067" s="26">
        <f t="shared" si="1"/>
        <v>149303</v>
      </c>
    </row>
    <row r="1068">
      <c r="F1068" s="26">
        <f>IFERROR(__xludf.DUMMYFUNCTION("""COMPUTED_VALUE"""),106.6)</f>
        <v>106.6</v>
      </c>
      <c r="G1068" s="26">
        <f>IFERROR(__xludf.DUMMYFUNCTION("""COMPUTED_VALUE"""),1.677676347114E12)</f>
        <v>1677676347114</v>
      </c>
      <c r="H1068" s="26">
        <f t="shared" si="1"/>
        <v>149315</v>
      </c>
    </row>
    <row r="1069">
      <c r="F1069" s="26">
        <f>IFERROR(__xludf.DUMMYFUNCTION("""COMPUTED_VALUE"""),106.7)</f>
        <v>106.7</v>
      </c>
      <c r="G1069" s="26">
        <f>IFERROR(__xludf.DUMMYFUNCTION("""COMPUTED_VALUE"""),1.677676347122E12)</f>
        <v>1677676347122</v>
      </c>
      <c r="H1069" s="26">
        <f t="shared" si="1"/>
        <v>149323</v>
      </c>
    </row>
    <row r="1070">
      <c r="F1070" s="26">
        <f>IFERROR(__xludf.DUMMYFUNCTION("""COMPUTED_VALUE"""),106.8)</f>
        <v>106.8</v>
      </c>
      <c r="G1070" s="26">
        <f>IFERROR(__xludf.DUMMYFUNCTION("""COMPUTED_VALUE"""),1.677676347142E12)</f>
        <v>1677676347142</v>
      </c>
      <c r="H1070" s="26">
        <f t="shared" si="1"/>
        <v>149343</v>
      </c>
    </row>
    <row r="1071">
      <c r="F1071" s="26">
        <f>IFERROR(__xludf.DUMMYFUNCTION("""COMPUTED_VALUE"""),106.9)</f>
        <v>106.9</v>
      </c>
      <c r="G1071" s="26">
        <f>IFERROR(__xludf.DUMMYFUNCTION("""COMPUTED_VALUE"""),1.677676347163E12)</f>
        <v>1677676347163</v>
      </c>
      <c r="H1071" s="26">
        <f t="shared" si="1"/>
        <v>149364</v>
      </c>
    </row>
    <row r="1072">
      <c r="F1072" s="26">
        <f>IFERROR(__xludf.DUMMYFUNCTION("""COMPUTED_VALUE"""),107.0)</f>
        <v>107</v>
      </c>
      <c r="G1072" s="26">
        <f>IFERROR(__xludf.DUMMYFUNCTION("""COMPUTED_VALUE"""),1.677676347174E12)</f>
        <v>1677676347174</v>
      </c>
      <c r="H1072" s="26">
        <f t="shared" si="1"/>
        <v>149375</v>
      </c>
    </row>
    <row r="1073">
      <c r="F1073" s="26">
        <f>IFERROR(__xludf.DUMMYFUNCTION("""COMPUTED_VALUE"""),107.1)</f>
        <v>107.1</v>
      </c>
      <c r="G1073" s="26">
        <f>IFERROR(__xludf.DUMMYFUNCTION("""COMPUTED_VALUE"""),1.67767634718E12)</f>
        <v>1677676347180</v>
      </c>
      <c r="H1073" s="26">
        <f t="shared" si="1"/>
        <v>149381</v>
      </c>
    </row>
    <row r="1074">
      <c r="F1074" s="26">
        <f>IFERROR(__xludf.DUMMYFUNCTION("""COMPUTED_VALUE"""),107.2)</f>
        <v>107.2</v>
      </c>
      <c r="G1074" s="26">
        <f>IFERROR(__xludf.DUMMYFUNCTION("""COMPUTED_VALUE"""),1.67767634719E12)</f>
        <v>1677676347190</v>
      </c>
      <c r="H1074" s="26">
        <f t="shared" si="1"/>
        <v>149391</v>
      </c>
    </row>
    <row r="1075">
      <c r="F1075" s="26">
        <f>IFERROR(__xludf.DUMMYFUNCTION("""COMPUTED_VALUE"""),107.3)</f>
        <v>107.3</v>
      </c>
      <c r="G1075" s="26">
        <f>IFERROR(__xludf.DUMMYFUNCTION("""COMPUTED_VALUE"""),1.677676347199E12)</f>
        <v>1677676347199</v>
      </c>
      <c r="H1075" s="26">
        <f t="shared" si="1"/>
        <v>149400</v>
      </c>
    </row>
    <row r="1076">
      <c r="F1076" s="26">
        <f>IFERROR(__xludf.DUMMYFUNCTION("""COMPUTED_VALUE"""),107.4)</f>
        <v>107.4</v>
      </c>
      <c r="G1076" s="26">
        <f>IFERROR(__xludf.DUMMYFUNCTION("""COMPUTED_VALUE"""),1.677676347209E12)</f>
        <v>1677676347209</v>
      </c>
      <c r="H1076" s="26">
        <f t="shared" si="1"/>
        <v>149410</v>
      </c>
    </row>
    <row r="1077">
      <c r="F1077" s="26">
        <f>IFERROR(__xludf.DUMMYFUNCTION("""COMPUTED_VALUE"""),107.5)</f>
        <v>107.5</v>
      </c>
      <c r="G1077" s="26">
        <f>IFERROR(__xludf.DUMMYFUNCTION("""COMPUTED_VALUE"""),1.677676347218E12)</f>
        <v>1677676347218</v>
      </c>
      <c r="H1077" s="26">
        <f t="shared" si="1"/>
        <v>149419</v>
      </c>
    </row>
    <row r="1078">
      <c r="F1078" s="26">
        <f>IFERROR(__xludf.DUMMYFUNCTION("""COMPUTED_VALUE"""),107.6)</f>
        <v>107.6</v>
      </c>
      <c r="G1078" s="26">
        <f>IFERROR(__xludf.DUMMYFUNCTION("""COMPUTED_VALUE"""),1.677676347228E12)</f>
        <v>1677676347228</v>
      </c>
      <c r="H1078" s="26">
        <f t="shared" si="1"/>
        <v>149429</v>
      </c>
    </row>
    <row r="1079">
      <c r="F1079" s="26">
        <f>IFERROR(__xludf.DUMMYFUNCTION("""COMPUTED_VALUE"""),107.7)</f>
        <v>107.7</v>
      </c>
      <c r="G1079" s="26">
        <f>IFERROR(__xludf.DUMMYFUNCTION("""COMPUTED_VALUE"""),1.677676347234E12)</f>
        <v>1677676347234</v>
      </c>
      <c r="H1079" s="26">
        <f t="shared" si="1"/>
        <v>149435</v>
      </c>
    </row>
    <row r="1080">
      <c r="F1080" s="26">
        <f>IFERROR(__xludf.DUMMYFUNCTION("""COMPUTED_VALUE"""),107.8)</f>
        <v>107.8</v>
      </c>
      <c r="G1080" s="26">
        <f>IFERROR(__xludf.DUMMYFUNCTION("""COMPUTED_VALUE"""),1.677676347239E12)</f>
        <v>1677676347239</v>
      </c>
      <c r="H1080" s="26">
        <f t="shared" si="1"/>
        <v>149440</v>
      </c>
    </row>
    <row r="1081">
      <c r="F1081" s="26">
        <f>IFERROR(__xludf.DUMMYFUNCTION("""COMPUTED_VALUE"""),107.9)</f>
        <v>107.9</v>
      </c>
      <c r="G1081" s="26">
        <f>IFERROR(__xludf.DUMMYFUNCTION("""COMPUTED_VALUE"""),1.677676347246E12)</f>
        <v>1677676347246</v>
      </c>
      <c r="H1081" s="26">
        <f t="shared" si="1"/>
        <v>149447</v>
      </c>
    </row>
    <row r="1082">
      <c r="F1082" s="26">
        <f>IFERROR(__xludf.DUMMYFUNCTION("""COMPUTED_VALUE"""),108.0)</f>
        <v>108</v>
      </c>
      <c r="G1082" s="26">
        <f>IFERROR(__xludf.DUMMYFUNCTION("""COMPUTED_VALUE"""),1.677676347251E12)</f>
        <v>1677676347251</v>
      </c>
      <c r="H1082" s="26">
        <f t="shared" si="1"/>
        <v>149452</v>
      </c>
    </row>
    <row r="1083">
      <c r="F1083" s="26">
        <f>IFERROR(__xludf.DUMMYFUNCTION("""COMPUTED_VALUE"""),108.1)</f>
        <v>108.1</v>
      </c>
      <c r="G1083" s="26">
        <f>IFERROR(__xludf.DUMMYFUNCTION("""COMPUTED_VALUE"""),1.677676347257E12)</f>
        <v>1677676347257</v>
      </c>
      <c r="H1083" s="26">
        <f t="shared" si="1"/>
        <v>149458</v>
      </c>
    </row>
    <row r="1084">
      <c r="F1084" s="26">
        <f>IFERROR(__xludf.DUMMYFUNCTION("""COMPUTED_VALUE"""),108.2)</f>
        <v>108.2</v>
      </c>
      <c r="G1084" s="26">
        <f>IFERROR(__xludf.DUMMYFUNCTION("""COMPUTED_VALUE"""),1.677676347264E12)</f>
        <v>1677676347264</v>
      </c>
      <c r="H1084" s="26">
        <f t="shared" si="1"/>
        <v>149465</v>
      </c>
    </row>
    <row r="1085">
      <c r="F1085" s="26">
        <f>IFERROR(__xludf.DUMMYFUNCTION("""COMPUTED_VALUE"""),108.3)</f>
        <v>108.3</v>
      </c>
      <c r="G1085" s="26">
        <f>IFERROR(__xludf.DUMMYFUNCTION("""COMPUTED_VALUE"""),1.677676347269E12)</f>
        <v>1677676347269</v>
      </c>
      <c r="H1085" s="26">
        <f t="shared" si="1"/>
        <v>149470</v>
      </c>
    </row>
    <row r="1086">
      <c r="F1086" s="26">
        <f>IFERROR(__xludf.DUMMYFUNCTION("""COMPUTED_VALUE"""),108.4)</f>
        <v>108.4</v>
      </c>
      <c r="G1086" s="26">
        <f>IFERROR(__xludf.DUMMYFUNCTION("""COMPUTED_VALUE"""),1.677676347275E12)</f>
        <v>1677676347275</v>
      </c>
      <c r="H1086" s="26">
        <f t="shared" si="1"/>
        <v>149476</v>
      </c>
    </row>
    <row r="1087">
      <c r="F1087" s="26">
        <f>IFERROR(__xludf.DUMMYFUNCTION("""COMPUTED_VALUE"""),108.5)</f>
        <v>108.5</v>
      </c>
      <c r="G1087" s="26">
        <f>IFERROR(__xludf.DUMMYFUNCTION("""COMPUTED_VALUE"""),1.677676347279E12)</f>
        <v>1677676347279</v>
      </c>
      <c r="H1087" s="26">
        <f t="shared" si="1"/>
        <v>149480</v>
      </c>
    </row>
    <row r="1088">
      <c r="F1088" s="26">
        <f>IFERROR(__xludf.DUMMYFUNCTION("""COMPUTED_VALUE"""),108.6)</f>
        <v>108.6</v>
      </c>
      <c r="G1088" s="26">
        <f>IFERROR(__xludf.DUMMYFUNCTION("""COMPUTED_VALUE"""),1.677676347287E12)</f>
        <v>1677676347287</v>
      </c>
      <c r="H1088" s="26">
        <f t="shared" si="1"/>
        <v>149488</v>
      </c>
    </row>
    <row r="1089">
      <c r="F1089" s="26">
        <f>IFERROR(__xludf.DUMMYFUNCTION("""COMPUTED_VALUE"""),108.7)</f>
        <v>108.7</v>
      </c>
      <c r="G1089" s="26">
        <f>IFERROR(__xludf.DUMMYFUNCTION("""COMPUTED_VALUE"""),1.677676347293E12)</f>
        <v>1677676347293</v>
      </c>
      <c r="H1089" s="26">
        <f t="shared" si="1"/>
        <v>149494</v>
      </c>
    </row>
    <row r="1090">
      <c r="F1090" s="26">
        <f>IFERROR(__xludf.DUMMYFUNCTION("""COMPUTED_VALUE"""),108.8)</f>
        <v>108.8</v>
      </c>
      <c r="G1090" s="26">
        <f>IFERROR(__xludf.DUMMYFUNCTION("""COMPUTED_VALUE"""),1.677676347299E12)</f>
        <v>1677676347299</v>
      </c>
      <c r="H1090" s="26">
        <f t="shared" si="1"/>
        <v>149500</v>
      </c>
    </row>
    <row r="1091">
      <c r="F1091" s="26">
        <f>IFERROR(__xludf.DUMMYFUNCTION("""COMPUTED_VALUE"""),108.9)</f>
        <v>108.9</v>
      </c>
      <c r="G1091" s="26">
        <f>IFERROR(__xludf.DUMMYFUNCTION("""COMPUTED_VALUE"""),1.677676347306E12)</f>
        <v>1677676347306</v>
      </c>
      <c r="H1091" s="26">
        <f t="shared" si="1"/>
        <v>149507</v>
      </c>
    </row>
    <row r="1092">
      <c r="F1092" s="26">
        <f>IFERROR(__xludf.DUMMYFUNCTION("""COMPUTED_VALUE"""),109.0)</f>
        <v>109</v>
      </c>
      <c r="G1092" s="26">
        <f>IFERROR(__xludf.DUMMYFUNCTION("""COMPUTED_VALUE"""),1.677676347311E12)</f>
        <v>1677676347311</v>
      </c>
      <c r="H1092" s="26">
        <f t="shared" si="1"/>
        <v>149512</v>
      </c>
    </row>
    <row r="1093">
      <c r="F1093" s="26">
        <f>IFERROR(__xludf.DUMMYFUNCTION("""COMPUTED_VALUE"""),109.1)</f>
        <v>109.1</v>
      </c>
      <c r="G1093" s="26">
        <f>IFERROR(__xludf.DUMMYFUNCTION("""COMPUTED_VALUE"""),1.677676347319E12)</f>
        <v>1677676347319</v>
      </c>
      <c r="H1093" s="26">
        <f t="shared" si="1"/>
        <v>149520</v>
      </c>
    </row>
    <row r="1094">
      <c r="F1094" s="26">
        <f>IFERROR(__xludf.DUMMYFUNCTION("""COMPUTED_VALUE"""),109.2)</f>
        <v>109.2</v>
      </c>
      <c r="G1094" s="26">
        <f>IFERROR(__xludf.DUMMYFUNCTION("""COMPUTED_VALUE"""),1.677676347328E12)</f>
        <v>1677676347328</v>
      </c>
      <c r="H1094" s="26">
        <f t="shared" si="1"/>
        <v>149529</v>
      </c>
    </row>
    <row r="1095">
      <c r="F1095" s="26">
        <f>IFERROR(__xludf.DUMMYFUNCTION("""COMPUTED_VALUE"""),109.3)</f>
        <v>109.3</v>
      </c>
      <c r="G1095" s="26">
        <f>IFERROR(__xludf.DUMMYFUNCTION("""COMPUTED_VALUE"""),1.677676347333E12)</f>
        <v>1677676347333</v>
      </c>
      <c r="H1095" s="26">
        <f t="shared" si="1"/>
        <v>149534</v>
      </c>
    </row>
    <row r="1096">
      <c r="F1096" s="26">
        <f>IFERROR(__xludf.DUMMYFUNCTION("""COMPUTED_VALUE"""),109.4)</f>
        <v>109.4</v>
      </c>
      <c r="G1096" s="26">
        <f>IFERROR(__xludf.DUMMYFUNCTION("""COMPUTED_VALUE"""),1.677676347339E12)</f>
        <v>1677676347339</v>
      </c>
      <c r="H1096" s="26">
        <f t="shared" si="1"/>
        <v>149540</v>
      </c>
    </row>
    <row r="1097">
      <c r="F1097" s="26">
        <f>IFERROR(__xludf.DUMMYFUNCTION("""COMPUTED_VALUE"""),109.5)</f>
        <v>109.5</v>
      </c>
      <c r="G1097" s="26">
        <f>IFERROR(__xludf.DUMMYFUNCTION("""COMPUTED_VALUE"""),1.677676347347E12)</f>
        <v>1677676347347</v>
      </c>
      <c r="H1097" s="26">
        <f t="shared" si="1"/>
        <v>149548</v>
      </c>
    </row>
    <row r="1098">
      <c r="F1098" s="26">
        <f>IFERROR(__xludf.DUMMYFUNCTION("""COMPUTED_VALUE"""),109.6)</f>
        <v>109.6</v>
      </c>
      <c r="G1098" s="26">
        <f>IFERROR(__xludf.DUMMYFUNCTION("""COMPUTED_VALUE"""),1.677676347351E12)</f>
        <v>1677676347351</v>
      </c>
      <c r="H1098" s="26">
        <f t="shared" si="1"/>
        <v>149552</v>
      </c>
    </row>
    <row r="1099">
      <c r="F1099" s="26">
        <f>IFERROR(__xludf.DUMMYFUNCTION("""COMPUTED_VALUE"""),109.7)</f>
        <v>109.7</v>
      </c>
      <c r="G1099" s="26">
        <f>IFERROR(__xludf.DUMMYFUNCTION("""COMPUTED_VALUE"""),1.677676347358E12)</f>
        <v>1677676347358</v>
      </c>
      <c r="H1099" s="26">
        <f t="shared" si="1"/>
        <v>149559</v>
      </c>
    </row>
    <row r="1100">
      <c r="F1100" s="26">
        <f>IFERROR(__xludf.DUMMYFUNCTION("""COMPUTED_VALUE"""),109.8)</f>
        <v>109.8</v>
      </c>
      <c r="G1100" s="26">
        <f>IFERROR(__xludf.DUMMYFUNCTION("""COMPUTED_VALUE"""),1.677676347363E12)</f>
        <v>1677676347363</v>
      </c>
      <c r="H1100" s="26">
        <f t="shared" si="1"/>
        <v>149564</v>
      </c>
    </row>
    <row r="1101">
      <c r="F1101" s="26">
        <f>IFERROR(__xludf.DUMMYFUNCTION("""COMPUTED_VALUE"""),109.9)</f>
        <v>109.9</v>
      </c>
      <c r="G1101" s="26">
        <f>IFERROR(__xludf.DUMMYFUNCTION("""COMPUTED_VALUE"""),1.677676347369E12)</f>
        <v>1677676347369</v>
      </c>
      <c r="H1101" s="26">
        <f t="shared" si="1"/>
        <v>149570</v>
      </c>
    </row>
    <row r="1102">
      <c r="F1102" s="26">
        <f>IFERROR(__xludf.DUMMYFUNCTION("""COMPUTED_VALUE"""),110.0)</f>
        <v>110</v>
      </c>
      <c r="G1102" s="26">
        <f>IFERROR(__xludf.DUMMYFUNCTION("""COMPUTED_VALUE"""),1.677676347377E12)</f>
        <v>1677676347377</v>
      </c>
      <c r="H1102" s="26">
        <f t="shared" si="1"/>
        <v>149578</v>
      </c>
    </row>
    <row r="1103">
      <c r="F1103" s="26">
        <f>IFERROR(__xludf.DUMMYFUNCTION("""COMPUTED_VALUE"""),110.1)</f>
        <v>110.1</v>
      </c>
      <c r="G1103" s="26">
        <f>IFERROR(__xludf.DUMMYFUNCTION("""COMPUTED_VALUE"""),1.677676347384E12)</f>
        <v>1677676347384</v>
      </c>
      <c r="H1103" s="26">
        <f t="shared" si="1"/>
        <v>149585</v>
      </c>
    </row>
    <row r="1104">
      <c r="F1104" s="26">
        <f>IFERROR(__xludf.DUMMYFUNCTION("""COMPUTED_VALUE"""),110.2)</f>
        <v>110.2</v>
      </c>
      <c r="G1104" s="26">
        <f>IFERROR(__xludf.DUMMYFUNCTION("""COMPUTED_VALUE"""),1.677676347391E12)</f>
        <v>1677676347391</v>
      </c>
      <c r="H1104" s="26">
        <f t="shared" si="1"/>
        <v>149592</v>
      </c>
    </row>
    <row r="1105">
      <c r="F1105" s="26">
        <f>IFERROR(__xludf.DUMMYFUNCTION("""COMPUTED_VALUE"""),110.3)</f>
        <v>110.3</v>
      </c>
      <c r="G1105" s="26">
        <f>IFERROR(__xludf.DUMMYFUNCTION("""COMPUTED_VALUE"""),1.677676347401E12)</f>
        <v>1677676347401</v>
      </c>
      <c r="H1105" s="26">
        <f t="shared" si="1"/>
        <v>149602</v>
      </c>
    </row>
    <row r="1106">
      <c r="F1106" s="26">
        <f>IFERROR(__xludf.DUMMYFUNCTION("""COMPUTED_VALUE"""),110.4)</f>
        <v>110.4</v>
      </c>
      <c r="G1106" s="26">
        <f>IFERROR(__xludf.DUMMYFUNCTION("""COMPUTED_VALUE"""),1.677676347412E12)</f>
        <v>1677676347412</v>
      </c>
      <c r="H1106" s="26">
        <f t="shared" si="1"/>
        <v>149613</v>
      </c>
    </row>
    <row r="1107">
      <c r="F1107" s="26">
        <f>IFERROR(__xludf.DUMMYFUNCTION("""COMPUTED_VALUE"""),110.5)</f>
        <v>110.5</v>
      </c>
      <c r="G1107" s="26">
        <f>IFERROR(__xludf.DUMMYFUNCTION("""COMPUTED_VALUE"""),1.67767634742E12)</f>
        <v>1677676347420</v>
      </c>
      <c r="H1107" s="26">
        <f t="shared" si="1"/>
        <v>149621</v>
      </c>
    </row>
    <row r="1108">
      <c r="F1108" s="26">
        <f>IFERROR(__xludf.DUMMYFUNCTION("""COMPUTED_VALUE"""),110.6)</f>
        <v>110.6</v>
      </c>
      <c r="G1108" s="26">
        <f>IFERROR(__xludf.DUMMYFUNCTION("""COMPUTED_VALUE"""),1.677676347432E12)</f>
        <v>1677676347432</v>
      </c>
      <c r="H1108" s="26">
        <f t="shared" si="1"/>
        <v>149633</v>
      </c>
    </row>
    <row r="1109">
      <c r="F1109" s="26">
        <f>IFERROR(__xludf.DUMMYFUNCTION("""COMPUTED_VALUE"""),110.7)</f>
        <v>110.7</v>
      </c>
      <c r="G1109" s="26">
        <f>IFERROR(__xludf.DUMMYFUNCTION("""COMPUTED_VALUE"""),1.677676347438E12)</f>
        <v>1677676347438</v>
      </c>
      <c r="H1109" s="26">
        <f t="shared" si="1"/>
        <v>149639</v>
      </c>
    </row>
    <row r="1110">
      <c r="F1110" s="26">
        <f>IFERROR(__xludf.DUMMYFUNCTION("""COMPUTED_VALUE"""),110.8)</f>
        <v>110.8</v>
      </c>
      <c r="G1110" s="26">
        <f>IFERROR(__xludf.DUMMYFUNCTION("""COMPUTED_VALUE"""),1.677676347442E12)</f>
        <v>1677676347442</v>
      </c>
      <c r="H1110" s="26">
        <f t="shared" si="1"/>
        <v>149643</v>
      </c>
    </row>
    <row r="1111">
      <c r="F1111" s="26">
        <f>IFERROR(__xludf.DUMMYFUNCTION("""COMPUTED_VALUE"""),110.9)</f>
        <v>110.9</v>
      </c>
      <c r="G1111" s="26">
        <f>IFERROR(__xludf.DUMMYFUNCTION("""COMPUTED_VALUE"""),1.677676347451E12)</f>
        <v>1677676347451</v>
      </c>
      <c r="H1111" s="26">
        <f t="shared" si="1"/>
        <v>149652</v>
      </c>
    </row>
    <row r="1112">
      <c r="F1112" s="26">
        <f>IFERROR(__xludf.DUMMYFUNCTION("""COMPUTED_VALUE"""),111.0)</f>
        <v>111</v>
      </c>
      <c r="G1112" s="26">
        <f>IFERROR(__xludf.DUMMYFUNCTION("""COMPUTED_VALUE"""),1.677676347459E12)</f>
        <v>1677676347459</v>
      </c>
      <c r="H1112" s="26">
        <f t="shared" si="1"/>
        <v>149660</v>
      </c>
    </row>
    <row r="1113">
      <c r="F1113" s="26">
        <f>IFERROR(__xludf.DUMMYFUNCTION("""COMPUTED_VALUE"""),111.1)</f>
        <v>111.1</v>
      </c>
      <c r="G1113" s="26">
        <f>IFERROR(__xludf.DUMMYFUNCTION("""COMPUTED_VALUE"""),1.677676347464E12)</f>
        <v>1677676347464</v>
      </c>
      <c r="H1113" s="26">
        <f t="shared" si="1"/>
        <v>149665</v>
      </c>
    </row>
    <row r="1114">
      <c r="F1114" s="26">
        <f>IFERROR(__xludf.DUMMYFUNCTION("""COMPUTED_VALUE"""),111.2)</f>
        <v>111.2</v>
      </c>
      <c r="G1114" s="26">
        <f>IFERROR(__xludf.DUMMYFUNCTION("""COMPUTED_VALUE"""),1.67767634747E12)</f>
        <v>1677676347470</v>
      </c>
      <c r="H1114" s="26">
        <f t="shared" si="1"/>
        <v>149671</v>
      </c>
    </row>
    <row r="1115">
      <c r="F1115" s="26">
        <f>IFERROR(__xludf.DUMMYFUNCTION("""COMPUTED_VALUE"""),111.3)</f>
        <v>111.3</v>
      </c>
      <c r="G1115" s="26">
        <f>IFERROR(__xludf.DUMMYFUNCTION("""COMPUTED_VALUE"""),1.67767634748E12)</f>
        <v>1677676347480</v>
      </c>
      <c r="H1115" s="26">
        <f t="shared" si="1"/>
        <v>149681</v>
      </c>
    </row>
    <row r="1116">
      <c r="F1116" s="26">
        <f>IFERROR(__xludf.DUMMYFUNCTION("""COMPUTED_VALUE"""),111.4)</f>
        <v>111.4</v>
      </c>
      <c r="G1116" s="26">
        <f>IFERROR(__xludf.DUMMYFUNCTION("""COMPUTED_VALUE"""),1.677676347489E12)</f>
        <v>1677676347489</v>
      </c>
      <c r="H1116" s="26">
        <f t="shared" si="1"/>
        <v>149690</v>
      </c>
    </row>
    <row r="1117">
      <c r="F1117" s="26">
        <f>IFERROR(__xludf.DUMMYFUNCTION("""COMPUTED_VALUE"""),111.5)</f>
        <v>111.5</v>
      </c>
      <c r="G1117" s="26">
        <f>IFERROR(__xludf.DUMMYFUNCTION("""COMPUTED_VALUE"""),1.677676347494E12)</f>
        <v>1677676347494</v>
      </c>
      <c r="H1117" s="26">
        <f t="shared" si="1"/>
        <v>149695</v>
      </c>
    </row>
    <row r="1118">
      <c r="F1118" s="26">
        <f>IFERROR(__xludf.DUMMYFUNCTION("""COMPUTED_VALUE"""),111.6)</f>
        <v>111.6</v>
      </c>
      <c r="G1118" s="26">
        <f>IFERROR(__xludf.DUMMYFUNCTION("""COMPUTED_VALUE"""),1.6776763475E12)</f>
        <v>1677676347500</v>
      </c>
      <c r="H1118" s="26">
        <f t="shared" si="1"/>
        <v>149701</v>
      </c>
    </row>
    <row r="1119">
      <c r="F1119" s="26">
        <f>IFERROR(__xludf.DUMMYFUNCTION("""COMPUTED_VALUE"""),111.7)</f>
        <v>111.7</v>
      </c>
      <c r="G1119" s="26">
        <f>IFERROR(__xludf.DUMMYFUNCTION("""COMPUTED_VALUE"""),1.677676347508E12)</f>
        <v>1677676347508</v>
      </c>
      <c r="H1119" s="26">
        <f t="shared" si="1"/>
        <v>149709</v>
      </c>
    </row>
    <row r="1120">
      <c r="F1120" s="26">
        <f>IFERROR(__xludf.DUMMYFUNCTION("""COMPUTED_VALUE"""),111.8)</f>
        <v>111.8</v>
      </c>
      <c r="G1120" s="26">
        <f>IFERROR(__xludf.DUMMYFUNCTION("""COMPUTED_VALUE"""),1.677676347512E12)</f>
        <v>1677676347512</v>
      </c>
      <c r="H1120" s="26">
        <f t="shared" si="1"/>
        <v>149713</v>
      </c>
    </row>
    <row r="1121">
      <c r="F1121" s="26">
        <f>IFERROR(__xludf.DUMMYFUNCTION("""COMPUTED_VALUE"""),111.9)</f>
        <v>111.9</v>
      </c>
      <c r="G1121" s="26">
        <f>IFERROR(__xludf.DUMMYFUNCTION("""COMPUTED_VALUE"""),1.677676347518E12)</f>
        <v>1677676347518</v>
      </c>
      <c r="H1121" s="26">
        <f t="shared" si="1"/>
        <v>149719</v>
      </c>
    </row>
    <row r="1122">
      <c r="F1122" s="26">
        <f>IFERROR(__xludf.DUMMYFUNCTION("""COMPUTED_VALUE"""),112.0)</f>
        <v>112</v>
      </c>
      <c r="G1122" s="26">
        <f>IFERROR(__xludf.DUMMYFUNCTION("""COMPUTED_VALUE"""),1.677676347524E12)</f>
        <v>1677676347524</v>
      </c>
      <c r="H1122" s="26">
        <f t="shared" si="1"/>
        <v>149725</v>
      </c>
    </row>
    <row r="1123">
      <c r="F1123" s="26">
        <f>IFERROR(__xludf.DUMMYFUNCTION("""COMPUTED_VALUE"""),112.1)</f>
        <v>112.1</v>
      </c>
      <c r="G1123" s="26">
        <f>IFERROR(__xludf.DUMMYFUNCTION("""COMPUTED_VALUE"""),1.67767634753E12)</f>
        <v>1677676347530</v>
      </c>
      <c r="H1123" s="26">
        <f t="shared" si="1"/>
        <v>149731</v>
      </c>
    </row>
    <row r="1124">
      <c r="F1124" s="26">
        <f>IFERROR(__xludf.DUMMYFUNCTION("""COMPUTED_VALUE"""),112.2)</f>
        <v>112.2</v>
      </c>
      <c r="G1124" s="26">
        <f>IFERROR(__xludf.DUMMYFUNCTION("""COMPUTED_VALUE"""),1.677676347538E12)</f>
        <v>1677676347538</v>
      </c>
      <c r="H1124" s="26">
        <f t="shared" si="1"/>
        <v>149739</v>
      </c>
    </row>
    <row r="1125">
      <c r="F1125" s="26">
        <f>IFERROR(__xludf.DUMMYFUNCTION("""COMPUTED_VALUE"""),112.3)</f>
        <v>112.3</v>
      </c>
      <c r="G1125" s="26">
        <f>IFERROR(__xludf.DUMMYFUNCTION("""COMPUTED_VALUE"""),1.677676347543E12)</f>
        <v>1677676347543</v>
      </c>
      <c r="H1125" s="26">
        <f t="shared" si="1"/>
        <v>149744</v>
      </c>
    </row>
    <row r="1126">
      <c r="F1126" s="26">
        <f>IFERROR(__xludf.DUMMYFUNCTION("""COMPUTED_VALUE"""),112.4)</f>
        <v>112.4</v>
      </c>
      <c r="G1126" s="26">
        <f>IFERROR(__xludf.DUMMYFUNCTION("""COMPUTED_VALUE"""),1.677676347549E12)</f>
        <v>1677676347549</v>
      </c>
      <c r="H1126" s="26">
        <f t="shared" si="1"/>
        <v>149750</v>
      </c>
    </row>
    <row r="1127">
      <c r="F1127" s="26">
        <f>IFERROR(__xludf.DUMMYFUNCTION("""COMPUTED_VALUE"""),112.5)</f>
        <v>112.5</v>
      </c>
      <c r="G1127" s="26">
        <f>IFERROR(__xludf.DUMMYFUNCTION("""COMPUTED_VALUE"""),1.677676347554E12)</f>
        <v>1677676347554</v>
      </c>
      <c r="H1127" s="26">
        <f t="shared" si="1"/>
        <v>149755</v>
      </c>
    </row>
    <row r="1128">
      <c r="F1128" s="26">
        <f>IFERROR(__xludf.DUMMYFUNCTION("""COMPUTED_VALUE"""),112.6)</f>
        <v>112.6</v>
      </c>
      <c r="G1128" s="26">
        <f>IFERROR(__xludf.DUMMYFUNCTION("""COMPUTED_VALUE"""),1.677676347561E12)</f>
        <v>1677676347561</v>
      </c>
      <c r="H1128" s="26">
        <f t="shared" si="1"/>
        <v>149762</v>
      </c>
    </row>
    <row r="1129">
      <c r="F1129" s="26">
        <f>IFERROR(__xludf.DUMMYFUNCTION("""COMPUTED_VALUE"""),112.7)</f>
        <v>112.7</v>
      </c>
      <c r="G1129" s="26">
        <f>IFERROR(__xludf.DUMMYFUNCTION("""COMPUTED_VALUE"""),1.677676347567E12)</f>
        <v>1677676347567</v>
      </c>
      <c r="H1129" s="26">
        <f t="shared" si="1"/>
        <v>149768</v>
      </c>
    </row>
    <row r="1130">
      <c r="F1130" s="26">
        <f>IFERROR(__xludf.DUMMYFUNCTION("""COMPUTED_VALUE"""),112.8)</f>
        <v>112.8</v>
      </c>
      <c r="G1130" s="26">
        <f>IFERROR(__xludf.DUMMYFUNCTION("""COMPUTED_VALUE"""),1.677676347573E12)</f>
        <v>1677676347573</v>
      </c>
      <c r="H1130" s="26">
        <f t="shared" si="1"/>
        <v>149774</v>
      </c>
    </row>
    <row r="1131">
      <c r="F1131" s="26">
        <f>IFERROR(__xludf.DUMMYFUNCTION("""COMPUTED_VALUE"""),112.9)</f>
        <v>112.9</v>
      </c>
      <c r="G1131" s="26">
        <f>IFERROR(__xludf.DUMMYFUNCTION("""COMPUTED_VALUE"""),1.67767634758E12)</f>
        <v>1677676347580</v>
      </c>
      <c r="H1131" s="26">
        <f t="shared" si="1"/>
        <v>149781</v>
      </c>
    </row>
    <row r="1132">
      <c r="F1132" s="26">
        <f>IFERROR(__xludf.DUMMYFUNCTION("""COMPUTED_VALUE"""),113.0)</f>
        <v>113</v>
      </c>
      <c r="G1132" s="26">
        <f>IFERROR(__xludf.DUMMYFUNCTION("""COMPUTED_VALUE"""),1.677676347587E12)</f>
        <v>1677676347587</v>
      </c>
      <c r="H1132" s="26">
        <f t="shared" si="1"/>
        <v>149788</v>
      </c>
    </row>
    <row r="1133">
      <c r="F1133" s="26">
        <f>IFERROR(__xludf.DUMMYFUNCTION("""COMPUTED_VALUE"""),113.1)</f>
        <v>113.1</v>
      </c>
      <c r="G1133" s="26">
        <f>IFERROR(__xludf.DUMMYFUNCTION("""COMPUTED_VALUE"""),1.677676347593E12)</f>
        <v>1677676347593</v>
      </c>
      <c r="H1133" s="26">
        <f t="shared" si="1"/>
        <v>149794</v>
      </c>
    </row>
    <row r="1134">
      <c r="F1134" s="26">
        <f>IFERROR(__xludf.DUMMYFUNCTION("""COMPUTED_VALUE"""),113.2)</f>
        <v>113.2</v>
      </c>
      <c r="G1134" s="26">
        <f>IFERROR(__xludf.DUMMYFUNCTION("""COMPUTED_VALUE"""),1.677676347598E12)</f>
        <v>1677676347598</v>
      </c>
      <c r="H1134" s="26">
        <f t="shared" si="1"/>
        <v>149799</v>
      </c>
    </row>
    <row r="1135">
      <c r="F1135" s="26">
        <f>IFERROR(__xludf.DUMMYFUNCTION("""COMPUTED_VALUE"""),113.3)</f>
        <v>113.3</v>
      </c>
      <c r="G1135" s="26">
        <f>IFERROR(__xludf.DUMMYFUNCTION("""COMPUTED_VALUE"""),1.677676347605E12)</f>
        <v>1677676347605</v>
      </c>
      <c r="H1135" s="26">
        <f t="shared" si="1"/>
        <v>149806</v>
      </c>
    </row>
    <row r="1136">
      <c r="F1136" s="26">
        <f>IFERROR(__xludf.DUMMYFUNCTION("""COMPUTED_VALUE"""),113.4)</f>
        <v>113.4</v>
      </c>
      <c r="G1136" s="26">
        <f>IFERROR(__xludf.DUMMYFUNCTION("""COMPUTED_VALUE"""),1.677676347612E12)</f>
        <v>1677676347612</v>
      </c>
      <c r="H1136" s="26">
        <f t="shared" si="1"/>
        <v>149813</v>
      </c>
    </row>
    <row r="1137">
      <c r="F1137" s="26">
        <f>IFERROR(__xludf.DUMMYFUNCTION("""COMPUTED_VALUE"""),113.5)</f>
        <v>113.5</v>
      </c>
      <c r="G1137" s="26">
        <f>IFERROR(__xludf.DUMMYFUNCTION("""COMPUTED_VALUE"""),1.677676347617E12)</f>
        <v>1677676347617</v>
      </c>
      <c r="H1137" s="26">
        <f t="shared" si="1"/>
        <v>149818</v>
      </c>
    </row>
    <row r="1138">
      <c r="F1138" s="26">
        <f>IFERROR(__xludf.DUMMYFUNCTION("""COMPUTED_VALUE"""),113.6)</f>
        <v>113.6</v>
      </c>
      <c r="G1138" s="26">
        <f>IFERROR(__xludf.DUMMYFUNCTION("""COMPUTED_VALUE"""),1.677676347628E12)</f>
        <v>1677676347628</v>
      </c>
      <c r="H1138" s="26">
        <f t="shared" si="1"/>
        <v>149829</v>
      </c>
    </row>
    <row r="1139">
      <c r="F1139" s="26">
        <f>IFERROR(__xludf.DUMMYFUNCTION("""COMPUTED_VALUE"""),113.7)</f>
        <v>113.7</v>
      </c>
      <c r="G1139" s="26">
        <f>IFERROR(__xludf.DUMMYFUNCTION("""COMPUTED_VALUE"""),1.677676347633E12)</f>
        <v>1677676347633</v>
      </c>
      <c r="H1139" s="26">
        <f t="shared" si="1"/>
        <v>149834</v>
      </c>
    </row>
    <row r="1140">
      <c r="F1140" s="26">
        <f>IFERROR(__xludf.DUMMYFUNCTION("""COMPUTED_VALUE"""),113.8)</f>
        <v>113.8</v>
      </c>
      <c r="G1140" s="26">
        <f>IFERROR(__xludf.DUMMYFUNCTION("""COMPUTED_VALUE"""),1.677676347638E12)</f>
        <v>1677676347638</v>
      </c>
      <c r="H1140" s="26">
        <f t="shared" si="1"/>
        <v>149839</v>
      </c>
    </row>
    <row r="1141">
      <c r="F1141" s="26">
        <f>IFERROR(__xludf.DUMMYFUNCTION("""COMPUTED_VALUE"""),113.9)</f>
        <v>113.9</v>
      </c>
      <c r="G1141" s="26">
        <f>IFERROR(__xludf.DUMMYFUNCTION("""COMPUTED_VALUE"""),1.677676347643E12)</f>
        <v>1677676347643</v>
      </c>
      <c r="H1141" s="26">
        <f t="shared" si="1"/>
        <v>149844</v>
      </c>
    </row>
    <row r="1142">
      <c r="F1142" s="26">
        <f>IFERROR(__xludf.DUMMYFUNCTION("""COMPUTED_VALUE"""),114.0)</f>
        <v>114</v>
      </c>
      <c r="G1142" s="26">
        <f>IFERROR(__xludf.DUMMYFUNCTION("""COMPUTED_VALUE"""),1.677676347651E12)</f>
        <v>1677676347651</v>
      </c>
      <c r="H1142" s="26">
        <f t="shared" si="1"/>
        <v>149852</v>
      </c>
    </row>
    <row r="1143">
      <c r="F1143" s="26">
        <f>IFERROR(__xludf.DUMMYFUNCTION("""COMPUTED_VALUE"""),114.1)</f>
        <v>114.1</v>
      </c>
      <c r="G1143" s="26">
        <f>IFERROR(__xludf.DUMMYFUNCTION("""COMPUTED_VALUE"""),1.677676347657E12)</f>
        <v>1677676347657</v>
      </c>
      <c r="H1143" s="26">
        <f t="shared" si="1"/>
        <v>149858</v>
      </c>
    </row>
    <row r="1144">
      <c r="F1144" s="26">
        <f>IFERROR(__xludf.DUMMYFUNCTION("""COMPUTED_VALUE"""),114.2)</f>
        <v>114.2</v>
      </c>
      <c r="G1144" s="26">
        <f>IFERROR(__xludf.DUMMYFUNCTION("""COMPUTED_VALUE"""),1.677676347664E12)</f>
        <v>1677676347664</v>
      </c>
      <c r="H1144" s="26">
        <f t="shared" si="1"/>
        <v>149865</v>
      </c>
    </row>
    <row r="1145">
      <c r="F1145" s="26">
        <f>IFERROR(__xludf.DUMMYFUNCTION("""COMPUTED_VALUE"""),114.3)</f>
        <v>114.3</v>
      </c>
      <c r="G1145" s="26">
        <f>IFERROR(__xludf.DUMMYFUNCTION("""COMPUTED_VALUE"""),1.677676347669E12)</f>
        <v>1677676347669</v>
      </c>
      <c r="H1145" s="26">
        <f t="shared" si="1"/>
        <v>149870</v>
      </c>
    </row>
    <row r="1146">
      <c r="F1146" s="26">
        <f>IFERROR(__xludf.DUMMYFUNCTION("""COMPUTED_VALUE"""),114.4)</f>
        <v>114.4</v>
      </c>
      <c r="G1146" s="26">
        <f>IFERROR(__xludf.DUMMYFUNCTION("""COMPUTED_VALUE"""),1.677676347676E12)</f>
        <v>1677676347676</v>
      </c>
      <c r="H1146" s="26">
        <f t="shared" si="1"/>
        <v>149877</v>
      </c>
    </row>
    <row r="1147">
      <c r="F1147" s="26">
        <f>IFERROR(__xludf.DUMMYFUNCTION("""COMPUTED_VALUE"""),114.5)</f>
        <v>114.5</v>
      </c>
      <c r="G1147" s="26">
        <f>IFERROR(__xludf.DUMMYFUNCTION("""COMPUTED_VALUE"""),1.67767634768E12)</f>
        <v>1677676347680</v>
      </c>
      <c r="H1147" s="26">
        <f t="shared" si="1"/>
        <v>149881</v>
      </c>
    </row>
    <row r="1148">
      <c r="F1148" s="26">
        <f>IFERROR(__xludf.DUMMYFUNCTION("""COMPUTED_VALUE"""),114.6)</f>
        <v>114.6</v>
      </c>
      <c r="G1148" s="26">
        <f>IFERROR(__xludf.DUMMYFUNCTION("""COMPUTED_VALUE"""),1.677676347687E12)</f>
        <v>1677676347687</v>
      </c>
      <c r="H1148" s="26">
        <f t="shared" si="1"/>
        <v>149888</v>
      </c>
    </row>
    <row r="1149">
      <c r="F1149" s="26">
        <f>IFERROR(__xludf.DUMMYFUNCTION("""COMPUTED_VALUE"""),114.7)</f>
        <v>114.7</v>
      </c>
      <c r="G1149" s="26">
        <f>IFERROR(__xludf.DUMMYFUNCTION("""COMPUTED_VALUE"""),1.677676347692E12)</f>
        <v>1677676347692</v>
      </c>
      <c r="H1149" s="26">
        <f t="shared" si="1"/>
        <v>149893</v>
      </c>
    </row>
    <row r="1150">
      <c r="F1150" s="26">
        <f>IFERROR(__xludf.DUMMYFUNCTION("""COMPUTED_VALUE"""),114.8)</f>
        <v>114.8</v>
      </c>
      <c r="G1150" s="26">
        <f>IFERROR(__xludf.DUMMYFUNCTION("""COMPUTED_VALUE"""),1.677676347698E12)</f>
        <v>1677676347698</v>
      </c>
      <c r="H1150" s="26">
        <f t="shared" si="1"/>
        <v>149899</v>
      </c>
    </row>
    <row r="1151">
      <c r="F1151" s="26">
        <f>IFERROR(__xludf.DUMMYFUNCTION("""COMPUTED_VALUE"""),114.9)</f>
        <v>114.9</v>
      </c>
      <c r="G1151" s="26">
        <f>IFERROR(__xludf.DUMMYFUNCTION("""COMPUTED_VALUE"""),1.677676347704E12)</f>
        <v>1677676347704</v>
      </c>
      <c r="H1151" s="26">
        <f t="shared" si="1"/>
        <v>149905</v>
      </c>
    </row>
    <row r="1152">
      <c r="F1152" s="26">
        <f>IFERROR(__xludf.DUMMYFUNCTION("""COMPUTED_VALUE"""),115.0)</f>
        <v>115</v>
      </c>
      <c r="G1152" s="26">
        <f>IFERROR(__xludf.DUMMYFUNCTION("""COMPUTED_VALUE"""),1.677676347708E12)</f>
        <v>1677676347708</v>
      </c>
      <c r="H1152" s="26">
        <f t="shared" si="1"/>
        <v>149909</v>
      </c>
    </row>
    <row r="1153">
      <c r="F1153" s="26">
        <f>IFERROR(__xludf.DUMMYFUNCTION("""COMPUTED_VALUE"""),115.1)</f>
        <v>115.1</v>
      </c>
      <c r="G1153" s="26">
        <f>IFERROR(__xludf.DUMMYFUNCTION("""COMPUTED_VALUE"""),1.677676347715E12)</f>
        <v>1677676347715</v>
      </c>
      <c r="H1153" s="26">
        <f t="shared" si="1"/>
        <v>149916</v>
      </c>
    </row>
    <row r="1154">
      <c r="F1154" s="26">
        <f>IFERROR(__xludf.DUMMYFUNCTION("""COMPUTED_VALUE"""),115.2)</f>
        <v>115.2</v>
      </c>
      <c r="G1154" s="26">
        <f>IFERROR(__xludf.DUMMYFUNCTION("""COMPUTED_VALUE"""),1.677676347719E12)</f>
        <v>1677676347719</v>
      </c>
      <c r="H1154" s="26">
        <f t="shared" si="1"/>
        <v>149920</v>
      </c>
    </row>
    <row r="1155">
      <c r="F1155" s="26">
        <f>IFERROR(__xludf.DUMMYFUNCTION("""COMPUTED_VALUE"""),115.3)</f>
        <v>115.3</v>
      </c>
      <c r="G1155" s="26">
        <f>IFERROR(__xludf.DUMMYFUNCTION("""COMPUTED_VALUE"""),1.677676347724E12)</f>
        <v>1677676347724</v>
      </c>
      <c r="H1155" s="26">
        <f t="shared" si="1"/>
        <v>149925</v>
      </c>
    </row>
    <row r="1156">
      <c r="F1156" s="26">
        <f>IFERROR(__xludf.DUMMYFUNCTION("""COMPUTED_VALUE"""),115.4)</f>
        <v>115.4</v>
      </c>
      <c r="G1156" s="26">
        <f>IFERROR(__xludf.DUMMYFUNCTION("""COMPUTED_VALUE"""),1.67767634773E12)</f>
        <v>1677676347730</v>
      </c>
      <c r="H1156" s="26">
        <f t="shared" si="1"/>
        <v>149931</v>
      </c>
    </row>
    <row r="1157">
      <c r="F1157" s="26">
        <f>IFERROR(__xludf.DUMMYFUNCTION("""COMPUTED_VALUE"""),115.5)</f>
        <v>115.5</v>
      </c>
      <c r="G1157" s="26">
        <f>IFERROR(__xludf.DUMMYFUNCTION("""COMPUTED_VALUE"""),1.677676347737E12)</f>
        <v>1677676347737</v>
      </c>
      <c r="H1157" s="26">
        <f t="shared" si="1"/>
        <v>149938</v>
      </c>
    </row>
    <row r="1158">
      <c r="F1158" s="26">
        <f>IFERROR(__xludf.DUMMYFUNCTION("""COMPUTED_VALUE"""),115.6)</f>
        <v>115.6</v>
      </c>
      <c r="G1158" s="26">
        <f>IFERROR(__xludf.DUMMYFUNCTION("""COMPUTED_VALUE"""),1.677676347742E12)</f>
        <v>1677676347742</v>
      </c>
      <c r="H1158" s="26">
        <f t="shared" si="1"/>
        <v>149943</v>
      </c>
    </row>
    <row r="1159">
      <c r="F1159" s="26">
        <f>IFERROR(__xludf.DUMMYFUNCTION("""COMPUTED_VALUE"""),115.7)</f>
        <v>115.7</v>
      </c>
      <c r="G1159" s="26">
        <f>IFERROR(__xludf.DUMMYFUNCTION("""COMPUTED_VALUE"""),1.677676347749E12)</f>
        <v>1677676347749</v>
      </c>
      <c r="H1159" s="26">
        <f t="shared" si="1"/>
        <v>149950</v>
      </c>
    </row>
    <row r="1160">
      <c r="F1160" s="26">
        <f>IFERROR(__xludf.DUMMYFUNCTION("""COMPUTED_VALUE"""),115.8)</f>
        <v>115.8</v>
      </c>
      <c r="G1160" s="26">
        <f>IFERROR(__xludf.DUMMYFUNCTION("""COMPUTED_VALUE"""),1.677676347758E12)</f>
        <v>1677676347758</v>
      </c>
      <c r="H1160" s="26">
        <f t="shared" si="1"/>
        <v>149959</v>
      </c>
    </row>
    <row r="1161">
      <c r="F1161" s="26">
        <f>IFERROR(__xludf.DUMMYFUNCTION("""COMPUTED_VALUE"""),115.9)</f>
        <v>115.9</v>
      </c>
      <c r="G1161" s="26">
        <f>IFERROR(__xludf.DUMMYFUNCTION("""COMPUTED_VALUE"""),1.677676347762E12)</f>
        <v>1677676347762</v>
      </c>
      <c r="H1161" s="26">
        <f t="shared" si="1"/>
        <v>149963</v>
      </c>
    </row>
    <row r="1162">
      <c r="F1162" s="26">
        <f>IFERROR(__xludf.DUMMYFUNCTION("""COMPUTED_VALUE"""),116.0)</f>
        <v>116</v>
      </c>
      <c r="G1162" s="26">
        <f>IFERROR(__xludf.DUMMYFUNCTION("""COMPUTED_VALUE"""),1.677676347769E12)</f>
        <v>1677676347769</v>
      </c>
      <c r="H1162" s="26">
        <f t="shared" si="1"/>
        <v>149970</v>
      </c>
    </row>
    <row r="1163">
      <c r="F1163" s="26">
        <f>IFERROR(__xludf.DUMMYFUNCTION("""COMPUTED_VALUE"""),116.1)</f>
        <v>116.1</v>
      </c>
      <c r="G1163" s="26">
        <f>IFERROR(__xludf.DUMMYFUNCTION("""COMPUTED_VALUE"""),1.677676347774E12)</f>
        <v>1677676347774</v>
      </c>
      <c r="H1163" s="26">
        <f t="shared" si="1"/>
        <v>149975</v>
      </c>
    </row>
    <row r="1164">
      <c r="F1164" s="26">
        <f>IFERROR(__xludf.DUMMYFUNCTION("""COMPUTED_VALUE"""),116.2)</f>
        <v>116.2</v>
      </c>
      <c r="G1164" s="26">
        <f>IFERROR(__xludf.DUMMYFUNCTION("""COMPUTED_VALUE"""),1.677676347781E12)</f>
        <v>1677676347781</v>
      </c>
      <c r="H1164" s="26">
        <f t="shared" si="1"/>
        <v>149982</v>
      </c>
    </row>
    <row r="1165">
      <c r="F1165" s="26">
        <f>IFERROR(__xludf.DUMMYFUNCTION("""COMPUTED_VALUE"""),116.3)</f>
        <v>116.3</v>
      </c>
      <c r="G1165" s="26">
        <f>IFERROR(__xludf.DUMMYFUNCTION("""COMPUTED_VALUE"""),1.677676347788E12)</f>
        <v>1677676347788</v>
      </c>
      <c r="H1165" s="26">
        <f t="shared" si="1"/>
        <v>149989</v>
      </c>
    </row>
    <row r="1166">
      <c r="F1166" s="26">
        <f>IFERROR(__xludf.DUMMYFUNCTION("""COMPUTED_VALUE"""),116.4)</f>
        <v>116.4</v>
      </c>
      <c r="G1166" s="26">
        <f>IFERROR(__xludf.DUMMYFUNCTION("""COMPUTED_VALUE"""),1.677676347794E12)</f>
        <v>1677676347794</v>
      </c>
      <c r="H1166" s="26">
        <f t="shared" si="1"/>
        <v>149995</v>
      </c>
    </row>
    <row r="1167">
      <c r="F1167" s="26">
        <f>IFERROR(__xludf.DUMMYFUNCTION("""COMPUTED_VALUE"""),116.5)</f>
        <v>116.5</v>
      </c>
      <c r="G1167" s="26">
        <f>IFERROR(__xludf.DUMMYFUNCTION("""COMPUTED_VALUE"""),1.6776763478E12)</f>
        <v>1677676347800</v>
      </c>
      <c r="H1167" s="26">
        <f t="shared" si="1"/>
        <v>150001</v>
      </c>
    </row>
    <row r="1168">
      <c r="F1168" s="26">
        <f>IFERROR(__xludf.DUMMYFUNCTION("""COMPUTED_VALUE"""),116.6)</f>
        <v>116.6</v>
      </c>
      <c r="G1168" s="26">
        <f>IFERROR(__xludf.DUMMYFUNCTION("""COMPUTED_VALUE"""),1.677676347808E12)</f>
        <v>1677676347808</v>
      </c>
      <c r="H1168" s="26">
        <f t="shared" si="1"/>
        <v>150009</v>
      </c>
    </row>
    <row r="1169">
      <c r="F1169" s="26">
        <f>IFERROR(__xludf.DUMMYFUNCTION("""COMPUTED_VALUE"""),116.7)</f>
        <v>116.7</v>
      </c>
      <c r="G1169" s="26">
        <f>IFERROR(__xludf.DUMMYFUNCTION("""COMPUTED_VALUE"""),1.677676347814E12)</f>
        <v>1677676347814</v>
      </c>
      <c r="H1169" s="26">
        <f t="shared" si="1"/>
        <v>150015</v>
      </c>
    </row>
    <row r="1170">
      <c r="F1170" s="26">
        <f>IFERROR(__xludf.DUMMYFUNCTION("""COMPUTED_VALUE"""),116.8)</f>
        <v>116.8</v>
      </c>
      <c r="G1170" s="26">
        <f>IFERROR(__xludf.DUMMYFUNCTION("""COMPUTED_VALUE"""),1.67767634782E12)</f>
        <v>1677676347820</v>
      </c>
      <c r="H1170" s="26">
        <f t="shared" si="1"/>
        <v>150021</v>
      </c>
    </row>
    <row r="1171">
      <c r="F1171" s="26">
        <f>IFERROR(__xludf.DUMMYFUNCTION("""COMPUTED_VALUE"""),116.9)</f>
        <v>116.9</v>
      </c>
      <c r="G1171" s="26">
        <f>IFERROR(__xludf.DUMMYFUNCTION("""COMPUTED_VALUE"""),1.677676347828E12)</f>
        <v>1677676347828</v>
      </c>
      <c r="H1171" s="26">
        <f t="shared" si="1"/>
        <v>150029</v>
      </c>
    </row>
    <row r="1172">
      <c r="F1172" s="26">
        <f>IFERROR(__xludf.DUMMYFUNCTION("""COMPUTED_VALUE"""),117.0)</f>
        <v>117</v>
      </c>
      <c r="G1172" s="26">
        <f>IFERROR(__xludf.DUMMYFUNCTION("""COMPUTED_VALUE"""),1.677676347836E12)</f>
        <v>1677676347836</v>
      </c>
      <c r="H1172" s="26">
        <f t="shared" si="1"/>
        <v>150037</v>
      </c>
    </row>
    <row r="1173">
      <c r="F1173" s="26">
        <f>IFERROR(__xludf.DUMMYFUNCTION("""COMPUTED_VALUE"""),117.1)</f>
        <v>117.1</v>
      </c>
      <c r="G1173" s="26">
        <f>IFERROR(__xludf.DUMMYFUNCTION("""COMPUTED_VALUE"""),1.677676347841E12)</f>
        <v>1677676347841</v>
      </c>
      <c r="H1173" s="26">
        <f t="shared" si="1"/>
        <v>150042</v>
      </c>
    </row>
    <row r="1174">
      <c r="F1174" s="26">
        <f>IFERROR(__xludf.DUMMYFUNCTION("""COMPUTED_VALUE"""),117.2)</f>
        <v>117.2</v>
      </c>
      <c r="G1174" s="26">
        <f>IFERROR(__xludf.DUMMYFUNCTION("""COMPUTED_VALUE"""),1.67767634785E12)</f>
        <v>1677676347850</v>
      </c>
      <c r="H1174" s="26">
        <f t="shared" si="1"/>
        <v>150051</v>
      </c>
    </row>
    <row r="1175">
      <c r="F1175" s="26">
        <f>IFERROR(__xludf.DUMMYFUNCTION("""COMPUTED_VALUE"""),117.3)</f>
        <v>117.3</v>
      </c>
      <c r="G1175" s="26">
        <f>IFERROR(__xludf.DUMMYFUNCTION("""COMPUTED_VALUE"""),1.677676347854E12)</f>
        <v>1677676347854</v>
      </c>
      <c r="H1175" s="26">
        <f t="shared" si="1"/>
        <v>150055</v>
      </c>
    </row>
    <row r="1176">
      <c r="F1176" s="26">
        <f>IFERROR(__xludf.DUMMYFUNCTION("""COMPUTED_VALUE"""),117.4)</f>
        <v>117.4</v>
      </c>
      <c r="G1176" s="26">
        <f>IFERROR(__xludf.DUMMYFUNCTION("""COMPUTED_VALUE"""),1.67767634786E12)</f>
        <v>1677676347860</v>
      </c>
      <c r="H1176" s="26">
        <f t="shared" si="1"/>
        <v>150061</v>
      </c>
    </row>
    <row r="1177">
      <c r="F1177" s="26">
        <f>IFERROR(__xludf.DUMMYFUNCTION("""COMPUTED_VALUE"""),117.5)</f>
        <v>117.5</v>
      </c>
      <c r="G1177" s="26">
        <f>IFERROR(__xludf.DUMMYFUNCTION("""COMPUTED_VALUE"""),1.677676347868E12)</f>
        <v>1677676347868</v>
      </c>
      <c r="H1177" s="26">
        <f t="shared" si="1"/>
        <v>150069</v>
      </c>
    </row>
    <row r="1178">
      <c r="F1178" s="26">
        <f>IFERROR(__xludf.DUMMYFUNCTION("""COMPUTED_VALUE"""),117.6)</f>
        <v>117.6</v>
      </c>
      <c r="G1178" s="26">
        <f>IFERROR(__xludf.DUMMYFUNCTION("""COMPUTED_VALUE"""),1.677676347874E12)</f>
        <v>1677676347874</v>
      </c>
      <c r="H1178" s="26">
        <f t="shared" si="1"/>
        <v>150075</v>
      </c>
    </row>
    <row r="1179">
      <c r="F1179" s="26">
        <f>IFERROR(__xludf.DUMMYFUNCTION("""COMPUTED_VALUE"""),117.7)</f>
        <v>117.7</v>
      </c>
      <c r="G1179" s="26">
        <f>IFERROR(__xludf.DUMMYFUNCTION("""COMPUTED_VALUE"""),1.67767634788E12)</f>
        <v>1677676347880</v>
      </c>
      <c r="H1179" s="26">
        <f t="shared" si="1"/>
        <v>150081</v>
      </c>
    </row>
    <row r="1180">
      <c r="F1180" s="26">
        <f>IFERROR(__xludf.DUMMYFUNCTION("""COMPUTED_VALUE"""),117.8)</f>
        <v>117.8</v>
      </c>
      <c r="G1180" s="26">
        <f>IFERROR(__xludf.DUMMYFUNCTION("""COMPUTED_VALUE"""),1.677676347889E12)</f>
        <v>1677676347889</v>
      </c>
      <c r="H1180" s="26">
        <f t="shared" si="1"/>
        <v>150090</v>
      </c>
    </row>
    <row r="1181">
      <c r="F1181" s="26">
        <f>IFERROR(__xludf.DUMMYFUNCTION("""COMPUTED_VALUE"""),117.9)</f>
        <v>117.9</v>
      </c>
      <c r="G1181" s="26">
        <f>IFERROR(__xludf.DUMMYFUNCTION("""COMPUTED_VALUE"""),1.6776763479E12)</f>
        <v>1677676347900</v>
      </c>
      <c r="H1181" s="26">
        <f t="shared" si="1"/>
        <v>150101</v>
      </c>
    </row>
    <row r="1182">
      <c r="F1182" s="26">
        <f>IFERROR(__xludf.DUMMYFUNCTION("""COMPUTED_VALUE"""),118.0)</f>
        <v>118</v>
      </c>
      <c r="G1182" s="26">
        <f>IFERROR(__xludf.DUMMYFUNCTION("""COMPUTED_VALUE"""),1.677676347908E12)</f>
        <v>1677676347908</v>
      </c>
      <c r="H1182" s="26">
        <f t="shared" si="1"/>
        <v>150109</v>
      </c>
    </row>
    <row r="1183">
      <c r="F1183" s="26">
        <f>IFERROR(__xludf.DUMMYFUNCTION("""COMPUTED_VALUE"""),118.1)</f>
        <v>118.1</v>
      </c>
      <c r="G1183" s="26">
        <f>IFERROR(__xludf.DUMMYFUNCTION("""COMPUTED_VALUE"""),1.677676347914E12)</f>
        <v>1677676347914</v>
      </c>
      <c r="H1183" s="26">
        <f t="shared" si="1"/>
        <v>150115</v>
      </c>
    </row>
    <row r="1184">
      <c r="F1184" s="26">
        <f>IFERROR(__xludf.DUMMYFUNCTION("""COMPUTED_VALUE"""),118.2)</f>
        <v>118.2</v>
      </c>
      <c r="G1184" s="26">
        <f>IFERROR(__xludf.DUMMYFUNCTION("""COMPUTED_VALUE"""),1.67767634792E12)</f>
        <v>1677676347920</v>
      </c>
      <c r="H1184" s="26">
        <f t="shared" si="1"/>
        <v>150121</v>
      </c>
    </row>
    <row r="1185">
      <c r="F1185" s="26">
        <f>IFERROR(__xludf.DUMMYFUNCTION("""COMPUTED_VALUE"""),118.3)</f>
        <v>118.3</v>
      </c>
      <c r="G1185" s="26">
        <f>IFERROR(__xludf.DUMMYFUNCTION("""COMPUTED_VALUE"""),1.677676347929E12)</f>
        <v>1677676347929</v>
      </c>
      <c r="H1185" s="26">
        <f t="shared" si="1"/>
        <v>150130</v>
      </c>
    </row>
    <row r="1186">
      <c r="F1186" s="26">
        <f>IFERROR(__xludf.DUMMYFUNCTION("""COMPUTED_VALUE"""),118.4)</f>
        <v>118.4</v>
      </c>
      <c r="G1186" s="26">
        <f>IFERROR(__xludf.DUMMYFUNCTION("""COMPUTED_VALUE"""),1.677676347936E12)</f>
        <v>1677676347936</v>
      </c>
      <c r="H1186" s="26">
        <f t="shared" si="1"/>
        <v>150137</v>
      </c>
    </row>
    <row r="1187">
      <c r="F1187" s="26">
        <f>IFERROR(__xludf.DUMMYFUNCTION("""COMPUTED_VALUE"""),118.5)</f>
        <v>118.5</v>
      </c>
      <c r="G1187" s="26">
        <f>IFERROR(__xludf.DUMMYFUNCTION("""COMPUTED_VALUE"""),1.677676347942E12)</f>
        <v>1677676347942</v>
      </c>
      <c r="H1187" s="26">
        <f t="shared" si="1"/>
        <v>150143</v>
      </c>
    </row>
    <row r="1188">
      <c r="F1188" s="26">
        <f>IFERROR(__xludf.DUMMYFUNCTION("""COMPUTED_VALUE"""),118.6)</f>
        <v>118.6</v>
      </c>
      <c r="G1188" s="26">
        <f>IFERROR(__xludf.DUMMYFUNCTION("""COMPUTED_VALUE"""),1.677676347947E12)</f>
        <v>1677676347947</v>
      </c>
      <c r="H1188" s="26">
        <f t="shared" si="1"/>
        <v>150148</v>
      </c>
    </row>
    <row r="1189">
      <c r="F1189" s="26">
        <f>IFERROR(__xludf.DUMMYFUNCTION("""COMPUTED_VALUE"""),118.7)</f>
        <v>118.7</v>
      </c>
      <c r="G1189" s="26">
        <f>IFERROR(__xludf.DUMMYFUNCTION("""COMPUTED_VALUE"""),1.677676347952E12)</f>
        <v>1677676347952</v>
      </c>
      <c r="H1189" s="26">
        <f t="shared" si="1"/>
        <v>150153</v>
      </c>
    </row>
    <row r="1190">
      <c r="F1190" s="26">
        <f>IFERROR(__xludf.DUMMYFUNCTION("""COMPUTED_VALUE"""),118.8)</f>
        <v>118.8</v>
      </c>
      <c r="G1190" s="26">
        <f>IFERROR(__xludf.DUMMYFUNCTION("""COMPUTED_VALUE"""),1.677676347958E12)</f>
        <v>1677676347958</v>
      </c>
      <c r="H1190" s="26">
        <f t="shared" si="1"/>
        <v>150159</v>
      </c>
    </row>
    <row r="1191">
      <c r="F1191" s="26">
        <f>IFERROR(__xludf.DUMMYFUNCTION("""COMPUTED_VALUE"""),118.9)</f>
        <v>118.9</v>
      </c>
      <c r="G1191" s="26">
        <f>IFERROR(__xludf.DUMMYFUNCTION("""COMPUTED_VALUE"""),1.677676347964E12)</f>
        <v>1677676347964</v>
      </c>
      <c r="H1191" s="26">
        <f t="shared" si="1"/>
        <v>150165</v>
      </c>
    </row>
    <row r="1192">
      <c r="F1192" s="26">
        <f>IFERROR(__xludf.DUMMYFUNCTION("""COMPUTED_VALUE"""),119.0)</f>
        <v>119</v>
      </c>
      <c r="G1192" s="26">
        <f>IFERROR(__xludf.DUMMYFUNCTION("""COMPUTED_VALUE"""),1.677676347968E12)</f>
        <v>1677676347968</v>
      </c>
      <c r="H1192" s="26">
        <f t="shared" si="1"/>
        <v>150169</v>
      </c>
    </row>
    <row r="1193">
      <c r="F1193" s="26">
        <f>IFERROR(__xludf.DUMMYFUNCTION("""COMPUTED_VALUE"""),119.1)</f>
        <v>119.1</v>
      </c>
      <c r="G1193" s="26">
        <f>IFERROR(__xludf.DUMMYFUNCTION("""COMPUTED_VALUE"""),1.677676347974E12)</f>
        <v>1677676347974</v>
      </c>
      <c r="H1193" s="26">
        <f t="shared" si="1"/>
        <v>150175</v>
      </c>
    </row>
    <row r="1194">
      <c r="F1194" s="26">
        <f>IFERROR(__xludf.DUMMYFUNCTION("""COMPUTED_VALUE"""),119.2)</f>
        <v>119.2</v>
      </c>
      <c r="G1194" s="26">
        <f>IFERROR(__xludf.DUMMYFUNCTION("""COMPUTED_VALUE"""),1.67767634798E12)</f>
        <v>1677676347980</v>
      </c>
      <c r="H1194" s="26">
        <f t="shared" si="1"/>
        <v>150181</v>
      </c>
    </row>
    <row r="1195">
      <c r="F1195" s="26">
        <f>IFERROR(__xludf.DUMMYFUNCTION("""COMPUTED_VALUE"""),119.3)</f>
        <v>119.3</v>
      </c>
      <c r="G1195" s="26">
        <f>IFERROR(__xludf.DUMMYFUNCTION("""COMPUTED_VALUE"""),1.677676347988E12)</f>
        <v>1677676347988</v>
      </c>
      <c r="H1195" s="26">
        <f t="shared" si="1"/>
        <v>150189</v>
      </c>
    </row>
    <row r="1196">
      <c r="F1196" s="26">
        <f>IFERROR(__xludf.DUMMYFUNCTION("""COMPUTED_VALUE"""),119.4)</f>
        <v>119.4</v>
      </c>
      <c r="G1196" s="26">
        <f>IFERROR(__xludf.DUMMYFUNCTION("""COMPUTED_VALUE"""),1.677676347994E12)</f>
        <v>1677676347994</v>
      </c>
      <c r="H1196" s="26">
        <f t="shared" si="1"/>
        <v>150195</v>
      </c>
    </row>
    <row r="1197">
      <c r="F1197" s="26">
        <f>IFERROR(__xludf.DUMMYFUNCTION("""COMPUTED_VALUE"""),119.5)</f>
        <v>119.5</v>
      </c>
      <c r="G1197" s="26">
        <f>IFERROR(__xludf.DUMMYFUNCTION("""COMPUTED_VALUE"""),1.677676348E12)</f>
        <v>1677676348000</v>
      </c>
      <c r="H1197" s="26">
        <f t="shared" si="1"/>
        <v>150201</v>
      </c>
    </row>
    <row r="1198">
      <c r="F1198" s="26">
        <f>IFERROR(__xludf.DUMMYFUNCTION("""COMPUTED_VALUE"""),119.6)</f>
        <v>119.6</v>
      </c>
      <c r="G1198" s="26">
        <f>IFERROR(__xludf.DUMMYFUNCTION("""COMPUTED_VALUE"""),1.677676348008E12)</f>
        <v>1677676348008</v>
      </c>
      <c r="H1198" s="26">
        <f t="shared" si="1"/>
        <v>150209</v>
      </c>
    </row>
    <row r="1199">
      <c r="F1199" s="26">
        <f>IFERROR(__xludf.DUMMYFUNCTION("""COMPUTED_VALUE"""),119.7)</f>
        <v>119.7</v>
      </c>
      <c r="G1199" s="26">
        <f>IFERROR(__xludf.DUMMYFUNCTION("""COMPUTED_VALUE"""),1.677676348015E12)</f>
        <v>1677676348015</v>
      </c>
      <c r="H1199" s="26">
        <f t="shared" si="1"/>
        <v>150216</v>
      </c>
    </row>
    <row r="1200">
      <c r="F1200" s="26">
        <f>IFERROR(__xludf.DUMMYFUNCTION("""COMPUTED_VALUE"""),119.8)</f>
        <v>119.8</v>
      </c>
      <c r="G1200" s="26">
        <f>IFERROR(__xludf.DUMMYFUNCTION("""COMPUTED_VALUE"""),1.677676348019E12)</f>
        <v>1677676348019</v>
      </c>
      <c r="H1200" s="26">
        <f t="shared" si="1"/>
        <v>150220</v>
      </c>
    </row>
    <row r="1201">
      <c r="F1201" s="26">
        <f>IFERROR(__xludf.DUMMYFUNCTION("""COMPUTED_VALUE"""),119.9)</f>
        <v>119.9</v>
      </c>
      <c r="G1201" s="26">
        <f>IFERROR(__xludf.DUMMYFUNCTION("""COMPUTED_VALUE"""),1.677676348028E12)</f>
        <v>1677676348028</v>
      </c>
      <c r="H1201" s="26">
        <f t="shared" si="1"/>
        <v>150229</v>
      </c>
    </row>
    <row r="1202">
      <c r="F1202" s="26">
        <f>IFERROR(__xludf.DUMMYFUNCTION("""COMPUTED_VALUE"""),120.0)</f>
        <v>120</v>
      </c>
      <c r="G1202" s="26">
        <f>IFERROR(__xludf.DUMMYFUNCTION("""COMPUTED_VALUE"""),1.677676348033E12)</f>
        <v>1677676348033</v>
      </c>
      <c r="H1202" s="26">
        <f t="shared" si="1"/>
        <v>150234</v>
      </c>
    </row>
    <row r="1203">
      <c r="F1203" s="26">
        <f>IFERROR(__xludf.DUMMYFUNCTION("""COMPUTED_VALUE"""),120.1)</f>
        <v>120.1</v>
      </c>
      <c r="G1203" s="26">
        <f>IFERROR(__xludf.DUMMYFUNCTION("""COMPUTED_VALUE"""),1.677676348039E12)</f>
        <v>1677676348039</v>
      </c>
      <c r="H1203" s="26">
        <f t="shared" si="1"/>
        <v>150240</v>
      </c>
    </row>
    <row r="1204">
      <c r="F1204" s="26">
        <f>IFERROR(__xludf.DUMMYFUNCTION("""COMPUTED_VALUE"""),120.2)</f>
        <v>120.2</v>
      </c>
      <c r="G1204" s="26">
        <f>IFERROR(__xludf.DUMMYFUNCTION("""COMPUTED_VALUE"""),1.677676348045E12)</f>
        <v>1677676348045</v>
      </c>
      <c r="H1204" s="26">
        <f t="shared" si="1"/>
        <v>150246</v>
      </c>
    </row>
    <row r="1205">
      <c r="F1205" s="26">
        <f>IFERROR(__xludf.DUMMYFUNCTION("""COMPUTED_VALUE"""),120.3)</f>
        <v>120.3</v>
      </c>
      <c r="G1205" s="26">
        <f>IFERROR(__xludf.DUMMYFUNCTION("""COMPUTED_VALUE"""),1.677676348049E12)</f>
        <v>1677676348049</v>
      </c>
      <c r="H1205" s="26">
        <f t="shared" si="1"/>
        <v>150250</v>
      </c>
    </row>
    <row r="1206">
      <c r="F1206" s="26">
        <f>IFERROR(__xludf.DUMMYFUNCTION("""COMPUTED_VALUE"""),120.4)</f>
        <v>120.4</v>
      </c>
      <c r="G1206" s="26">
        <f>IFERROR(__xludf.DUMMYFUNCTION("""COMPUTED_VALUE"""),1.677676348055E12)</f>
        <v>1677676348055</v>
      </c>
      <c r="H1206" s="26">
        <f t="shared" si="1"/>
        <v>150256</v>
      </c>
    </row>
    <row r="1207">
      <c r="F1207" s="26">
        <f>IFERROR(__xludf.DUMMYFUNCTION("""COMPUTED_VALUE"""),120.5)</f>
        <v>120.5</v>
      </c>
      <c r="G1207" s="26">
        <f>IFERROR(__xludf.DUMMYFUNCTION("""COMPUTED_VALUE"""),1.677676348062E12)</f>
        <v>1677676348062</v>
      </c>
      <c r="H1207" s="26">
        <f t="shared" si="1"/>
        <v>150263</v>
      </c>
    </row>
    <row r="1208">
      <c r="F1208" s="26">
        <f>IFERROR(__xludf.DUMMYFUNCTION("""COMPUTED_VALUE"""),120.6)</f>
        <v>120.6</v>
      </c>
      <c r="G1208" s="26">
        <f>IFERROR(__xludf.DUMMYFUNCTION("""COMPUTED_VALUE"""),1.677676348069E12)</f>
        <v>1677676348069</v>
      </c>
      <c r="H1208" s="26">
        <f t="shared" si="1"/>
        <v>150270</v>
      </c>
    </row>
    <row r="1209">
      <c r="F1209" s="26">
        <f>IFERROR(__xludf.DUMMYFUNCTION("""COMPUTED_VALUE"""),120.7)</f>
        <v>120.7</v>
      </c>
      <c r="G1209" s="26">
        <f>IFERROR(__xludf.DUMMYFUNCTION("""COMPUTED_VALUE"""),1.677676348078E12)</f>
        <v>1677676348078</v>
      </c>
      <c r="H1209" s="26">
        <f t="shared" si="1"/>
        <v>150279</v>
      </c>
    </row>
    <row r="1210">
      <c r="F1210" s="26">
        <f>IFERROR(__xludf.DUMMYFUNCTION("""COMPUTED_VALUE"""),120.8)</f>
        <v>120.8</v>
      </c>
      <c r="G1210" s="26">
        <f>IFERROR(__xludf.DUMMYFUNCTION("""COMPUTED_VALUE"""),1.677676348083E12)</f>
        <v>1677676348083</v>
      </c>
      <c r="H1210" s="26">
        <f t="shared" si="1"/>
        <v>150284</v>
      </c>
    </row>
    <row r="1211">
      <c r="F1211" s="26">
        <f>IFERROR(__xludf.DUMMYFUNCTION("""COMPUTED_VALUE"""),120.9)</f>
        <v>120.9</v>
      </c>
      <c r="G1211" s="26">
        <f>IFERROR(__xludf.DUMMYFUNCTION("""COMPUTED_VALUE"""),1.677676348088E12)</f>
        <v>1677676348088</v>
      </c>
      <c r="H1211" s="26">
        <f t="shared" si="1"/>
        <v>150289</v>
      </c>
    </row>
    <row r="1212">
      <c r="F1212" s="26">
        <f>IFERROR(__xludf.DUMMYFUNCTION("""COMPUTED_VALUE"""),121.0)</f>
        <v>121</v>
      </c>
      <c r="G1212" s="26">
        <f>IFERROR(__xludf.DUMMYFUNCTION("""COMPUTED_VALUE"""),1.677676348095E12)</f>
        <v>1677676348095</v>
      </c>
      <c r="H1212" s="26">
        <f t="shared" si="1"/>
        <v>150296</v>
      </c>
    </row>
    <row r="1213">
      <c r="F1213" s="26">
        <f>IFERROR(__xludf.DUMMYFUNCTION("""COMPUTED_VALUE"""),121.1)</f>
        <v>121.1</v>
      </c>
      <c r="G1213" s="26">
        <f>IFERROR(__xludf.DUMMYFUNCTION("""COMPUTED_VALUE"""),1.6776763481E12)</f>
        <v>1677676348100</v>
      </c>
      <c r="H1213" s="26">
        <f t="shared" si="1"/>
        <v>150301</v>
      </c>
    </row>
    <row r="1214">
      <c r="F1214" s="26">
        <f>IFERROR(__xludf.DUMMYFUNCTION("""COMPUTED_VALUE"""),121.2)</f>
        <v>121.2</v>
      </c>
      <c r="G1214" s="26">
        <f>IFERROR(__xludf.DUMMYFUNCTION("""COMPUTED_VALUE"""),1.677676348107E12)</f>
        <v>1677676348107</v>
      </c>
      <c r="H1214" s="26">
        <f t="shared" si="1"/>
        <v>150308</v>
      </c>
    </row>
    <row r="1215">
      <c r="F1215" s="26">
        <f>IFERROR(__xludf.DUMMYFUNCTION("""COMPUTED_VALUE"""),121.3)</f>
        <v>121.3</v>
      </c>
      <c r="G1215" s="26">
        <f>IFERROR(__xludf.DUMMYFUNCTION("""COMPUTED_VALUE"""),1.677676348113E12)</f>
        <v>1677676348113</v>
      </c>
      <c r="H1215" s="26">
        <f t="shared" si="1"/>
        <v>150314</v>
      </c>
    </row>
    <row r="1216">
      <c r="F1216" s="26">
        <f>IFERROR(__xludf.DUMMYFUNCTION("""COMPUTED_VALUE"""),121.4)</f>
        <v>121.4</v>
      </c>
      <c r="G1216" s="26">
        <f>IFERROR(__xludf.DUMMYFUNCTION("""COMPUTED_VALUE"""),1.67767634812E12)</f>
        <v>1677676348120</v>
      </c>
      <c r="H1216" s="26">
        <f t="shared" si="1"/>
        <v>150321</v>
      </c>
    </row>
    <row r="1217">
      <c r="F1217" s="26">
        <f>IFERROR(__xludf.DUMMYFUNCTION("""COMPUTED_VALUE"""),121.5)</f>
        <v>121.5</v>
      </c>
      <c r="G1217" s="26">
        <f>IFERROR(__xludf.DUMMYFUNCTION("""COMPUTED_VALUE"""),1.677676348131E12)</f>
        <v>1677676348131</v>
      </c>
      <c r="H1217" s="26">
        <f t="shared" si="1"/>
        <v>150332</v>
      </c>
    </row>
    <row r="1218">
      <c r="F1218" s="26">
        <f>IFERROR(__xludf.DUMMYFUNCTION("""COMPUTED_VALUE"""),121.6)</f>
        <v>121.6</v>
      </c>
      <c r="G1218" s="26">
        <f>IFERROR(__xludf.DUMMYFUNCTION("""COMPUTED_VALUE"""),1.677676348137E12)</f>
        <v>1677676348137</v>
      </c>
      <c r="H1218" s="26">
        <f t="shared" si="1"/>
        <v>150338</v>
      </c>
    </row>
    <row r="1219">
      <c r="F1219" s="26">
        <f>IFERROR(__xludf.DUMMYFUNCTION("""COMPUTED_VALUE"""),121.7)</f>
        <v>121.7</v>
      </c>
      <c r="G1219" s="26">
        <f>IFERROR(__xludf.DUMMYFUNCTION("""COMPUTED_VALUE"""),1.677676348141E12)</f>
        <v>1677676348141</v>
      </c>
      <c r="H1219" s="26">
        <f t="shared" si="1"/>
        <v>150342</v>
      </c>
    </row>
    <row r="1220">
      <c r="F1220" s="26">
        <f>IFERROR(__xludf.DUMMYFUNCTION("""COMPUTED_VALUE"""),121.8)</f>
        <v>121.8</v>
      </c>
      <c r="G1220" s="26">
        <f>IFERROR(__xludf.DUMMYFUNCTION("""COMPUTED_VALUE"""),1.677676348149E12)</f>
        <v>1677676348149</v>
      </c>
      <c r="H1220" s="26">
        <f t="shared" si="1"/>
        <v>150350</v>
      </c>
    </row>
    <row r="1221">
      <c r="F1221" s="26">
        <f>IFERROR(__xludf.DUMMYFUNCTION("""COMPUTED_VALUE"""),121.9)</f>
        <v>121.9</v>
      </c>
      <c r="G1221" s="26">
        <f>IFERROR(__xludf.DUMMYFUNCTION("""COMPUTED_VALUE"""),1.677676348154E12)</f>
        <v>1677676348154</v>
      </c>
      <c r="H1221" s="26">
        <f t="shared" si="1"/>
        <v>150355</v>
      </c>
    </row>
    <row r="1222">
      <c r="F1222" s="26">
        <f>IFERROR(__xludf.DUMMYFUNCTION("""COMPUTED_VALUE"""),122.0)</f>
        <v>122</v>
      </c>
      <c r="G1222" s="26">
        <f>IFERROR(__xludf.DUMMYFUNCTION("""COMPUTED_VALUE"""),1.67767634816E12)</f>
        <v>1677676348160</v>
      </c>
      <c r="H1222" s="26">
        <f t="shared" si="1"/>
        <v>150361</v>
      </c>
    </row>
    <row r="1223">
      <c r="F1223" s="26">
        <f>IFERROR(__xludf.DUMMYFUNCTION("""COMPUTED_VALUE"""),122.1)</f>
        <v>122.1</v>
      </c>
      <c r="G1223" s="26">
        <f>IFERROR(__xludf.DUMMYFUNCTION("""COMPUTED_VALUE"""),1.67767634817E12)</f>
        <v>1677676348170</v>
      </c>
      <c r="H1223" s="26">
        <f t="shared" si="1"/>
        <v>150371</v>
      </c>
    </row>
    <row r="1224">
      <c r="F1224" s="26">
        <f>IFERROR(__xludf.DUMMYFUNCTION("""COMPUTED_VALUE"""),122.2)</f>
        <v>122.2</v>
      </c>
      <c r="G1224" s="26">
        <f>IFERROR(__xludf.DUMMYFUNCTION("""COMPUTED_VALUE"""),1.677676348179E12)</f>
        <v>1677676348179</v>
      </c>
      <c r="H1224" s="26">
        <f t="shared" si="1"/>
        <v>150380</v>
      </c>
    </row>
    <row r="1225">
      <c r="F1225" s="26">
        <f>IFERROR(__xludf.DUMMYFUNCTION("""COMPUTED_VALUE"""),122.3)</f>
        <v>122.3</v>
      </c>
      <c r="G1225" s="26">
        <f>IFERROR(__xludf.DUMMYFUNCTION("""COMPUTED_VALUE"""),1.677676348184E12)</f>
        <v>1677676348184</v>
      </c>
      <c r="H1225" s="26">
        <f t="shared" si="1"/>
        <v>150385</v>
      </c>
    </row>
    <row r="1226">
      <c r="F1226" s="26">
        <f>IFERROR(__xludf.DUMMYFUNCTION("""COMPUTED_VALUE"""),122.4)</f>
        <v>122.4</v>
      </c>
      <c r="G1226" s="26">
        <f>IFERROR(__xludf.DUMMYFUNCTION("""COMPUTED_VALUE"""),1.677676348189E12)</f>
        <v>1677676348189</v>
      </c>
      <c r="H1226" s="26">
        <f t="shared" si="1"/>
        <v>150390</v>
      </c>
    </row>
    <row r="1227">
      <c r="F1227" s="26">
        <f>IFERROR(__xludf.DUMMYFUNCTION("""COMPUTED_VALUE"""),122.5)</f>
        <v>122.5</v>
      </c>
      <c r="G1227" s="26">
        <f>IFERROR(__xludf.DUMMYFUNCTION("""COMPUTED_VALUE"""),1.677676348198E12)</f>
        <v>1677676348198</v>
      </c>
      <c r="H1227" s="26">
        <f t="shared" si="1"/>
        <v>150399</v>
      </c>
    </row>
    <row r="1228">
      <c r="F1228" s="26">
        <f>IFERROR(__xludf.DUMMYFUNCTION("""COMPUTED_VALUE"""),122.6)</f>
        <v>122.6</v>
      </c>
      <c r="G1228" s="26">
        <f>IFERROR(__xludf.DUMMYFUNCTION("""COMPUTED_VALUE"""),1.677676348209E12)</f>
        <v>1677676348209</v>
      </c>
      <c r="H1228" s="26">
        <f t="shared" si="1"/>
        <v>150410</v>
      </c>
    </row>
    <row r="1229">
      <c r="F1229" s="26">
        <f>IFERROR(__xludf.DUMMYFUNCTION("""COMPUTED_VALUE"""),122.7)</f>
        <v>122.7</v>
      </c>
      <c r="G1229" s="26">
        <f>IFERROR(__xludf.DUMMYFUNCTION("""COMPUTED_VALUE"""),1.677676348214E12)</f>
        <v>1677676348214</v>
      </c>
      <c r="H1229" s="26">
        <f t="shared" si="1"/>
        <v>150415</v>
      </c>
    </row>
    <row r="1230">
      <c r="F1230" s="26">
        <f>IFERROR(__xludf.DUMMYFUNCTION("""COMPUTED_VALUE"""),122.8)</f>
        <v>122.8</v>
      </c>
      <c r="G1230" s="26">
        <f>IFERROR(__xludf.DUMMYFUNCTION("""COMPUTED_VALUE"""),1.677676348219E12)</f>
        <v>1677676348219</v>
      </c>
      <c r="H1230" s="26">
        <f t="shared" si="1"/>
        <v>150420</v>
      </c>
    </row>
    <row r="1231">
      <c r="F1231" s="26">
        <f>IFERROR(__xludf.DUMMYFUNCTION("""COMPUTED_VALUE"""),122.9)</f>
        <v>122.9</v>
      </c>
      <c r="G1231" s="26">
        <f>IFERROR(__xludf.DUMMYFUNCTION("""COMPUTED_VALUE"""),1.677676348223E12)</f>
        <v>1677676348223</v>
      </c>
      <c r="H1231" s="26">
        <f t="shared" si="1"/>
        <v>150424</v>
      </c>
    </row>
    <row r="1232">
      <c r="F1232" s="26">
        <f>IFERROR(__xludf.DUMMYFUNCTION("""COMPUTED_VALUE"""),123.0)</f>
        <v>123</v>
      </c>
      <c r="G1232" s="26">
        <f>IFERROR(__xludf.DUMMYFUNCTION("""COMPUTED_VALUE"""),1.677676348231E12)</f>
        <v>1677676348231</v>
      </c>
      <c r="H1232" s="26">
        <f t="shared" si="1"/>
        <v>150432</v>
      </c>
    </row>
    <row r="1233">
      <c r="F1233" s="26">
        <f>IFERROR(__xludf.DUMMYFUNCTION("""COMPUTED_VALUE"""),123.1)</f>
        <v>123.1</v>
      </c>
      <c r="G1233" s="26">
        <f>IFERROR(__xludf.DUMMYFUNCTION("""COMPUTED_VALUE"""),1.677676348238E12)</f>
        <v>1677676348238</v>
      </c>
      <c r="H1233" s="26">
        <f t="shared" si="1"/>
        <v>150439</v>
      </c>
    </row>
    <row r="1234">
      <c r="F1234" s="26">
        <f>IFERROR(__xludf.DUMMYFUNCTION("""COMPUTED_VALUE"""),123.2)</f>
        <v>123.2</v>
      </c>
      <c r="G1234" s="26">
        <f>IFERROR(__xludf.DUMMYFUNCTION("""COMPUTED_VALUE"""),1.677676348244E12)</f>
        <v>1677676348244</v>
      </c>
      <c r="H1234" s="26">
        <f t="shared" si="1"/>
        <v>150445</v>
      </c>
    </row>
    <row r="1235">
      <c r="F1235" s="26">
        <f>IFERROR(__xludf.DUMMYFUNCTION("""COMPUTED_VALUE"""),123.3)</f>
        <v>123.3</v>
      </c>
      <c r="G1235" s="26">
        <f>IFERROR(__xludf.DUMMYFUNCTION("""COMPUTED_VALUE"""),1.67767634825E12)</f>
        <v>1677676348250</v>
      </c>
      <c r="H1235" s="26">
        <f t="shared" si="1"/>
        <v>150451</v>
      </c>
    </row>
    <row r="1236">
      <c r="F1236" s="26">
        <f>IFERROR(__xludf.DUMMYFUNCTION("""COMPUTED_VALUE"""),123.4)</f>
        <v>123.4</v>
      </c>
      <c r="G1236" s="26">
        <f>IFERROR(__xludf.DUMMYFUNCTION("""COMPUTED_VALUE"""),1.677676348257E12)</f>
        <v>1677676348257</v>
      </c>
      <c r="H1236" s="26">
        <f t="shared" si="1"/>
        <v>150458</v>
      </c>
    </row>
    <row r="1237">
      <c r="F1237" s="26">
        <f>IFERROR(__xludf.DUMMYFUNCTION("""COMPUTED_VALUE"""),123.5)</f>
        <v>123.5</v>
      </c>
      <c r="G1237" s="26">
        <f>IFERROR(__xludf.DUMMYFUNCTION("""COMPUTED_VALUE"""),1.677676348262E12)</f>
        <v>1677676348262</v>
      </c>
      <c r="H1237" s="26">
        <f t="shared" si="1"/>
        <v>150463</v>
      </c>
    </row>
    <row r="1238">
      <c r="F1238" s="26">
        <f>IFERROR(__xludf.DUMMYFUNCTION("""COMPUTED_VALUE"""),123.6)</f>
        <v>123.6</v>
      </c>
      <c r="G1238" s="26">
        <f>IFERROR(__xludf.DUMMYFUNCTION("""COMPUTED_VALUE"""),1.677676348268E12)</f>
        <v>1677676348268</v>
      </c>
      <c r="H1238" s="26">
        <f t="shared" si="1"/>
        <v>150469</v>
      </c>
    </row>
    <row r="1239">
      <c r="F1239" s="26">
        <f>IFERROR(__xludf.DUMMYFUNCTION("""COMPUTED_VALUE"""),123.7)</f>
        <v>123.7</v>
      </c>
      <c r="G1239" s="26">
        <f>IFERROR(__xludf.DUMMYFUNCTION("""COMPUTED_VALUE"""),1.677676348275E12)</f>
        <v>1677676348275</v>
      </c>
      <c r="H1239" s="26">
        <f t="shared" si="1"/>
        <v>150476</v>
      </c>
    </row>
    <row r="1240">
      <c r="F1240" s="26">
        <f>IFERROR(__xludf.DUMMYFUNCTION("""COMPUTED_VALUE"""),123.8)</f>
        <v>123.8</v>
      </c>
      <c r="G1240" s="26">
        <f>IFERROR(__xludf.DUMMYFUNCTION("""COMPUTED_VALUE"""),1.67767634828E12)</f>
        <v>1677676348280</v>
      </c>
      <c r="H1240" s="26">
        <f t="shared" si="1"/>
        <v>150481</v>
      </c>
    </row>
    <row r="1241">
      <c r="F1241" s="26">
        <f>IFERROR(__xludf.DUMMYFUNCTION("""COMPUTED_VALUE"""),123.9)</f>
        <v>123.9</v>
      </c>
      <c r="G1241" s="26">
        <f>IFERROR(__xludf.DUMMYFUNCTION("""COMPUTED_VALUE"""),1.677676348288E12)</f>
        <v>1677676348288</v>
      </c>
      <c r="H1241" s="26">
        <f t="shared" si="1"/>
        <v>150489</v>
      </c>
    </row>
    <row r="1242">
      <c r="F1242" s="26">
        <f>IFERROR(__xludf.DUMMYFUNCTION("""COMPUTED_VALUE"""),124.0)</f>
        <v>124</v>
      </c>
      <c r="G1242" s="26">
        <f>IFERROR(__xludf.DUMMYFUNCTION("""COMPUTED_VALUE"""),1.677676348294E12)</f>
        <v>1677676348294</v>
      </c>
      <c r="H1242" s="26">
        <f t="shared" si="1"/>
        <v>150495</v>
      </c>
    </row>
    <row r="1243">
      <c r="F1243" s="26">
        <f>IFERROR(__xludf.DUMMYFUNCTION("""COMPUTED_VALUE"""),124.1)</f>
        <v>124.1</v>
      </c>
      <c r="G1243" s="26">
        <f>IFERROR(__xludf.DUMMYFUNCTION("""COMPUTED_VALUE"""),1.6776763483E12)</f>
        <v>1677676348300</v>
      </c>
      <c r="H1243" s="26">
        <f t="shared" si="1"/>
        <v>150501</v>
      </c>
    </row>
    <row r="1244">
      <c r="F1244" s="26">
        <f>IFERROR(__xludf.DUMMYFUNCTION("""COMPUTED_VALUE"""),124.2)</f>
        <v>124.2</v>
      </c>
      <c r="G1244" s="26">
        <f>IFERROR(__xludf.DUMMYFUNCTION("""COMPUTED_VALUE"""),1.677676348308E12)</f>
        <v>1677676348308</v>
      </c>
      <c r="H1244" s="26">
        <f t="shared" si="1"/>
        <v>150509</v>
      </c>
    </row>
    <row r="1245">
      <c r="F1245" s="26">
        <f>IFERROR(__xludf.DUMMYFUNCTION("""COMPUTED_VALUE"""),124.3)</f>
        <v>124.3</v>
      </c>
      <c r="G1245" s="26">
        <f>IFERROR(__xludf.DUMMYFUNCTION("""COMPUTED_VALUE"""),1.677676348313E12)</f>
        <v>1677676348313</v>
      </c>
      <c r="H1245" s="26">
        <f t="shared" si="1"/>
        <v>150514</v>
      </c>
    </row>
    <row r="1246">
      <c r="F1246" s="26">
        <f>IFERROR(__xludf.DUMMYFUNCTION("""COMPUTED_VALUE"""),124.4)</f>
        <v>124.4</v>
      </c>
      <c r="G1246" s="26">
        <f>IFERROR(__xludf.DUMMYFUNCTION("""COMPUTED_VALUE"""),1.677676348319E12)</f>
        <v>1677676348319</v>
      </c>
      <c r="H1246" s="26">
        <f t="shared" si="1"/>
        <v>150520</v>
      </c>
    </row>
    <row r="1247">
      <c r="F1247" s="26">
        <f>IFERROR(__xludf.DUMMYFUNCTION("""COMPUTED_VALUE"""),124.5)</f>
        <v>124.5</v>
      </c>
      <c r="G1247" s="26">
        <f>IFERROR(__xludf.DUMMYFUNCTION("""COMPUTED_VALUE"""),1.677676348324E12)</f>
        <v>1677676348324</v>
      </c>
      <c r="H1247" s="26">
        <f t="shared" si="1"/>
        <v>150525</v>
      </c>
    </row>
    <row r="1248">
      <c r="F1248" s="26">
        <f>IFERROR(__xludf.DUMMYFUNCTION("""COMPUTED_VALUE"""),124.6)</f>
        <v>124.6</v>
      </c>
      <c r="G1248" s="26">
        <f>IFERROR(__xludf.DUMMYFUNCTION("""COMPUTED_VALUE"""),1.677676348331E12)</f>
        <v>1677676348331</v>
      </c>
      <c r="H1248" s="26">
        <f t="shared" si="1"/>
        <v>150532</v>
      </c>
    </row>
    <row r="1249">
      <c r="F1249" s="26">
        <f>IFERROR(__xludf.DUMMYFUNCTION("""COMPUTED_VALUE"""),124.7)</f>
        <v>124.7</v>
      </c>
      <c r="G1249" s="26">
        <f>IFERROR(__xludf.DUMMYFUNCTION("""COMPUTED_VALUE"""),1.677676348338E12)</f>
        <v>1677676348338</v>
      </c>
      <c r="H1249" s="26">
        <f t="shared" si="1"/>
        <v>150539</v>
      </c>
    </row>
    <row r="1250">
      <c r="F1250" s="26">
        <f>IFERROR(__xludf.DUMMYFUNCTION("""COMPUTED_VALUE"""),124.8)</f>
        <v>124.8</v>
      </c>
      <c r="G1250" s="26">
        <f>IFERROR(__xludf.DUMMYFUNCTION("""COMPUTED_VALUE"""),1.677676348345E12)</f>
        <v>1677676348345</v>
      </c>
      <c r="H1250" s="26">
        <f t="shared" si="1"/>
        <v>150546</v>
      </c>
    </row>
    <row r="1251">
      <c r="F1251" s="26">
        <f>IFERROR(__xludf.DUMMYFUNCTION("""COMPUTED_VALUE"""),124.9)</f>
        <v>124.9</v>
      </c>
      <c r="G1251" s="26">
        <f>IFERROR(__xludf.DUMMYFUNCTION("""COMPUTED_VALUE"""),1.67767634835E12)</f>
        <v>1677676348350</v>
      </c>
      <c r="H1251" s="26">
        <f t="shared" si="1"/>
        <v>150551</v>
      </c>
    </row>
    <row r="1252">
      <c r="F1252" s="26">
        <f>IFERROR(__xludf.DUMMYFUNCTION("""COMPUTED_VALUE"""),125.0)</f>
        <v>125</v>
      </c>
      <c r="G1252" s="26">
        <f>IFERROR(__xludf.DUMMYFUNCTION("""COMPUTED_VALUE"""),1.677676348355E12)</f>
        <v>1677676348355</v>
      </c>
      <c r="H1252" s="26">
        <f t="shared" si="1"/>
        <v>150556</v>
      </c>
    </row>
    <row r="1253">
      <c r="F1253" s="26">
        <f>IFERROR(__xludf.DUMMYFUNCTION("""COMPUTED_VALUE"""),125.1)</f>
        <v>125.1</v>
      </c>
      <c r="G1253" s="26">
        <f>IFERROR(__xludf.DUMMYFUNCTION("""COMPUTED_VALUE"""),1.677676348361E12)</f>
        <v>1677676348361</v>
      </c>
      <c r="H1253" s="26">
        <f t="shared" si="1"/>
        <v>150562</v>
      </c>
    </row>
    <row r="1254">
      <c r="F1254" s="26">
        <f>IFERROR(__xludf.DUMMYFUNCTION("""COMPUTED_VALUE"""),125.2)</f>
        <v>125.2</v>
      </c>
      <c r="G1254" s="26">
        <f>IFERROR(__xludf.DUMMYFUNCTION("""COMPUTED_VALUE"""),1.677676348368E12)</f>
        <v>1677676348368</v>
      </c>
      <c r="H1254" s="26">
        <f t="shared" si="1"/>
        <v>150569</v>
      </c>
    </row>
    <row r="1255">
      <c r="F1255" s="26">
        <f>IFERROR(__xludf.DUMMYFUNCTION("""COMPUTED_VALUE"""),125.3)</f>
        <v>125.3</v>
      </c>
      <c r="G1255" s="26">
        <f>IFERROR(__xludf.DUMMYFUNCTION("""COMPUTED_VALUE"""),1.677676348372E12)</f>
        <v>1677676348372</v>
      </c>
      <c r="H1255" s="26">
        <f t="shared" si="1"/>
        <v>150573</v>
      </c>
    </row>
    <row r="1256">
      <c r="F1256" s="26">
        <f>IFERROR(__xludf.DUMMYFUNCTION("""COMPUTED_VALUE"""),125.4)</f>
        <v>125.4</v>
      </c>
      <c r="G1256" s="26">
        <f>IFERROR(__xludf.DUMMYFUNCTION("""COMPUTED_VALUE"""),1.677676348379E12)</f>
        <v>1677676348379</v>
      </c>
      <c r="H1256" s="26">
        <f t="shared" si="1"/>
        <v>150580</v>
      </c>
    </row>
    <row r="1257">
      <c r="F1257" s="26">
        <f>IFERROR(__xludf.DUMMYFUNCTION("""COMPUTED_VALUE"""),125.5)</f>
        <v>125.5</v>
      </c>
      <c r="G1257" s="26">
        <f>IFERROR(__xludf.DUMMYFUNCTION("""COMPUTED_VALUE"""),1.677676348386E12)</f>
        <v>1677676348386</v>
      </c>
      <c r="H1257" s="26">
        <f t="shared" si="1"/>
        <v>150587</v>
      </c>
    </row>
    <row r="1258">
      <c r="F1258" s="26">
        <f>IFERROR(__xludf.DUMMYFUNCTION("""COMPUTED_VALUE"""),125.6)</f>
        <v>125.6</v>
      </c>
      <c r="G1258" s="26">
        <f>IFERROR(__xludf.DUMMYFUNCTION("""COMPUTED_VALUE"""),1.677676348391E12)</f>
        <v>1677676348391</v>
      </c>
      <c r="H1258" s="26">
        <f t="shared" si="1"/>
        <v>150592</v>
      </c>
    </row>
    <row r="1259">
      <c r="F1259" s="26">
        <f>IFERROR(__xludf.DUMMYFUNCTION("""COMPUTED_VALUE"""),125.7)</f>
        <v>125.7</v>
      </c>
      <c r="G1259" s="26">
        <f>IFERROR(__xludf.DUMMYFUNCTION("""COMPUTED_VALUE"""),1.677676348398E12)</f>
        <v>1677676348398</v>
      </c>
      <c r="H1259" s="26">
        <f t="shared" si="1"/>
        <v>150599</v>
      </c>
    </row>
    <row r="1260">
      <c r="F1260" s="26">
        <f>IFERROR(__xludf.DUMMYFUNCTION("""COMPUTED_VALUE"""),125.8)</f>
        <v>125.8</v>
      </c>
      <c r="G1260" s="26">
        <f>IFERROR(__xludf.DUMMYFUNCTION("""COMPUTED_VALUE"""),1.677676348403E12)</f>
        <v>1677676348403</v>
      </c>
      <c r="H1260" s="26">
        <f t="shared" si="1"/>
        <v>150604</v>
      </c>
    </row>
    <row r="1261">
      <c r="F1261" s="26">
        <f>IFERROR(__xludf.DUMMYFUNCTION("""COMPUTED_VALUE"""),125.9)</f>
        <v>125.9</v>
      </c>
      <c r="G1261" s="26">
        <f>IFERROR(__xludf.DUMMYFUNCTION("""COMPUTED_VALUE"""),1.67767634841E12)</f>
        <v>1677676348410</v>
      </c>
      <c r="H1261" s="26">
        <f t="shared" si="1"/>
        <v>150611</v>
      </c>
    </row>
    <row r="1262">
      <c r="F1262" s="26">
        <f>IFERROR(__xludf.DUMMYFUNCTION("""COMPUTED_VALUE"""),126.0)</f>
        <v>126</v>
      </c>
      <c r="G1262" s="26">
        <f>IFERROR(__xludf.DUMMYFUNCTION("""COMPUTED_VALUE"""),1.677676348415E12)</f>
        <v>1677676348415</v>
      </c>
      <c r="H1262" s="26">
        <f t="shared" si="1"/>
        <v>150616</v>
      </c>
    </row>
    <row r="1263">
      <c r="F1263" s="26">
        <f>IFERROR(__xludf.DUMMYFUNCTION("""COMPUTED_VALUE"""),126.1)</f>
        <v>126.1</v>
      </c>
      <c r="G1263" s="26">
        <f>IFERROR(__xludf.DUMMYFUNCTION("""COMPUTED_VALUE"""),1.677676348421E12)</f>
        <v>1677676348421</v>
      </c>
      <c r="H1263" s="26">
        <f t="shared" si="1"/>
        <v>150622</v>
      </c>
    </row>
    <row r="1264">
      <c r="F1264" s="26">
        <f>IFERROR(__xludf.DUMMYFUNCTION("""COMPUTED_VALUE"""),126.2)</f>
        <v>126.2</v>
      </c>
      <c r="G1264" s="26">
        <f>IFERROR(__xludf.DUMMYFUNCTION("""COMPUTED_VALUE"""),1.677676348429E12)</f>
        <v>1677676348429</v>
      </c>
      <c r="H1264" s="26">
        <f t="shared" si="1"/>
        <v>150630</v>
      </c>
    </row>
    <row r="1265">
      <c r="F1265" s="26">
        <f>IFERROR(__xludf.DUMMYFUNCTION("""COMPUTED_VALUE"""),126.3)</f>
        <v>126.3</v>
      </c>
      <c r="G1265" s="26">
        <f>IFERROR(__xludf.DUMMYFUNCTION("""COMPUTED_VALUE"""),1.677676348434E12)</f>
        <v>1677676348434</v>
      </c>
      <c r="H1265" s="26">
        <f t="shared" si="1"/>
        <v>150635</v>
      </c>
    </row>
    <row r="1266">
      <c r="F1266" s="26">
        <f>IFERROR(__xludf.DUMMYFUNCTION("""COMPUTED_VALUE"""),126.4)</f>
        <v>126.4</v>
      </c>
      <c r="G1266" s="26">
        <f>IFERROR(__xludf.DUMMYFUNCTION("""COMPUTED_VALUE"""),1.67767634844E12)</f>
        <v>1677676348440</v>
      </c>
      <c r="H1266" s="26">
        <f t="shared" si="1"/>
        <v>150641</v>
      </c>
    </row>
    <row r="1267">
      <c r="F1267" s="26">
        <f>IFERROR(__xludf.DUMMYFUNCTION("""COMPUTED_VALUE"""),126.5)</f>
        <v>126.5</v>
      </c>
      <c r="G1267" s="26">
        <f>IFERROR(__xludf.DUMMYFUNCTION("""COMPUTED_VALUE"""),1.677676348448E12)</f>
        <v>1677676348448</v>
      </c>
      <c r="H1267" s="26">
        <f t="shared" si="1"/>
        <v>150649</v>
      </c>
    </row>
    <row r="1268">
      <c r="F1268" s="26">
        <f>IFERROR(__xludf.DUMMYFUNCTION("""COMPUTED_VALUE"""),126.6)</f>
        <v>126.6</v>
      </c>
      <c r="G1268" s="26">
        <f>IFERROR(__xludf.DUMMYFUNCTION("""COMPUTED_VALUE"""),1.67767634846E12)</f>
        <v>1677676348460</v>
      </c>
      <c r="H1268" s="26">
        <f t="shared" si="1"/>
        <v>150661</v>
      </c>
    </row>
    <row r="1269">
      <c r="F1269" s="26">
        <f>IFERROR(__xludf.DUMMYFUNCTION("""COMPUTED_VALUE"""),126.7)</f>
        <v>126.7</v>
      </c>
      <c r="G1269" s="26">
        <f>IFERROR(__xludf.DUMMYFUNCTION("""COMPUTED_VALUE"""),1.67767634847E12)</f>
        <v>1677676348470</v>
      </c>
      <c r="H1269" s="26">
        <f t="shared" si="1"/>
        <v>150671</v>
      </c>
    </row>
    <row r="1270">
      <c r="F1270" s="26">
        <f>IFERROR(__xludf.DUMMYFUNCTION("""COMPUTED_VALUE"""),126.8)</f>
        <v>126.8</v>
      </c>
      <c r="G1270" s="26">
        <f>IFERROR(__xludf.DUMMYFUNCTION("""COMPUTED_VALUE"""),1.677676348476E12)</f>
        <v>1677676348476</v>
      </c>
      <c r="H1270" s="26">
        <f t="shared" si="1"/>
        <v>150677</v>
      </c>
    </row>
    <row r="1271">
      <c r="F1271" s="26">
        <f>IFERROR(__xludf.DUMMYFUNCTION("""COMPUTED_VALUE"""),126.9)</f>
        <v>126.9</v>
      </c>
      <c r="G1271" s="26">
        <f>IFERROR(__xludf.DUMMYFUNCTION("""COMPUTED_VALUE"""),1.677676348483E12)</f>
        <v>1677676348483</v>
      </c>
      <c r="H1271" s="26">
        <f t="shared" si="1"/>
        <v>150684</v>
      </c>
    </row>
    <row r="1272">
      <c r="F1272" s="26">
        <f>IFERROR(__xludf.DUMMYFUNCTION("""COMPUTED_VALUE"""),127.0)</f>
        <v>127</v>
      </c>
      <c r="G1272" s="26">
        <f>IFERROR(__xludf.DUMMYFUNCTION("""COMPUTED_VALUE"""),1.67767634849E12)</f>
        <v>1677676348490</v>
      </c>
      <c r="H1272" s="26">
        <f t="shared" si="1"/>
        <v>150691</v>
      </c>
    </row>
    <row r="1273">
      <c r="F1273" s="26">
        <f>IFERROR(__xludf.DUMMYFUNCTION("""COMPUTED_VALUE"""),127.1)</f>
        <v>127.1</v>
      </c>
      <c r="G1273" s="26">
        <f>IFERROR(__xludf.DUMMYFUNCTION("""COMPUTED_VALUE"""),1.677676348493E12)</f>
        <v>1677676348493</v>
      </c>
      <c r="H1273" s="26">
        <f t="shared" si="1"/>
        <v>150694</v>
      </c>
    </row>
    <row r="1274">
      <c r="F1274" s="26">
        <f>IFERROR(__xludf.DUMMYFUNCTION("""COMPUTED_VALUE"""),127.2)</f>
        <v>127.2</v>
      </c>
      <c r="G1274" s="26">
        <f>IFERROR(__xludf.DUMMYFUNCTION("""COMPUTED_VALUE"""),1.6776763485E12)</f>
        <v>1677676348500</v>
      </c>
      <c r="H1274" s="26">
        <f t="shared" si="1"/>
        <v>150701</v>
      </c>
    </row>
    <row r="1275">
      <c r="F1275" s="26">
        <f>IFERROR(__xludf.DUMMYFUNCTION("""COMPUTED_VALUE"""),127.3)</f>
        <v>127.3</v>
      </c>
      <c r="G1275" s="26">
        <f>IFERROR(__xludf.DUMMYFUNCTION("""COMPUTED_VALUE"""),1.677676348507E12)</f>
        <v>1677676348507</v>
      </c>
      <c r="H1275" s="26">
        <f t="shared" si="1"/>
        <v>150708</v>
      </c>
    </row>
    <row r="1276">
      <c r="F1276" s="26">
        <f>IFERROR(__xludf.DUMMYFUNCTION("""COMPUTED_VALUE"""),127.4)</f>
        <v>127.4</v>
      </c>
      <c r="G1276" s="26">
        <f>IFERROR(__xludf.DUMMYFUNCTION("""COMPUTED_VALUE"""),1.677676348512E12)</f>
        <v>1677676348512</v>
      </c>
      <c r="H1276" s="26">
        <f t="shared" si="1"/>
        <v>150713</v>
      </c>
    </row>
    <row r="1277">
      <c r="F1277" s="26">
        <f>IFERROR(__xludf.DUMMYFUNCTION("""COMPUTED_VALUE"""),127.5)</f>
        <v>127.5</v>
      </c>
      <c r="G1277" s="26">
        <f>IFERROR(__xludf.DUMMYFUNCTION("""COMPUTED_VALUE"""),1.677676348518E12)</f>
        <v>1677676348518</v>
      </c>
      <c r="H1277" s="26">
        <f t="shared" si="1"/>
        <v>150719</v>
      </c>
    </row>
    <row r="1278">
      <c r="F1278" s="26">
        <f>IFERROR(__xludf.DUMMYFUNCTION("""COMPUTED_VALUE"""),127.6)</f>
        <v>127.6</v>
      </c>
      <c r="G1278" s="26">
        <f>IFERROR(__xludf.DUMMYFUNCTION("""COMPUTED_VALUE"""),1.677676348523E12)</f>
        <v>1677676348523</v>
      </c>
      <c r="H1278" s="26">
        <f t="shared" si="1"/>
        <v>150724</v>
      </c>
    </row>
    <row r="1279">
      <c r="F1279" s="26">
        <f>IFERROR(__xludf.DUMMYFUNCTION("""COMPUTED_VALUE"""),127.7)</f>
        <v>127.7</v>
      </c>
      <c r="G1279" s="26">
        <f>IFERROR(__xludf.DUMMYFUNCTION("""COMPUTED_VALUE"""),1.67767634853E12)</f>
        <v>1677676348530</v>
      </c>
      <c r="H1279" s="26">
        <f t="shared" si="1"/>
        <v>150731</v>
      </c>
    </row>
    <row r="1280">
      <c r="F1280" s="26">
        <f>IFERROR(__xludf.DUMMYFUNCTION("""COMPUTED_VALUE"""),127.8)</f>
        <v>127.8</v>
      </c>
      <c r="G1280" s="26">
        <f>IFERROR(__xludf.DUMMYFUNCTION("""COMPUTED_VALUE"""),1.677676348537E12)</f>
        <v>1677676348537</v>
      </c>
      <c r="H1280" s="26">
        <f t="shared" si="1"/>
        <v>150738</v>
      </c>
    </row>
    <row r="1281">
      <c r="F1281" s="26">
        <f>IFERROR(__xludf.DUMMYFUNCTION("""COMPUTED_VALUE"""),127.9)</f>
        <v>127.9</v>
      </c>
      <c r="G1281" s="26">
        <f>IFERROR(__xludf.DUMMYFUNCTION("""COMPUTED_VALUE"""),1.677676348542E12)</f>
        <v>1677676348542</v>
      </c>
      <c r="H1281" s="26">
        <f t="shared" si="1"/>
        <v>150743</v>
      </c>
    </row>
    <row r="1282">
      <c r="F1282" s="26">
        <f>IFERROR(__xludf.DUMMYFUNCTION("""COMPUTED_VALUE"""),128.0)</f>
        <v>128</v>
      </c>
      <c r="G1282" s="26">
        <f>IFERROR(__xludf.DUMMYFUNCTION("""COMPUTED_VALUE"""),1.677676348549E12)</f>
        <v>1677676348549</v>
      </c>
      <c r="H1282" s="26">
        <f t="shared" si="1"/>
        <v>150750</v>
      </c>
    </row>
    <row r="1283">
      <c r="F1283" s="26">
        <f>IFERROR(__xludf.DUMMYFUNCTION("""COMPUTED_VALUE"""),128.1)</f>
        <v>128.1</v>
      </c>
      <c r="G1283" s="26">
        <f>IFERROR(__xludf.DUMMYFUNCTION("""COMPUTED_VALUE"""),1.677676348555E12)</f>
        <v>1677676348555</v>
      </c>
      <c r="H1283" s="26">
        <f t="shared" si="1"/>
        <v>150756</v>
      </c>
    </row>
    <row r="1284">
      <c r="F1284" s="26">
        <f>IFERROR(__xludf.DUMMYFUNCTION("""COMPUTED_VALUE"""),128.2)</f>
        <v>128.2</v>
      </c>
      <c r="G1284" s="26">
        <f>IFERROR(__xludf.DUMMYFUNCTION("""COMPUTED_VALUE"""),1.677676348559E12)</f>
        <v>1677676348559</v>
      </c>
      <c r="H1284" s="26">
        <f t="shared" si="1"/>
        <v>150760</v>
      </c>
    </row>
    <row r="1285">
      <c r="F1285" s="26">
        <f>IFERROR(__xludf.DUMMYFUNCTION("""COMPUTED_VALUE"""),128.3)</f>
        <v>128.3</v>
      </c>
      <c r="G1285" s="26">
        <f>IFERROR(__xludf.DUMMYFUNCTION("""COMPUTED_VALUE"""),1.677676348564E12)</f>
        <v>1677676348564</v>
      </c>
      <c r="H1285" s="26">
        <f t="shared" si="1"/>
        <v>150765</v>
      </c>
    </row>
    <row r="1286">
      <c r="F1286" s="26">
        <f>IFERROR(__xludf.DUMMYFUNCTION("""COMPUTED_VALUE"""),128.4)</f>
        <v>128.4</v>
      </c>
      <c r="G1286" s="26">
        <f>IFERROR(__xludf.DUMMYFUNCTION("""COMPUTED_VALUE"""),1.677676348569E12)</f>
        <v>1677676348569</v>
      </c>
      <c r="H1286" s="26">
        <f t="shared" si="1"/>
        <v>150770</v>
      </c>
    </row>
    <row r="1287">
      <c r="F1287" s="26">
        <f>IFERROR(__xludf.DUMMYFUNCTION("""COMPUTED_VALUE"""),128.5)</f>
        <v>128.5</v>
      </c>
      <c r="G1287" s="26">
        <f>IFERROR(__xludf.DUMMYFUNCTION("""COMPUTED_VALUE"""),1.677676348577E12)</f>
        <v>1677676348577</v>
      </c>
      <c r="H1287" s="26">
        <f t="shared" si="1"/>
        <v>150778</v>
      </c>
    </row>
    <row r="1288">
      <c r="F1288" s="26">
        <f>IFERROR(__xludf.DUMMYFUNCTION("""COMPUTED_VALUE"""),128.6)</f>
        <v>128.6</v>
      </c>
      <c r="G1288" s="26">
        <f>IFERROR(__xludf.DUMMYFUNCTION("""COMPUTED_VALUE"""),1.677676348583E12)</f>
        <v>1677676348583</v>
      </c>
      <c r="H1288" s="26">
        <f t="shared" si="1"/>
        <v>150784</v>
      </c>
    </row>
    <row r="1289">
      <c r="F1289" s="26">
        <f>IFERROR(__xludf.DUMMYFUNCTION("""COMPUTED_VALUE"""),128.7)</f>
        <v>128.7</v>
      </c>
      <c r="G1289" s="26">
        <f>IFERROR(__xludf.DUMMYFUNCTION("""COMPUTED_VALUE"""),1.677676348591E12)</f>
        <v>1677676348591</v>
      </c>
      <c r="H1289" s="26">
        <f t="shared" si="1"/>
        <v>150792</v>
      </c>
    </row>
    <row r="1290">
      <c r="F1290" s="26">
        <f>IFERROR(__xludf.DUMMYFUNCTION("""COMPUTED_VALUE"""),128.8)</f>
        <v>128.8</v>
      </c>
      <c r="G1290" s="26">
        <f>IFERROR(__xludf.DUMMYFUNCTION("""COMPUTED_VALUE"""),1.677676348596E12)</f>
        <v>1677676348596</v>
      </c>
      <c r="H1290" s="26">
        <f t="shared" si="1"/>
        <v>150797</v>
      </c>
    </row>
    <row r="1291">
      <c r="F1291" s="26">
        <f>IFERROR(__xludf.DUMMYFUNCTION("""COMPUTED_VALUE"""),128.9)</f>
        <v>128.9</v>
      </c>
      <c r="G1291" s="26">
        <f>IFERROR(__xludf.DUMMYFUNCTION("""COMPUTED_VALUE"""),1.6776763486E12)</f>
        <v>1677676348600</v>
      </c>
      <c r="H1291" s="26">
        <f t="shared" si="1"/>
        <v>150801</v>
      </c>
    </row>
    <row r="1292">
      <c r="F1292" s="26">
        <f>IFERROR(__xludf.DUMMYFUNCTION("""COMPUTED_VALUE"""),129.0)</f>
        <v>129</v>
      </c>
      <c r="G1292" s="26">
        <f>IFERROR(__xludf.DUMMYFUNCTION("""COMPUTED_VALUE"""),1.677676348609E12)</f>
        <v>1677676348609</v>
      </c>
      <c r="H1292" s="26">
        <f t="shared" si="1"/>
        <v>150810</v>
      </c>
    </row>
    <row r="1293">
      <c r="F1293" s="26">
        <f>IFERROR(__xludf.DUMMYFUNCTION("""COMPUTED_VALUE"""),129.1)</f>
        <v>129.1</v>
      </c>
      <c r="G1293" s="26">
        <f>IFERROR(__xludf.DUMMYFUNCTION("""COMPUTED_VALUE"""),1.677676348614E12)</f>
        <v>1677676348614</v>
      </c>
      <c r="H1293" s="26">
        <f t="shared" si="1"/>
        <v>150815</v>
      </c>
    </row>
    <row r="1294">
      <c r="F1294" s="26">
        <f>IFERROR(__xludf.DUMMYFUNCTION("""COMPUTED_VALUE"""),129.2)</f>
        <v>129.2</v>
      </c>
      <c r="G1294" s="26">
        <f>IFERROR(__xludf.DUMMYFUNCTION("""COMPUTED_VALUE"""),1.677676348621E12)</f>
        <v>1677676348621</v>
      </c>
      <c r="H1294" s="26">
        <f t="shared" si="1"/>
        <v>150822</v>
      </c>
    </row>
    <row r="1295">
      <c r="F1295" s="26">
        <f>IFERROR(__xludf.DUMMYFUNCTION("""COMPUTED_VALUE"""),129.3)</f>
        <v>129.3</v>
      </c>
      <c r="G1295" s="26">
        <f>IFERROR(__xludf.DUMMYFUNCTION("""COMPUTED_VALUE"""),1.677676348629E12)</f>
        <v>1677676348629</v>
      </c>
      <c r="H1295" s="26">
        <f t="shared" si="1"/>
        <v>150830</v>
      </c>
    </row>
    <row r="1296">
      <c r="F1296" s="26">
        <f>IFERROR(__xludf.DUMMYFUNCTION("""COMPUTED_VALUE"""),129.4)</f>
        <v>129.4</v>
      </c>
      <c r="G1296" s="26">
        <f>IFERROR(__xludf.DUMMYFUNCTION("""COMPUTED_VALUE"""),1.677676348636E12)</f>
        <v>1677676348636</v>
      </c>
      <c r="H1296" s="26">
        <f t="shared" si="1"/>
        <v>150837</v>
      </c>
    </row>
    <row r="1297">
      <c r="F1297" s="26">
        <f>IFERROR(__xludf.DUMMYFUNCTION("""COMPUTED_VALUE"""),129.5)</f>
        <v>129.5</v>
      </c>
      <c r="G1297" s="26">
        <f>IFERROR(__xludf.DUMMYFUNCTION("""COMPUTED_VALUE"""),1.677676348641E12)</f>
        <v>1677676348641</v>
      </c>
      <c r="H1297" s="26">
        <f t="shared" si="1"/>
        <v>150842</v>
      </c>
    </row>
    <row r="1298">
      <c r="F1298" s="26">
        <f>IFERROR(__xludf.DUMMYFUNCTION("""COMPUTED_VALUE"""),129.6)</f>
        <v>129.6</v>
      </c>
      <c r="G1298" s="26">
        <f>IFERROR(__xludf.DUMMYFUNCTION("""COMPUTED_VALUE"""),1.677676348649E12)</f>
        <v>1677676348649</v>
      </c>
      <c r="H1298" s="26">
        <f t="shared" si="1"/>
        <v>150850</v>
      </c>
    </row>
    <row r="1299">
      <c r="F1299" s="26">
        <f>IFERROR(__xludf.DUMMYFUNCTION("""COMPUTED_VALUE"""),129.7)</f>
        <v>129.7</v>
      </c>
      <c r="G1299" s="26">
        <f>IFERROR(__xludf.DUMMYFUNCTION("""COMPUTED_VALUE"""),1.677676348655E12)</f>
        <v>1677676348655</v>
      </c>
      <c r="H1299" s="26">
        <f t="shared" si="1"/>
        <v>150856</v>
      </c>
    </row>
    <row r="1300">
      <c r="F1300" s="26">
        <f>IFERROR(__xludf.DUMMYFUNCTION("""COMPUTED_VALUE"""),129.8)</f>
        <v>129.8</v>
      </c>
      <c r="G1300" s="26">
        <f>IFERROR(__xludf.DUMMYFUNCTION("""COMPUTED_VALUE"""),1.677676348661E12)</f>
        <v>1677676348661</v>
      </c>
      <c r="H1300" s="26">
        <f t="shared" si="1"/>
        <v>150862</v>
      </c>
    </row>
    <row r="1301">
      <c r="F1301" s="26">
        <f>IFERROR(__xludf.DUMMYFUNCTION("""COMPUTED_VALUE"""),129.9)</f>
        <v>129.9</v>
      </c>
      <c r="G1301" s="26">
        <f>IFERROR(__xludf.DUMMYFUNCTION("""COMPUTED_VALUE"""),1.677676348675E12)</f>
        <v>1677676348675</v>
      </c>
      <c r="H1301" s="26">
        <f t="shared" si="1"/>
        <v>150876</v>
      </c>
    </row>
    <row r="1302">
      <c r="F1302" s="26">
        <f>IFERROR(__xludf.DUMMYFUNCTION("""COMPUTED_VALUE"""),130.0)</f>
        <v>130</v>
      </c>
      <c r="G1302" s="26">
        <f>IFERROR(__xludf.DUMMYFUNCTION("""COMPUTED_VALUE"""),1.677676348681E12)</f>
        <v>1677676348681</v>
      </c>
      <c r="H1302" s="26">
        <f t="shared" si="1"/>
        <v>150882</v>
      </c>
    </row>
    <row r="1303">
      <c r="F1303" s="26">
        <f>IFERROR(__xludf.DUMMYFUNCTION("""COMPUTED_VALUE"""),130.1)</f>
        <v>130.1</v>
      </c>
      <c r="G1303" s="26">
        <f>IFERROR(__xludf.DUMMYFUNCTION("""COMPUTED_VALUE"""),1.67767634869E12)</f>
        <v>1677676348690</v>
      </c>
      <c r="H1303" s="26">
        <f t="shared" si="1"/>
        <v>150891</v>
      </c>
    </row>
    <row r="1304">
      <c r="F1304" s="26">
        <f>IFERROR(__xludf.DUMMYFUNCTION("""COMPUTED_VALUE"""),130.2)</f>
        <v>130.2</v>
      </c>
      <c r="G1304" s="26">
        <f>IFERROR(__xludf.DUMMYFUNCTION("""COMPUTED_VALUE"""),1.677676348695E12)</f>
        <v>1677676348695</v>
      </c>
      <c r="H1304" s="26">
        <f t="shared" si="1"/>
        <v>150896</v>
      </c>
    </row>
    <row r="1305">
      <c r="F1305" s="26">
        <f>IFERROR(__xludf.DUMMYFUNCTION("""COMPUTED_VALUE"""),130.3)</f>
        <v>130.3</v>
      </c>
      <c r="G1305" s="26">
        <f>IFERROR(__xludf.DUMMYFUNCTION("""COMPUTED_VALUE"""),1.6776763487E12)</f>
        <v>1677676348700</v>
      </c>
      <c r="H1305" s="26">
        <f t="shared" si="1"/>
        <v>150901</v>
      </c>
    </row>
    <row r="1306">
      <c r="F1306" s="26">
        <f>IFERROR(__xludf.DUMMYFUNCTION("""COMPUTED_VALUE"""),130.4)</f>
        <v>130.4</v>
      </c>
      <c r="G1306" s="26">
        <f>IFERROR(__xludf.DUMMYFUNCTION("""COMPUTED_VALUE"""),1.677676348709E12)</f>
        <v>1677676348709</v>
      </c>
      <c r="H1306" s="26">
        <f t="shared" si="1"/>
        <v>150910</v>
      </c>
    </row>
    <row r="1307">
      <c r="F1307" s="26">
        <f>IFERROR(__xludf.DUMMYFUNCTION("""COMPUTED_VALUE"""),130.5)</f>
        <v>130.5</v>
      </c>
      <c r="G1307" s="26">
        <f>IFERROR(__xludf.DUMMYFUNCTION("""COMPUTED_VALUE"""),1.677676348714E12)</f>
        <v>1677676348714</v>
      </c>
      <c r="H1307" s="26">
        <f t="shared" si="1"/>
        <v>150915</v>
      </c>
    </row>
    <row r="1308">
      <c r="F1308" s="26">
        <f>IFERROR(__xludf.DUMMYFUNCTION("""COMPUTED_VALUE"""),130.6)</f>
        <v>130.6</v>
      </c>
      <c r="G1308" s="26">
        <f>IFERROR(__xludf.DUMMYFUNCTION("""COMPUTED_VALUE"""),1.677676348718E12)</f>
        <v>1677676348718</v>
      </c>
      <c r="H1308" s="26">
        <f t="shared" si="1"/>
        <v>150919</v>
      </c>
    </row>
    <row r="1309">
      <c r="F1309" s="26">
        <f>IFERROR(__xludf.DUMMYFUNCTION("""COMPUTED_VALUE"""),130.7)</f>
        <v>130.7</v>
      </c>
      <c r="G1309" s="26">
        <f>IFERROR(__xludf.DUMMYFUNCTION("""COMPUTED_VALUE"""),1.677676348726E12)</f>
        <v>1677676348726</v>
      </c>
      <c r="H1309" s="26">
        <f t="shared" si="1"/>
        <v>150927</v>
      </c>
    </row>
    <row r="1310">
      <c r="F1310" s="26">
        <f>IFERROR(__xludf.DUMMYFUNCTION("""COMPUTED_VALUE"""),130.8)</f>
        <v>130.8</v>
      </c>
      <c r="G1310" s="26">
        <f>IFERROR(__xludf.DUMMYFUNCTION("""COMPUTED_VALUE"""),1.677676348731E12)</f>
        <v>1677676348731</v>
      </c>
      <c r="H1310" s="26">
        <f t="shared" si="1"/>
        <v>150932</v>
      </c>
    </row>
    <row r="1311">
      <c r="F1311" s="26">
        <f>IFERROR(__xludf.DUMMYFUNCTION("""COMPUTED_VALUE"""),130.9)</f>
        <v>130.9</v>
      </c>
      <c r="G1311" s="26">
        <f>IFERROR(__xludf.DUMMYFUNCTION("""COMPUTED_VALUE"""),1.67767634874E12)</f>
        <v>1677676348740</v>
      </c>
      <c r="H1311" s="26">
        <f t="shared" si="1"/>
        <v>150941</v>
      </c>
    </row>
    <row r="1312">
      <c r="F1312" s="26">
        <f>IFERROR(__xludf.DUMMYFUNCTION("""COMPUTED_VALUE"""),131.0)</f>
        <v>131</v>
      </c>
      <c r="G1312" s="26">
        <f>IFERROR(__xludf.DUMMYFUNCTION("""COMPUTED_VALUE"""),1.677676348747E12)</f>
        <v>1677676348747</v>
      </c>
      <c r="H1312" s="26">
        <f t="shared" si="1"/>
        <v>150948</v>
      </c>
    </row>
    <row r="1313">
      <c r="F1313" s="26">
        <f>IFERROR(__xludf.DUMMYFUNCTION("""COMPUTED_VALUE"""),131.1)</f>
        <v>131.1</v>
      </c>
      <c r="G1313" s="26">
        <f>IFERROR(__xludf.DUMMYFUNCTION("""COMPUTED_VALUE"""),1.677676348753E12)</f>
        <v>1677676348753</v>
      </c>
      <c r="H1313" s="26">
        <f t="shared" si="1"/>
        <v>150954</v>
      </c>
    </row>
    <row r="1314">
      <c r="F1314" s="26">
        <f>IFERROR(__xludf.DUMMYFUNCTION("""COMPUTED_VALUE"""),131.2)</f>
        <v>131.2</v>
      </c>
      <c r="G1314" s="26">
        <f>IFERROR(__xludf.DUMMYFUNCTION("""COMPUTED_VALUE"""),1.67767634876E12)</f>
        <v>1677676348760</v>
      </c>
      <c r="H1314" s="26">
        <f t="shared" si="1"/>
        <v>150961</v>
      </c>
    </row>
    <row r="1315">
      <c r="F1315" s="26">
        <f>IFERROR(__xludf.DUMMYFUNCTION("""COMPUTED_VALUE"""),131.3)</f>
        <v>131.3</v>
      </c>
      <c r="G1315" s="26">
        <f>IFERROR(__xludf.DUMMYFUNCTION("""COMPUTED_VALUE"""),1.677676348765E12)</f>
        <v>1677676348765</v>
      </c>
      <c r="H1315" s="26">
        <f t="shared" si="1"/>
        <v>150966</v>
      </c>
    </row>
    <row r="1316">
      <c r="F1316" s="26">
        <f>IFERROR(__xludf.DUMMYFUNCTION("""COMPUTED_VALUE"""),131.4)</f>
        <v>131.4</v>
      </c>
      <c r="G1316" s="26">
        <f>IFERROR(__xludf.DUMMYFUNCTION("""COMPUTED_VALUE"""),1.677676348771E12)</f>
        <v>1677676348771</v>
      </c>
      <c r="H1316" s="26">
        <f t="shared" si="1"/>
        <v>150972</v>
      </c>
    </row>
    <row r="1317">
      <c r="F1317" s="26">
        <f>IFERROR(__xludf.DUMMYFUNCTION("""COMPUTED_VALUE"""),131.5)</f>
        <v>131.5</v>
      </c>
      <c r="G1317" s="26">
        <f>IFERROR(__xludf.DUMMYFUNCTION("""COMPUTED_VALUE"""),1.677676348781E12)</f>
        <v>1677676348781</v>
      </c>
      <c r="H1317" s="26">
        <f t="shared" si="1"/>
        <v>150982</v>
      </c>
    </row>
    <row r="1318">
      <c r="F1318" s="26">
        <f>IFERROR(__xludf.DUMMYFUNCTION("""COMPUTED_VALUE"""),131.6)</f>
        <v>131.6</v>
      </c>
      <c r="G1318" s="26">
        <f>IFERROR(__xludf.DUMMYFUNCTION("""COMPUTED_VALUE"""),1.677676348786E12)</f>
        <v>1677676348786</v>
      </c>
      <c r="H1318" s="26">
        <f t="shared" si="1"/>
        <v>150987</v>
      </c>
    </row>
    <row r="1319">
      <c r="F1319" s="26">
        <f>IFERROR(__xludf.DUMMYFUNCTION("""COMPUTED_VALUE"""),131.7)</f>
        <v>131.7</v>
      </c>
      <c r="G1319" s="26">
        <f>IFERROR(__xludf.DUMMYFUNCTION("""COMPUTED_VALUE"""),1.677676348792E12)</f>
        <v>1677676348792</v>
      </c>
      <c r="H1319" s="26">
        <f t="shared" si="1"/>
        <v>150993</v>
      </c>
    </row>
    <row r="1320">
      <c r="F1320" s="26">
        <f>IFERROR(__xludf.DUMMYFUNCTION("""COMPUTED_VALUE"""),131.8)</f>
        <v>131.8</v>
      </c>
      <c r="G1320" s="26">
        <f>IFERROR(__xludf.DUMMYFUNCTION("""COMPUTED_VALUE"""),1.677676348799E12)</f>
        <v>1677676348799</v>
      </c>
      <c r="H1320" s="26">
        <f t="shared" si="1"/>
        <v>151000</v>
      </c>
    </row>
    <row r="1321">
      <c r="F1321" s="26">
        <f>IFERROR(__xludf.DUMMYFUNCTION("""COMPUTED_VALUE"""),131.9)</f>
        <v>131.9</v>
      </c>
      <c r="G1321" s="26">
        <f>IFERROR(__xludf.DUMMYFUNCTION("""COMPUTED_VALUE"""),1.677676348805E12)</f>
        <v>1677676348805</v>
      </c>
      <c r="H1321" s="26">
        <f t="shared" si="1"/>
        <v>151006</v>
      </c>
    </row>
    <row r="1322">
      <c r="F1322" s="26">
        <f>IFERROR(__xludf.DUMMYFUNCTION("""COMPUTED_VALUE"""),132.0)</f>
        <v>132</v>
      </c>
      <c r="G1322" s="26">
        <f>IFERROR(__xludf.DUMMYFUNCTION("""COMPUTED_VALUE"""),1.67767634881E12)</f>
        <v>1677676348810</v>
      </c>
      <c r="H1322" s="26">
        <f t="shared" si="1"/>
        <v>151011</v>
      </c>
    </row>
    <row r="1323">
      <c r="F1323" s="26">
        <f>IFERROR(__xludf.DUMMYFUNCTION("""COMPUTED_VALUE"""),132.1)</f>
        <v>132.1</v>
      </c>
      <c r="G1323" s="26">
        <f>IFERROR(__xludf.DUMMYFUNCTION("""COMPUTED_VALUE"""),1.677676348815E12)</f>
        <v>1677676348815</v>
      </c>
      <c r="H1323" s="26">
        <f t="shared" si="1"/>
        <v>151016</v>
      </c>
    </row>
    <row r="1324">
      <c r="F1324" s="26">
        <f>IFERROR(__xludf.DUMMYFUNCTION("""COMPUTED_VALUE"""),132.2)</f>
        <v>132.2</v>
      </c>
      <c r="G1324" s="26">
        <f>IFERROR(__xludf.DUMMYFUNCTION("""COMPUTED_VALUE"""),1.677676348821E12)</f>
        <v>1677676348821</v>
      </c>
      <c r="H1324" s="26">
        <f t="shared" si="1"/>
        <v>151022</v>
      </c>
    </row>
    <row r="1325">
      <c r="F1325" s="26">
        <f>IFERROR(__xludf.DUMMYFUNCTION("""COMPUTED_VALUE"""),132.3)</f>
        <v>132.3</v>
      </c>
      <c r="G1325" s="26">
        <f>IFERROR(__xludf.DUMMYFUNCTION("""COMPUTED_VALUE"""),1.677676348829E12)</f>
        <v>1677676348829</v>
      </c>
      <c r="H1325" s="26">
        <f t="shared" si="1"/>
        <v>151030</v>
      </c>
    </row>
    <row r="1326">
      <c r="F1326" s="26">
        <f>IFERROR(__xludf.DUMMYFUNCTION("""COMPUTED_VALUE"""),132.4)</f>
        <v>132.4</v>
      </c>
      <c r="G1326" s="26">
        <f>IFERROR(__xludf.DUMMYFUNCTION("""COMPUTED_VALUE"""),1.677676348836E12)</f>
        <v>1677676348836</v>
      </c>
      <c r="H1326" s="26">
        <f t="shared" si="1"/>
        <v>151037</v>
      </c>
    </row>
    <row r="1327">
      <c r="F1327" s="26">
        <f>IFERROR(__xludf.DUMMYFUNCTION("""COMPUTED_VALUE"""),132.5)</f>
        <v>132.5</v>
      </c>
      <c r="G1327" s="26">
        <f>IFERROR(__xludf.DUMMYFUNCTION("""COMPUTED_VALUE"""),1.677676348841E12)</f>
        <v>1677676348841</v>
      </c>
      <c r="H1327" s="26">
        <f t="shared" si="1"/>
        <v>151042</v>
      </c>
    </row>
    <row r="1328">
      <c r="F1328" s="26">
        <f>IFERROR(__xludf.DUMMYFUNCTION("""COMPUTED_VALUE"""),132.6)</f>
        <v>132.6</v>
      </c>
      <c r="G1328" s="26">
        <f>IFERROR(__xludf.DUMMYFUNCTION("""COMPUTED_VALUE"""),1.677676348849E12)</f>
        <v>1677676348849</v>
      </c>
      <c r="H1328" s="26">
        <f t="shared" si="1"/>
        <v>151050</v>
      </c>
    </row>
    <row r="1329">
      <c r="F1329" s="26">
        <f>IFERROR(__xludf.DUMMYFUNCTION("""COMPUTED_VALUE"""),132.7)</f>
        <v>132.7</v>
      </c>
      <c r="G1329" s="26">
        <f>IFERROR(__xludf.DUMMYFUNCTION("""COMPUTED_VALUE"""),1.677676348854E12)</f>
        <v>1677676348854</v>
      </c>
      <c r="H1329" s="26">
        <f t="shared" si="1"/>
        <v>151055</v>
      </c>
    </row>
    <row r="1330">
      <c r="F1330" s="26">
        <f>IFERROR(__xludf.DUMMYFUNCTION("""COMPUTED_VALUE"""),132.8)</f>
        <v>132.8</v>
      </c>
      <c r="G1330" s="26">
        <f>IFERROR(__xludf.DUMMYFUNCTION("""COMPUTED_VALUE"""),1.67767634886E12)</f>
        <v>1677676348860</v>
      </c>
      <c r="H1330" s="26">
        <f t="shared" si="1"/>
        <v>151061</v>
      </c>
    </row>
    <row r="1331">
      <c r="F1331" s="26">
        <f>IFERROR(__xludf.DUMMYFUNCTION("""COMPUTED_VALUE"""),132.9)</f>
        <v>132.9</v>
      </c>
      <c r="G1331" s="26">
        <f>IFERROR(__xludf.DUMMYFUNCTION("""COMPUTED_VALUE"""),1.67767634887E12)</f>
        <v>1677676348870</v>
      </c>
      <c r="H1331" s="26">
        <f t="shared" si="1"/>
        <v>151071</v>
      </c>
    </row>
    <row r="1332">
      <c r="F1332" s="26">
        <f>IFERROR(__xludf.DUMMYFUNCTION("""COMPUTED_VALUE"""),133.0)</f>
        <v>133</v>
      </c>
      <c r="G1332" s="26">
        <f>IFERROR(__xludf.DUMMYFUNCTION("""COMPUTED_VALUE"""),1.677676348875E12)</f>
        <v>1677676348875</v>
      </c>
      <c r="H1332" s="26">
        <f t="shared" si="1"/>
        <v>151076</v>
      </c>
    </row>
    <row r="1333">
      <c r="F1333" s="26">
        <f>IFERROR(__xludf.DUMMYFUNCTION("""COMPUTED_VALUE"""),133.1)</f>
        <v>133.1</v>
      </c>
      <c r="G1333" s="26">
        <f>IFERROR(__xludf.DUMMYFUNCTION("""COMPUTED_VALUE"""),1.677676348881E12)</f>
        <v>1677676348881</v>
      </c>
      <c r="H1333" s="26">
        <f t="shared" si="1"/>
        <v>151082</v>
      </c>
    </row>
    <row r="1334">
      <c r="F1334" s="26">
        <f>IFERROR(__xludf.DUMMYFUNCTION("""COMPUTED_VALUE"""),133.2)</f>
        <v>133.2</v>
      </c>
      <c r="G1334" s="26">
        <f>IFERROR(__xludf.DUMMYFUNCTION("""COMPUTED_VALUE"""),1.677676348892E12)</f>
        <v>1677676348892</v>
      </c>
      <c r="H1334" s="26">
        <f t="shared" si="1"/>
        <v>151093</v>
      </c>
    </row>
    <row r="1335">
      <c r="F1335" s="26">
        <f>IFERROR(__xludf.DUMMYFUNCTION("""COMPUTED_VALUE"""),133.3)</f>
        <v>133.3</v>
      </c>
      <c r="G1335" s="26">
        <f>IFERROR(__xludf.DUMMYFUNCTION("""COMPUTED_VALUE"""),1.677676348898E12)</f>
        <v>1677676348898</v>
      </c>
      <c r="H1335" s="26">
        <f t="shared" si="1"/>
        <v>151099</v>
      </c>
    </row>
    <row r="1336">
      <c r="F1336" s="26">
        <f>IFERROR(__xludf.DUMMYFUNCTION("""COMPUTED_VALUE"""),133.4)</f>
        <v>133.4</v>
      </c>
      <c r="G1336" s="26">
        <f>IFERROR(__xludf.DUMMYFUNCTION("""COMPUTED_VALUE"""),1.677676348902E12)</f>
        <v>1677676348902</v>
      </c>
      <c r="H1336" s="26">
        <f t="shared" si="1"/>
        <v>151103</v>
      </c>
    </row>
    <row r="1337">
      <c r="F1337" s="26">
        <f>IFERROR(__xludf.DUMMYFUNCTION("""COMPUTED_VALUE"""),133.5)</f>
        <v>133.5</v>
      </c>
      <c r="G1337" s="26">
        <f>IFERROR(__xludf.DUMMYFUNCTION("""COMPUTED_VALUE"""),1.677676348909E12)</f>
        <v>1677676348909</v>
      </c>
      <c r="H1337" s="26">
        <f t="shared" si="1"/>
        <v>151110</v>
      </c>
    </row>
    <row r="1338">
      <c r="F1338" s="26">
        <f>IFERROR(__xludf.DUMMYFUNCTION("""COMPUTED_VALUE"""),133.6)</f>
        <v>133.6</v>
      </c>
      <c r="G1338" s="26">
        <f>IFERROR(__xludf.DUMMYFUNCTION("""COMPUTED_VALUE"""),1.677676348917E12)</f>
        <v>1677676348917</v>
      </c>
      <c r="H1338" s="26">
        <f t="shared" si="1"/>
        <v>151118</v>
      </c>
    </row>
    <row r="1339">
      <c r="F1339" s="26">
        <f>IFERROR(__xludf.DUMMYFUNCTION("""COMPUTED_VALUE"""),133.7)</f>
        <v>133.7</v>
      </c>
      <c r="G1339" s="26">
        <f>IFERROR(__xludf.DUMMYFUNCTION("""COMPUTED_VALUE"""),1.677676348921E12)</f>
        <v>1677676348921</v>
      </c>
      <c r="H1339" s="26">
        <f t="shared" si="1"/>
        <v>151122</v>
      </c>
    </row>
    <row r="1340">
      <c r="F1340" s="26">
        <f>IFERROR(__xludf.DUMMYFUNCTION("""COMPUTED_VALUE"""),133.8)</f>
        <v>133.8</v>
      </c>
      <c r="G1340" s="26">
        <f>IFERROR(__xludf.DUMMYFUNCTION("""COMPUTED_VALUE"""),1.677676348929E12)</f>
        <v>1677676348929</v>
      </c>
      <c r="H1340" s="26">
        <f t="shared" si="1"/>
        <v>151130</v>
      </c>
    </row>
    <row r="1341">
      <c r="F1341" s="26">
        <f>IFERROR(__xludf.DUMMYFUNCTION("""COMPUTED_VALUE"""),133.9)</f>
        <v>133.9</v>
      </c>
      <c r="G1341" s="26">
        <f>IFERROR(__xludf.DUMMYFUNCTION("""COMPUTED_VALUE"""),1.677676348935E12)</f>
        <v>1677676348935</v>
      </c>
      <c r="H1341" s="26">
        <f t="shared" si="1"/>
        <v>151136</v>
      </c>
    </row>
    <row r="1342">
      <c r="F1342" s="26">
        <f>IFERROR(__xludf.DUMMYFUNCTION("""COMPUTED_VALUE"""),134.0)</f>
        <v>134</v>
      </c>
      <c r="G1342" s="26">
        <f>IFERROR(__xludf.DUMMYFUNCTION("""COMPUTED_VALUE"""),1.677676348941E12)</f>
        <v>1677676348941</v>
      </c>
      <c r="H1342" s="26">
        <f t="shared" si="1"/>
        <v>151142</v>
      </c>
    </row>
    <row r="1343">
      <c r="F1343" s="26">
        <f>IFERROR(__xludf.DUMMYFUNCTION("""COMPUTED_VALUE"""),134.1)</f>
        <v>134.1</v>
      </c>
      <c r="G1343" s="26">
        <f>IFERROR(__xludf.DUMMYFUNCTION("""COMPUTED_VALUE"""),1.677676348949E12)</f>
        <v>1677676348949</v>
      </c>
      <c r="H1343" s="26">
        <f t="shared" si="1"/>
        <v>151150</v>
      </c>
    </row>
    <row r="1344">
      <c r="F1344" s="26">
        <f>IFERROR(__xludf.DUMMYFUNCTION("""COMPUTED_VALUE"""),134.2)</f>
        <v>134.2</v>
      </c>
      <c r="G1344" s="26">
        <f>IFERROR(__xludf.DUMMYFUNCTION("""COMPUTED_VALUE"""),1.677676348954E12)</f>
        <v>1677676348954</v>
      </c>
      <c r="H1344" s="26">
        <f t="shared" si="1"/>
        <v>151155</v>
      </c>
    </row>
    <row r="1345">
      <c r="F1345" s="26">
        <f>IFERROR(__xludf.DUMMYFUNCTION("""COMPUTED_VALUE"""),134.3)</f>
        <v>134.3</v>
      </c>
      <c r="G1345" s="26">
        <f>IFERROR(__xludf.DUMMYFUNCTION("""COMPUTED_VALUE"""),1.67767634896E12)</f>
        <v>1677676348960</v>
      </c>
      <c r="H1345" s="26">
        <f t="shared" si="1"/>
        <v>151161</v>
      </c>
    </row>
    <row r="1346">
      <c r="F1346" s="26">
        <f>IFERROR(__xludf.DUMMYFUNCTION("""COMPUTED_VALUE"""),134.4)</f>
        <v>134.4</v>
      </c>
      <c r="G1346" s="26">
        <f>IFERROR(__xludf.DUMMYFUNCTION("""COMPUTED_VALUE"""),1.677676348966E12)</f>
        <v>1677676348966</v>
      </c>
      <c r="H1346" s="26">
        <f t="shared" si="1"/>
        <v>151167</v>
      </c>
    </row>
    <row r="1347">
      <c r="F1347" s="26">
        <f>IFERROR(__xludf.DUMMYFUNCTION("""COMPUTED_VALUE"""),134.5)</f>
        <v>134.5</v>
      </c>
      <c r="G1347" s="26">
        <f>IFERROR(__xludf.DUMMYFUNCTION("""COMPUTED_VALUE"""),1.677676348971E12)</f>
        <v>1677676348971</v>
      </c>
      <c r="H1347" s="26">
        <f t="shared" si="1"/>
        <v>151172</v>
      </c>
    </row>
    <row r="1348">
      <c r="F1348" s="26">
        <f>IFERROR(__xludf.DUMMYFUNCTION("""COMPUTED_VALUE"""),134.6)</f>
        <v>134.6</v>
      </c>
      <c r="G1348" s="26">
        <f>IFERROR(__xludf.DUMMYFUNCTION("""COMPUTED_VALUE"""),1.677676348979E12)</f>
        <v>1677676348979</v>
      </c>
      <c r="H1348" s="26">
        <f t="shared" si="1"/>
        <v>151180</v>
      </c>
    </row>
    <row r="1349">
      <c r="F1349" s="26">
        <f>IFERROR(__xludf.DUMMYFUNCTION("""COMPUTED_VALUE"""),134.7)</f>
        <v>134.7</v>
      </c>
      <c r="G1349" s="26">
        <f>IFERROR(__xludf.DUMMYFUNCTION("""COMPUTED_VALUE"""),1.677676348985E12)</f>
        <v>1677676348985</v>
      </c>
      <c r="H1349" s="26">
        <f t="shared" si="1"/>
        <v>151186</v>
      </c>
    </row>
    <row r="1350">
      <c r="F1350" s="26">
        <f>IFERROR(__xludf.DUMMYFUNCTION("""COMPUTED_VALUE"""),134.8)</f>
        <v>134.8</v>
      </c>
      <c r="G1350" s="26">
        <f>IFERROR(__xludf.DUMMYFUNCTION("""COMPUTED_VALUE"""),1.67767634899E12)</f>
        <v>1677676348990</v>
      </c>
      <c r="H1350" s="26">
        <f t="shared" si="1"/>
        <v>151191</v>
      </c>
    </row>
    <row r="1351">
      <c r="F1351" s="26">
        <f>IFERROR(__xludf.DUMMYFUNCTION("""COMPUTED_VALUE"""),134.9)</f>
        <v>134.9</v>
      </c>
      <c r="G1351" s="26">
        <f>IFERROR(__xludf.DUMMYFUNCTION("""COMPUTED_VALUE"""),1.677676348998E12)</f>
        <v>1677676348998</v>
      </c>
      <c r="H1351" s="26">
        <f t="shared" si="1"/>
        <v>151199</v>
      </c>
    </row>
    <row r="1352">
      <c r="F1352" s="26">
        <f>IFERROR(__xludf.DUMMYFUNCTION("""COMPUTED_VALUE"""),135.0)</f>
        <v>135</v>
      </c>
      <c r="G1352" s="26">
        <f>IFERROR(__xludf.DUMMYFUNCTION("""COMPUTED_VALUE"""),1.677676349004E12)</f>
        <v>1677676349004</v>
      </c>
      <c r="H1352" s="26">
        <f t="shared" si="1"/>
        <v>151205</v>
      </c>
    </row>
    <row r="1353">
      <c r="F1353" s="26">
        <f>IFERROR(__xludf.DUMMYFUNCTION("""COMPUTED_VALUE"""),135.1)</f>
        <v>135.1</v>
      </c>
      <c r="G1353" s="26">
        <f>IFERROR(__xludf.DUMMYFUNCTION("""COMPUTED_VALUE"""),1.67767634901E12)</f>
        <v>1677676349010</v>
      </c>
      <c r="H1353" s="26">
        <f t="shared" si="1"/>
        <v>151211</v>
      </c>
    </row>
    <row r="1354">
      <c r="F1354" s="26">
        <f>IFERROR(__xludf.DUMMYFUNCTION("""COMPUTED_VALUE"""),135.2)</f>
        <v>135.2</v>
      </c>
      <c r="G1354" s="26">
        <f>IFERROR(__xludf.DUMMYFUNCTION("""COMPUTED_VALUE"""),1.677676349015E12)</f>
        <v>1677676349015</v>
      </c>
      <c r="H1354" s="26">
        <f t="shared" si="1"/>
        <v>151216</v>
      </c>
    </row>
    <row r="1355">
      <c r="F1355" s="26">
        <f>IFERROR(__xludf.DUMMYFUNCTION("""COMPUTED_VALUE"""),135.3)</f>
        <v>135.3</v>
      </c>
      <c r="G1355" s="26">
        <f>IFERROR(__xludf.DUMMYFUNCTION("""COMPUTED_VALUE"""),1.67767634902E12)</f>
        <v>1677676349020</v>
      </c>
      <c r="H1355" s="26">
        <f t="shared" si="1"/>
        <v>151221</v>
      </c>
    </row>
    <row r="1356">
      <c r="F1356" s="26">
        <f>IFERROR(__xludf.DUMMYFUNCTION("""COMPUTED_VALUE"""),135.4)</f>
        <v>135.4</v>
      </c>
      <c r="G1356" s="26">
        <f>IFERROR(__xludf.DUMMYFUNCTION("""COMPUTED_VALUE"""),1.67767634903E12)</f>
        <v>1677676349030</v>
      </c>
      <c r="H1356" s="26">
        <f t="shared" si="1"/>
        <v>151231</v>
      </c>
    </row>
    <row r="1357">
      <c r="F1357" s="26">
        <f>IFERROR(__xludf.DUMMYFUNCTION("""COMPUTED_VALUE"""),135.5)</f>
        <v>135.5</v>
      </c>
      <c r="G1357" s="26">
        <f>IFERROR(__xludf.DUMMYFUNCTION("""COMPUTED_VALUE"""),1.677676349035E12)</f>
        <v>1677676349035</v>
      </c>
      <c r="H1357" s="26">
        <f t="shared" si="1"/>
        <v>151236</v>
      </c>
    </row>
    <row r="1358">
      <c r="F1358" s="26">
        <f>IFERROR(__xludf.DUMMYFUNCTION("""COMPUTED_VALUE"""),135.6)</f>
        <v>135.6</v>
      </c>
      <c r="G1358" s="26">
        <f>IFERROR(__xludf.DUMMYFUNCTION("""COMPUTED_VALUE"""),1.677676349041E12)</f>
        <v>1677676349041</v>
      </c>
      <c r="H1358" s="26">
        <f t="shared" si="1"/>
        <v>151242</v>
      </c>
    </row>
    <row r="1359">
      <c r="F1359" s="26">
        <f>IFERROR(__xludf.DUMMYFUNCTION("""COMPUTED_VALUE"""),135.7)</f>
        <v>135.7</v>
      </c>
      <c r="G1359" s="26">
        <f>IFERROR(__xludf.DUMMYFUNCTION("""COMPUTED_VALUE"""),1.677676349049E12)</f>
        <v>1677676349049</v>
      </c>
      <c r="H1359" s="26">
        <f t="shared" si="1"/>
        <v>151250</v>
      </c>
    </row>
    <row r="1360">
      <c r="F1360" s="26">
        <f>IFERROR(__xludf.DUMMYFUNCTION("""COMPUTED_VALUE"""),135.8)</f>
        <v>135.8</v>
      </c>
      <c r="G1360" s="26">
        <f>IFERROR(__xludf.DUMMYFUNCTION("""COMPUTED_VALUE"""),1.677676349054E12)</f>
        <v>1677676349054</v>
      </c>
      <c r="H1360" s="26">
        <f t="shared" si="1"/>
        <v>151255</v>
      </c>
    </row>
    <row r="1361">
      <c r="F1361" s="26">
        <f>IFERROR(__xludf.DUMMYFUNCTION("""COMPUTED_VALUE"""),135.9)</f>
        <v>135.9</v>
      </c>
      <c r="G1361" s="26">
        <f>IFERROR(__xludf.DUMMYFUNCTION("""COMPUTED_VALUE"""),1.67767634906E12)</f>
        <v>1677676349060</v>
      </c>
      <c r="H1361" s="26">
        <f t="shared" si="1"/>
        <v>151261</v>
      </c>
    </row>
    <row r="1362">
      <c r="F1362" s="26">
        <f>IFERROR(__xludf.DUMMYFUNCTION("""COMPUTED_VALUE"""),136.0)</f>
        <v>136</v>
      </c>
      <c r="G1362" s="26">
        <f>IFERROR(__xludf.DUMMYFUNCTION("""COMPUTED_VALUE"""),1.677676349074E12)</f>
        <v>1677676349074</v>
      </c>
      <c r="H1362" s="26">
        <f t="shared" si="1"/>
        <v>151275</v>
      </c>
    </row>
    <row r="1363">
      <c r="F1363" s="26">
        <f>IFERROR(__xludf.DUMMYFUNCTION("""COMPUTED_VALUE"""),136.1)</f>
        <v>136.1</v>
      </c>
      <c r="G1363" s="26">
        <f>IFERROR(__xludf.DUMMYFUNCTION("""COMPUTED_VALUE"""),1.67767634908E12)</f>
        <v>1677676349080</v>
      </c>
      <c r="H1363" s="26">
        <f t="shared" si="1"/>
        <v>151281</v>
      </c>
    </row>
    <row r="1364">
      <c r="F1364" s="26">
        <f>IFERROR(__xludf.DUMMYFUNCTION("""COMPUTED_VALUE"""),136.2)</f>
        <v>136.2</v>
      </c>
      <c r="G1364" s="26">
        <f>IFERROR(__xludf.DUMMYFUNCTION("""COMPUTED_VALUE"""),1.677676349084E12)</f>
        <v>1677676349084</v>
      </c>
      <c r="H1364" s="26">
        <f t="shared" si="1"/>
        <v>151285</v>
      </c>
    </row>
    <row r="1365">
      <c r="F1365" s="26">
        <f>IFERROR(__xludf.DUMMYFUNCTION("""COMPUTED_VALUE"""),136.3)</f>
        <v>136.3</v>
      </c>
      <c r="G1365" s="26">
        <f>IFERROR(__xludf.DUMMYFUNCTION("""COMPUTED_VALUE"""),1.67767634909E12)</f>
        <v>1677676349090</v>
      </c>
      <c r="H1365" s="26">
        <f t="shared" si="1"/>
        <v>151291</v>
      </c>
    </row>
    <row r="1366">
      <c r="F1366" s="26">
        <f>IFERROR(__xludf.DUMMYFUNCTION("""COMPUTED_VALUE"""),136.4)</f>
        <v>136.4</v>
      </c>
      <c r="G1366" s="26">
        <f>IFERROR(__xludf.DUMMYFUNCTION("""COMPUTED_VALUE"""),1.677676349099E12)</f>
        <v>1677676349099</v>
      </c>
      <c r="H1366" s="26">
        <f t="shared" si="1"/>
        <v>151300</v>
      </c>
    </row>
    <row r="1367">
      <c r="F1367" s="26">
        <f>IFERROR(__xludf.DUMMYFUNCTION("""COMPUTED_VALUE"""),136.5)</f>
        <v>136.5</v>
      </c>
      <c r="G1367" s="26">
        <f>IFERROR(__xludf.DUMMYFUNCTION("""COMPUTED_VALUE"""),1.677676349107E12)</f>
        <v>1677676349107</v>
      </c>
      <c r="H1367" s="26">
        <f t="shared" si="1"/>
        <v>151308</v>
      </c>
    </row>
    <row r="1368">
      <c r="F1368" s="26">
        <f>IFERROR(__xludf.DUMMYFUNCTION("""COMPUTED_VALUE"""),136.6)</f>
        <v>136.6</v>
      </c>
      <c r="G1368" s="26">
        <f>IFERROR(__xludf.DUMMYFUNCTION("""COMPUTED_VALUE"""),1.677676349111E12)</f>
        <v>1677676349111</v>
      </c>
      <c r="H1368" s="26">
        <f t="shared" si="1"/>
        <v>151312</v>
      </c>
    </row>
    <row r="1369">
      <c r="F1369" s="26">
        <f>IFERROR(__xludf.DUMMYFUNCTION("""COMPUTED_VALUE"""),136.7)</f>
        <v>136.7</v>
      </c>
      <c r="G1369" s="26">
        <f>IFERROR(__xludf.DUMMYFUNCTION("""COMPUTED_VALUE"""),1.677676349119E12)</f>
        <v>1677676349119</v>
      </c>
      <c r="H1369" s="26">
        <f t="shared" si="1"/>
        <v>151320</v>
      </c>
    </row>
    <row r="1370">
      <c r="F1370" s="26">
        <f>IFERROR(__xludf.DUMMYFUNCTION("""COMPUTED_VALUE"""),136.8)</f>
        <v>136.8</v>
      </c>
      <c r="G1370" s="26">
        <f>IFERROR(__xludf.DUMMYFUNCTION("""COMPUTED_VALUE"""),1.677676349124E12)</f>
        <v>1677676349124</v>
      </c>
      <c r="H1370" s="26">
        <f t="shared" si="1"/>
        <v>151325</v>
      </c>
    </row>
    <row r="1371">
      <c r="F1371" s="26">
        <f>IFERROR(__xludf.DUMMYFUNCTION("""COMPUTED_VALUE"""),136.9)</f>
        <v>136.9</v>
      </c>
      <c r="G1371" s="26">
        <f>IFERROR(__xludf.DUMMYFUNCTION("""COMPUTED_VALUE"""),1.67767634913E12)</f>
        <v>1677676349130</v>
      </c>
      <c r="H1371" s="26">
        <f t="shared" si="1"/>
        <v>151331</v>
      </c>
    </row>
    <row r="1372">
      <c r="F1372" s="26">
        <f>IFERROR(__xludf.DUMMYFUNCTION("""COMPUTED_VALUE"""),137.0)</f>
        <v>137</v>
      </c>
      <c r="G1372" s="26">
        <f>IFERROR(__xludf.DUMMYFUNCTION("""COMPUTED_VALUE"""),1.677676349137E12)</f>
        <v>1677676349137</v>
      </c>
      <c r="H1372" s="26">
        <f t="shared" si="1"/>
        <v>151338</v>
      </c>
    </row>
    <row r="1373">
      <c r="F1373" s="26">
        <f>IFERROR(__xludf.DUMMYFUNCTION("""COMPUTED_VALUE"""),137.1)</f>
        <v>137.1</v>
      </c>
      <c r="G1373" s="26">
        <f>IFERROR(__xludf.DUMMYFUNCTION("""COMPUTED_VALUE"""),1.677676349143E12)</f>
        <v>1677676349143</v>
      </c>
      <c r="H1373" s="26">
        <f t="shared" si="1"/>
        <v>151344</v>
      </c>
    </row>
    <row r="1374">
      <c r="F1374" s="26">
        <f>IFERROR(__xludf.DUMMYFUNCTION("""COMPUTED_VALUE"""),137.2)</f>
        <v>137.2</v>
      </c>
      <c r="G1374" s="26">
        <f>IFERROR(__xludf.DUMMYFUNCTION("""COMPUTED_VALUE"""),1.67767634915E12)</f>
        <v>1677676349150</v>
      </c>
      <c r="H1374" s="26">
        <f t="shared" si="1"/>
        <v>151351</v>
      </c>
    </row>
    <row r="1375">
      <c r="F1375" s="26">
        <f>IFERROR(__xludf.DUMMYFUNCTION("""COMPUTED_VALUE"""),137.3)</f>
        <v>137.3</v>
      </c>
      <c r="G1375" s="26">
        <f>IFERROR(__xludf.DUMMYFUNCTION("""COMPUTED_VALUE"""),1.677676349157E12)</f>
        <v>1677676349157</v>
      </c>
      <c r="H1375" s="26">
        <f t="shared" si="1"/>
        <v>151358</v>
      </c>
    </row>
    <row r="1376">
      <c r="F1376" s="26">
        <f>IFERROR(__xludf.DUMMYFUNCTION("""COMPUTED_VALUE"""),137.4)</f>
        <v>137.4</v>
      </c>
      <c r="G1376" s="26">
        <f>IFERROR(__xludf.DUMMYFUNCTION("""COMPUTED_VALUE"""),1.677676349163E12)</f>
        <v>1677676349163</v>
      </c>
      <c r="H1376" s="26">
        <f t="shared" si="1"/>
        <v>151364</v>
      </c>
    </row>
    <row r="1377">
      <c r="F1377" s="26">
        <f>IFERROR(__xludf.DUMMYFUNCTION("""COMPUTED_VALUE"""),137.5)</f>
        <v>137.5</v>
      </c>
      <c r="G1377" s="26">
        <f>IFERROR(__xludf.DUMMYFUNCTION("""COMPUTED_VALUE"""),1.677676349169E12)</f>
        <v>1677676349169</v>
      </c>
      <c r="H1377" s="26">
        <f t="shared" si="1"/>
        <v>151370</v>
      </c>
    </row>
    <row r="1378">
      <c r="F1378" s="26">
        <f>IFERROR(__xludf.DUMMYFUNCTION("""COMPUTED_VALUE"""),137.6)</f>
        <v>137.6</v>
      </c>
      <c r="G1378" s="26">
        <f>IFERROR(__xludf.DUMMYFUNCTION("""COMPUTED_VALUE"""),1.677676349175E12)</f>
        <v>1677676349175</v>
      </c>
      <c r="H1378" s="26">
        <f t="shared" si="1"/>
        <v>151376</v>
      </c>
    </row>
    <row r="1379">
      <c r="F1379" s="26">
        <f>IFERROR(__xludf.DUMMYFUNCTION("""COMPUTED_VALUE"""),137.7)</f>
        <v>137.7</v>
      </c>
      <c r="G1379" s="26">
        <f>IFERROR(__xludf.DUMMYFUNCTION("""COMPUTED_VALUE"""),1.677676349181E12)</f>
        <v>1677676349181</v>
      </c>
      <c r="H1379" s="26">
        <f t="shared" si="1"/>
        <v>151382</v>
      </c>
    </row>
    <row r="1380">
      <c r="F1380" s="26">
        <f>IFERROR(__xludf.DUMMYFUNCTION("""COMPUTED_VALUE"""),137.8)</f>
        <v>137.8</v>
      </c>
      <c r="G1380" s="26">
        <f>IFERROR(__xludf.DUMMYFUNCTION("""COMPUTED_VALUE"""),1.677676349189E12)</f>
        <v>1677676349189</v>
      </c>
      <c r="H1380" s="26">
        <f t="shared" si="1"/>
        <v>151390</v>
      </c>
    </row>
    <row r="1381">
      <c r="F1381" s="26">
        <f>IFERROR(__xludf.DUMMYFUNCTION("""COMPUTED_VALUE"""),137.9)</f>
        <v>137.9</v>
      </c>
      <c r="G1381" s="26">
        <f>IFERROR(__xludf.DUMMYFUNCTION("""COMPUTED_VALUE"""),1.677676349196E12)</f>
        <v>1677676349196</v>
      </c>
      <c r="H1381" s="26">
        <f t="shared" si="1"/>
        <v>151397</v>
      </c>
    </row>
    <row r="1382">
      <c r="F1382" s="26">
        <f>IFERROR(__xludf.DUMMYFUNCTION("""COMPUTED_VALUE"""),138.0)</f>
        <v>138</v>
      </c>
      <c r="G1382" s="26">
        <f>IFERROR(__xludf.DUMMYFUNCTION("""COMPUTED_VALUE"""),1.677676349201E12)</f>
        <v>1677676349201</v>
      </c>
      <c r="H1382" s="26">
        <f t="shared" si="1"/>
        <v>151402</v>
      </c>
    </row>
    <row r="1383">
      <c r="F1383" s="26">
        <f>IFERROR(__xludf.DUMMYFUNCTION("""COMPUTED_VALUE"""),138.1)</f>
        <v>138.1</v>
      </c>
      <c r="G1383" s="26">
        <f>IFERROR(__xludf.DUMMYFUNCTION("""COMPUTED_VALUE"""),1.677676349207E12)</f>
        <v>1677676349207</v>
      </c>
      <c r="H1383" s="26">
        <f t="shared" si="1"/>
        <v>151408</v>
      </c>
    </row>
    <row r="1384">
      <c r="F1384" s="26">
        <f>IFERROR(__xludf.DUMMYFUNCTION("""COMPUTED_VALUE"""),138.2)</f>
        <v>138.2</v>
      </c>
      <c r="G1384" s="26">
        <f>IFERROR(__xludf.DUMMYFUNCTION("""COMPUTED_VALUE"""),1.677676349213E12)</f>
        <v>1677676349213</v>
      </c>
      <c r="H1384" s="26">
        <f t="shared" si="1"/>
        <v>151414</v>
      </c>
    </row>
    <row r="1385">
      <c r="F1385" s="26">
        <f>IFERROR(__xludf.DUMMYFUNCTION("""COMPUTED_VALUE"""),138.3)</f>
        <v>138.3</v>
      </c>
      <c r="G1385" s="26">
        <f>IFERROR(__xludf.DUMMYFUNCTION("""COMPUTED_VALUE"""),1.67767634922E12)</f>
        <v>1677676349220</v>
      </c>
      <c r="H1385" s="26">
        <f t="shared" si="1"/>
        <v>151421</v>
      </c>
    </row>
    <row r="1386">
      <c r="F1386" s="26">
        <f>IFERROR(__xludf.DUMMYFUNCTION("""COMPUTED_VALUE"""),138.4)</f>
        <v>138.4</v>
      </c>
      <c r="G1386" s="26">
        <f>IFERROR(__xludf.DUMMYFUNCTION("""COMPUTED_VALUE"""),1.67767634923E12)</f>
        <v>1677676349230</v>
      </c>
      <c r="H1386" s="26">
        <f t="shared" si="1"/>
        <v>151431</v>
      </c>
    </row>
    <row r="1387">
      <c r="F1387" s="26">
        <f>IFERROR(__xludf.DUMMYFUNCTION("""COMPUTED_VALUE"""),138.5)</f>
        <v>138.5</v>
      </c>
      <c r="G1387" s="26">
        <f>IFERROR(__xludf.DUMMYFUNCTION("""COMPUTED_VALUE"""),1.677676349235E12)</f>
        <v>1677676349235</v>
      </c>
      <c r="H1387" s="26">
        <f t="shared" si="1"/>
        <v>151436</v>
      </c>
    </row>
    <row r="1388">
      <c r="F1388" s="26">
        <f>IFERROR(__xludf.DUMMYFUNCTION("""COMPUTED_VALUE"""),138.6)</f>
        <v>138.6</v>
      </c>
      <c r="G1388" s="26">
        <f>IFERROR(__xludf.DUMMYFUNCTION("""COMPUTED_VALUE"""),1.67767634924E12)</f>
        <v>1677676349240</v>
      </c>
      <c r="H1388" s="26">
        <f t="shared" si="1"/>
        <v>151441</v>
      </c>
    </row>
    <row r="1389">
      <c r="F1389" s="26">
        <f>IFERROR(__xludf.DUMMYFUNCTION("""COMPUTED_VALUE"""),138.7)</f>
        <v>138.7</v>
      </c>
      <c r="G1389" s="26">
        <f>IFERROR(__xludf.DUMMYFUNCTION("""COMPUTED_VALUE"""),1.677676349248E12)</f>
        <v>1677676349248</v>
      </c>
      <c r="H1389" s="26">
        <f t="shared" si="1"/>
        <v>151449</v>
      </c>
    </row>
    <row r="1390">
      <c r="F1390" s="26">
        <f>IFERROR(__xludf.DUMMYFUNCTION("""COMPUTED_VALUE"""),138.8)</f>
        <v>138.8</v>
      </c>
      <c r="G1390" s="26">
        <f>IFERROR(__xludf.DUMMYFUNCTION("""COMPUTED_VALUE"""),1.677676349252E12)</f>
        <v>1677676349252</v>
      </c>
      <c r="H1390" s="26">
        <f t="shared" si="1"/>
        <v>151453</v>
      </c>
    </row>
    <row r="1391">
      <c r="F1391" s="26">
        <f>IFERROR(__xludf.DUMMYFUNCTION("""COMPUTED_VALUE"""),138.9)</f>
        <v>138.9</v>
      </c>
      <c r="G1391" s="26">
        <f>IFERROR(__xludf.DUMMYFUNCTION("""COMPUTED_VALUE"""),1.677676349259E12)</f>
        <v>1677676349259</v>
      </c>
      <c r="H1391" s="26">
        <f t="shared" si="1"/>
        <v>151460</v>
      </c>
    </row>
    <row r="1392">
      <c r="F1392" s="26">
        <f>IFERROR(__xludf.DUMMYFUNCTION("""COMPUTED_VALUE"""),139.0)</f>
        <v>139</v>
      </c>
      <c r="G1392" s="26">
        <f>IFERROR(__xludf.DUMMYFUNCTION("""COMPUTED_VALUE"""),1.677676349265E12)</f>
        <v>1677676349265</v>
      </c>
      <c r="H1392" s="26">
        <f t="shared" si="1"/>
        <v>151466</v>
      </c>
    </row>
    <row r="1393">
      <c r="F1393" s="26">
        <f>IFERROR(__xludf.DUMMYFUNCTION("""COMPUTED_VALUE"""),139.1)</f>
        <v>139.1</v>
      </c>
      <c r="G1393" s="26">
        <f>IFERROR(__xludf.DUMMYFUNCTION("""COMPUTED_VALUE"""),1.677676349271E12)</f>
        <v>1677676349271</v>
      </c>
      <c r="H1393" s="26">
        <f t="shared" si="1"/>
        <v>151472</v>
      </c>
    </row>
    <row r="1394">
      <c r="F1394" s="26">
        <f>IFERROR(__xludf.DUMMYFUNCTION("""COMPUTED_VALUE"""),139.2)</f>
        <v>139.2</v>
      </c>
      <c r="G1394" s="26">
        <f>IFERROR(__xludf.DUMMYFUNCTION("""COMPUTED_VALUE"""),1.677676349278E12)</f>
        <v>1677676349278</v>
      </c>
      <c r="H1394" s="26">
        <f t="shared" si="1"/>
        <v>151479</v>
      </c>
    </row>
    <row r="1395">
      <c r="F1395" s="26">
        <f>IFERROR(__xludf.DUMMYFUNCTION("""COMPUTED_VALUE"""),139.3)</f>
        <v>139.3</v>
      </c>
      <c r="G1395" s="26">
        <f>IFERROR(__xludf.DUMMYFUNCTION("""COMPUTED_VALUE"""),1.677676349282E12)</f>
        <v>1677676349282</v>
      </c>
      <c r="H1395" s="26">
        <f t="shared" si="1"/>
        <v>151483</v>
      </c>
    </row>
    <row r="1396">
      <c r="F1396" s="26">
        <f>IFERROR(__xludf.DUMMYFUNCTION("""COMPUTED_VALUE"""),139.4)</f>
        <v>139.4</v>
      </c>
      <c r="G1396" s="26">
        <f>IFERROR(__xludf.DUMMYFUNCTION("""COMPUTED_VALUE"""),1.677676349291E12)</f>
        <v>1677676349291</v>
      </c>
      <c r="H1396" s="26">
        <f t="shared" si="1"/>
        <v>151492</v>
      </c>
    </row>
    <row r="1397">
      <c r="F1397" s="26">
        <f>IFERROR(__xludf.DUMMYFUNCTION("""COMPUTED_VALUE"""),139.5)</f>
        <v>139.5</v>
      </c>
      <c r="G1397" s="26">
        <f>IFERROR(__xludf.DUMMYFUNCTION("""COMPUTED_VALUE"""),1.677676349296E12)</f>
        <v>1677676349296</v>
      </c>
      <c r="H1397" s="26">
        <f t="shared" si="1"/>
        <v>151497</v>
      </c>
    </row>
    <row r="1398">
      <c r="F1398" s="26">
        <f>IFERROR(__xludf.DUMMYFUNCTION("""COMPUTED_VALUE"""),139.6)</f>
        <v>139.6</v>
      </c>
      <c r="G1398" s="26">
        <f>IFERROR(__xludf.DUMMYFUNCTION("""COMPUTED_VALUE"""),1.677676349301E12)</f>
        <v>1677676349301</v>
      </c>
      <c r="H1398" s="26">
        <f t="shared" si="1"/>
        <v>151502</v>
      </c>
    </row>
    <row r="1399">
      <c r="F1399" s="26">
        <f>IFERROR(__xludf.DUMMYFUNCTION("""COMPUTED_VALUE"""),139.7)</f>
        <v>139.7</v>
      </c>
      <c r="G1399" s="26">
        <f>IFERROR(__xludf.DUMMYFUNCTION("""COMPUTED_VALUE"""),1.677676349305E12)</f>
        <v>1677676349305</v>
      </c>
      <c r="H1399" s="26">
        <f t="shared" si="1"/>
        <v>151506</v>
      </c>
    </row>
    <row r="1400">
      <c r="F1400" s="26">
        <f>IFERROR(__xludf.DUMMYFUNCTION("""COMPUTED_VALUE"""),139.8)</f>
        <v>139.8</v>
      </c>
      <c r="G1400" s="26">
        <f>IFERROR(__xludf.DUMMYFUNCTION("""COMPUTED_VALUE"""),1.677676349311E12)</f>
        <v>1677676349311</v>
      </c>
      <c r="H1400" s="26">
        <f t="shared" si="1"/>
        <v>151512</v>
      </c>
    </row>
    <row r="1401">
      <c r="F1401" s="26">
        <f>IFERROR(__xludf.DUMMYFUNCTION("""COMPUTED_VALUE"""),139.9)</f>
        <v>139.9</v>
      </c>
      <c r="G1401" s="26">
        <f>IFERROR(__xludf.DUMMYFUNCTION("""COMPUTED_VALUE"""),1.677676349319E12)</f>
        <v>1677676349319</v>
      </c>
      <c r="H1401" s="26">
        <f t="shared" si="1"/>
        <v>151520</v>
      </c>
    </row>
    <row r="1402">
      <c r="F1402" s="26">
        <f>IFERROR(__xludf.DUMMYFUNCTION("""COMPUTED_VALUE"""),140.0)</f>
        <v>140</v>
      </c>
      <c r="G1402" s="26">
        <f>IFERROR(__xludf.DUMMYFUNCTION("""COMPUTED_VALUE"""),1.677676349325E12)</f>
        <v>1677676349325</v>
      </c>
      <c r="H1402" s="26">
        <f t="shared" si="1"/>
        <v>151526</v>
      </c>
    </row>
    <row r="1403">
      <c r="F1403" s="26">
        <f>IFERROR(__xludf.DUMMYFUNCTION("""COMPUTED_VALUE"""),140.1)</f>
        <v>140.1</v>
      </c>
      <c r="G1403" s="26">
        <f>IFERROR(__xludf.DUMMYFUNCTION("""COMPUTED_VALUE"""),1.67767634933E12)</f>
        <v>1677676349330</v>
      </c>
      <c r="H1403" s="26">
        <f t="shared" si="1"/>
        <v>151531</v>
      </c>
    </row>
    <row r="1404">
      <c r="F1404" s="26">
        <f>IFERROR(__xludf.DUMMYFUNCTION("""COMPUTED_VALUE"""),140.2)</f>
        <v>140.2</v>
      </c>
      <c r="G1404" s="26">
        <f>IFERROR(__xludf.DUMMYFUNCTION("""COMPUTED_VALUE"""),1.677676349337E12)</f>
        <v>1677676349337</v>
      </c>
      <c r="H1404" s="26">
        <f t="shared" si="1"/>
        <v>151538</v>
      </c>
    </row>
    <row r="1405">
      <c r="F1405" s="26">
        <f>IFERROR(__xludf.DUMMYFUNCTION("""COMPUTED_VALUE"""),140.3)</f>
        <v>140.3</v>
      </c>
      <c r="G1405" s="26">
        <f>IFERROR(__xludf.DUMMYFUNCTION("""COMPUTED_VALUE"""),1.677676349343E12)</f>
        <v>1677676349343</v>
      </c>
      <c r="H1405" s="26">
        <f t="shared" si="1"/>
        <v>151544</v>
      </c>
    </row>
    <row r="1406">
      <c r="F1406" s="26">
        <f>IFERROR(__xludf.DUMMYFUNCTION("""COMPUTED_VALUE"""),140.4)</f>
        <v>140.4</v>
      </c>
      <c r="G1406" s="26">
        <f>IFERROR(__xludf.DUMMYFUNCTION("""COMPUTED_VALUE"""),1.67767634935E12)</f>
        <v>1677676349350</v>
      </c>
      <c r="H1406" s="26">
        <f t="shared" si="1"/>
        <v>151551</v>
      </c>
    </row>
    <row r="1407">
      <c r="F1407" s="26">
        <f>IFERROR(__xludf.DUMMYFUNCTION("""COMPUTED_VALUE"""),140.5)</f>
        <v>140.5</v>
      </c>
      <c r="G1407" s="26">
        <f>IFERROR(__xludf.DUMMYFUNCTION("""COMPUTED_VALUE"""),1.677676349355E12)</f>
        <v>1677676349355</v>
      </c>
      <c r="H1407" s="26">
        <f t="shared" si="1"/>
        <v>151556</v>
      </c>
    </row>
    <row r="1408">
      <c r="F1408" s="26">
        <f>IFERROR(__xludf.DUMMYFUNCTION("""COMPUTED_VALUE"""),140.6)</f>
        <v>140.6</v>
      </c>
      <c r="G1408" s="26">
        <f>IFERROR(__xludf.DUMMYFUNCTION("""COMPUTED_VALUE"""),1.677676349361E12)</f>
        <v>1677676349361</v>
      </c>
      <c r="H1408" s="26">
        <f t="shared" si="1"/>
        <v>151562</v>
      </c>
    </row>
    <row r="1409">
      <c r="F1409" s="26">
        <f>IFERROR(__xludf.DUMMYFUNCTION("""COMPUTED_VALUE"""),140.7)</f>
        <v>140.7</v>
      </c>
      <c r="G1409" s="26">
        <f>IFERROR(__xludf.DUMMYFUNCTION("""COMPUTED_VALUE"""),1.677676349369E12)</f>
        <v>1677676349369</v>
      </c>
      <c r="H1409" s="26">
        <f t="shared" si="1"/>
        <v>151570</v>
      </c>
    </row>
    <row r="1410">
      <c r="F1410" s="26">
        <f>IFERROR(__xludf.DUMMYFUNCTION("""COMPUTED_VALUE"""),140.8)</f>
        <v>140.8</v>
      </c>
      <c r="G1410" s="26">
        <f>IFERROR(__xludf.DUMMYFUNCTION("""COMPUTED_VALUE"""),1.677676349375E12)</f>
        <v>1677676349375</v>
      </c>
      <c r="H1410" s="26">
        <f t="shared" si="1"/>
        <v>151576</v>
      </c>
    </row>
    <row r="1411">
      <c r="F1411" s="26">
        <f>IFERROR(__xludf.DUMMYFUNCTION("""COMPUTED_VALUE"""),140.9)</f>
        <v>140.9</v>
      </c>
      <c r="G1411" s="26">
        <f>IFERROR(__xludf.DUMMYFUNCTION("""COMPUTED_VALUE"""),1.677676349381E12)</f>
        <v>1677676349381</v>
      </c>
      <c r="H1411" s="26">
        <f t="shared" si="1"/>
        <v>151582</v>
      </c>
    </row>
    <row r="1412">
      <c r="F1412" s="26">
        <f>IFERROR(__xludf.DUMMYFUNCTION("""COMPUTED_VALUE"""),141.0)</f>
        <v>141</v>
      </c>
      <c r="G1412" s="26">
        <f>IFERROR(__xludf.DUMMYFUNCTION("""COMPUTED_VALUE"""),1.677676349387E12)</f>
        <v>1677676349387</v>
      </c>
      <c r="H1412" s="26">
        <f t="shared" si="1"/>
        <v>151588</v>
      </c>
    </row>
    <row r="1413">
      <c r="F1413" s="26">
        <f>IFERROR(__xludf.DUMMYFUNCTION("""COMPUTED_VALUE"""),141.1)</f>
        <v>141.1</v>
      </c>
      <c r="G1413" s="26">
        <f>IFERROR(__xludf.DUMMYFUNCTION("""COMPUTED_VALUE"""),1.677676349393E12)</f>
        <v>1677676349393</v>
      </c>
      <c r="H1413" s="26">
        <f t="shared" si="1"/>
        <v>151594</v>
      </c>
    </row>
    <row r="1414">
      <c r="F1414" s="26">
        <f>IFERROR(__xludf.DUMMYFUNCTION("""COMPUTED_VALUE"""),141.2)</f>
        <v>141.2</v>
      </c>
      <c r="G1414" s="26">
        <f>IFERROR(__xludf.DUMMYFUNCTION("""COMPUTED_VALUE"""),1.6776763494E12)</f>
        <v>1677676349400</v>
      </c>
      <c r="H1414" s="26">
        <f t="shared" si="1"/>
        <v>151601</v>
      </c>
    </row>
    <row r="1415">
      <c r="F1415" s="26">
        <f>IFERROR(__xludf.DUMMYFUNCTION("""COMPUTED_VALUE"""),141.3)</f>
        <v>141.3</v>
      </c>
      <c r="G1415" s="26">
        <f>IFERROR(__xludf.DUMMYFUNCTION("""COMPUTED_VALUE"""),1.677676349406E12)</f>
        <v>1677676349406</v>
      </c>
      <c r="H1415" s="26">
        <f t="shared" si="1"/>
        <v>151607</v>
      </c>
    </row>
    <row r="1416">
      <c r="F1416" s="26">
        <f>IFERROR(__xludf.DUMMYFUNCTION("""COMPUTED_VALUE"""),141.4)</f>
        <v>141.4</v>
      </c>
      <c r="G1416" s="26">
        <f>IFERROR(__xludf.DUMMYFUNCTION("""COMPUTED_VALUE"""),1.677676349412E12)</f>
        <v>1677676349412</v>
      </c>
      <c r="H1416" s="26">
        <f t="shared" si="1"/>
        <v>151613</v>
      </c>
    </row>
    <row r="1417">
      <c r="F1417" s="26">
        <f>IFERROR(__xludf.DUMMYFUNCTION("""COMPUTED_VALUE"""),141.5)</f>
        <v>141.5</v>
      </c>
      <c r="G1417" s="26">
        <f>IFERROR(__xludf.DUMMYFUNCTION("""COMPUTED_VALUE"""),1.67767634942E12)</f>
        <v>1677676349420</v>
      </c>
      <c r="H1417" s="26">
        <f t="shared" si="1"/>
        <v>151621</v>
      </c>
    </row>
    <row r="1418">
      <c r="F1418" s="26">
        <f>IFERROR(__xludf.DUMMYFUNCTION("""COMPUTED_VALUE"""),141.6)</f>
        <v>141.6</v>
      </c>
      <c r="G1418" s="26">
        <f>IFERROR(__xludf.DUMMYFUNCTION("""COMPUTED_VALUE"""),1.677676349425E12)</f>
        <v>1677676349425</v>
      </c>
      <c r="H1418" s="26">
        <f t="shared" si="1"/>
        <v>151626</v>
      </c>
    </row>
    <row r="1419">
      <c r="F1419" s="26">
        <f>IFERROR(__xludf.DUMMYFUNCTION("""COMPUTED_VALUE"""),141.7)</f>
        <v>141.7</v>
      </c>
      <c r="G1419" s="26">
        <f>IFERROR(__xludf.DUMMYFUNCTION("""COMPUTED_VALUE"""),1.677676349431E12)</f>
        <v>1677676349431</v>
      </c>
      <c r="H1419" s="26">
        <f t="shared" si="1"/>
        <v>151632</v>
      </c>
    </row>
    <row r="1420">
      <c r="F1420" s="26">
        <f>IFERROR(__xludf.DUMMYFUNCTION("""COMPUTED_VALUE"""),141.8)</f>
        <v>141.8</v>
      </c>
      <c r="G1420" s="26">
        <f>IFERROR(__xludf.DUMMYFUNCTION("""COMPUTED_VALUE"""),1.677676349436E12)</f>
        <v>1677676349436</v>
      </c>
      <c r="H1420" s="26">
        <f t="shared" si="1"/>
        <v>151637</v>
      </c>
    </row>
    <row r="1421">
      <c r="F1421" s="26">
        <f>IFERROR(__xludf.DUMMYFUNCTION("""COMPUTED_VALUE"""),141.9)</f>
        <v>141.9</v>
      </c>
      <c r="G1421" s="26">
        <f>IFERROR(__xludf.DUMMYFUNCTION("""COMPUTED_VALUE"""),1.677676349442E12)</f>
        <v>1677676349442</v>
      </c>
      <c r="H1421" s="26">
        <f t="shared" si="1"/>
        <v>151643</v>
      </c>
    </row>
    <row r="1422">
      <c r="F1422" s="26">
        <f>IFERROR(__xludf.DUMMYFUNCTION("""COMPUTED_VALUE"""),142.0)</f>
        <v>142</v>
      </c>
      <c r="G1422" s="26">
        <f>IFERROR(__xludf.DUMMYFUNCTION("""COMPUTED_VALUE"""),1.677676349451E12)</f>
        <v>1677676349451</v>
      </c>
      <c r="H1422" s="26">
        <f t="shared" si="1"/>
        <v>151652</v>
      </c>
    </row>
    <row r="1423">
      <c r="F1423" s="26">
        <f>IFERROR(__xludf.DUMMYFUNCTION("""COMPUTED_VALUE"""),142.1)</f>
        <v>142.1</v>
      </c>
      <c r="G1423" s="26">
        <f>IFERROR(__xludf.DUMMYFUNCTION("""COMPUTED_VALUE"""),1.677676349458E12)</f>
        <v>1677676349458</v>
      </c>
      <c r="H1423" s="26">
        <f t="shared" si="1"/>
        <v>151659</v>
      </c>
    </row>
    <row r="1424">
      <c r="F1424" s="26">
        <f>IFERROR(__xludf.DUMMYFUNCTION("""COMPUTED_VALUE"""),142.2)</f>
        <v>142.2</v>
      </c>
      <c r="G1424" s="26">
        <f>IFERROR(__xludf.DUMMYFUNCTION("""COMPUTED_VALUE"""),1.677676349463E12)</f>
        <v>1677676349463</v>
      </c>
      <c r="H1424" s="26">
        <f t="shared" si="1"/>
        <v>151664</v>
      </c>
    </row>
    <row r="1425">
      <c r="F1425" s="26">
        <f>IFERROR(__xludf.DUMMYFUNCTION("""COMPUTED_VALUE"""),142.3)</f>
        <v>142.3</v>
      </c>
      <c r="G1425" s="26">
        <f>IFERROR(__xludf.DUMMYFUNCTION("""COMPUTED_VALUE"""),1.677676349469E12)</f>
        <v>1677676349469</v>
      </c>
      <c r="H1425" s="26">
        <f t="shared" si="1"/>
        <v>151670</v>
      </c>
    </row>
    <row r="1426">
      <c r="F1426" s="26">
        <f>IFERROR(__xludf.DUMMYFUNCTION("""COMPUTED_VALUE"""),142.4)</f>
        <v>142.4</v>
      </c>
      <c r="G1426" s="26">
        <f>IFERROR(__xludf.DUMMYFUNCTION("""COMPUTED_VALUE"""),1.677676349476E12)</f>
        <v>1677676349476</v>
      </c>
      <c r="H1426" s="26">
        <f t="shared" si="1"/>
        <v>151677</v>
      </c>
    </row>
    <row r="1427">
      <c r="F1427" s="26">
        <f>IFERROR(__xludf.DUMMYFUNCTION("""COMPUTED_VALUE"""),142.5)</f>
        <v>142.5</v>
      </c>
      <c r="G1427" s="26">
        <f>IFERROR(__xludf.DUMMYFUNCTION("""COMPUTED_VALUE"""),1.677676349481E12)</f>
        <v>1677676349481</v>
      </c>
      <c r="H1427" s="26">
        <f t="shared" si="1"/>
        <v>151682</v>
      </c>
    </row>
    <row r="1428">
      <c r="F1428" s="26">
        <f>IFERROR(__xludf.DUMMYFUNCTION("""COMPUTED_VALUE"""),142.6)</f>
        <v>142.6</v>
      </c>
      <c r="G1428" s="26">
        <f>IFERROR(__xludf.DUMMYFUNCTION("""COMPUTED_VALUE"""),1.677676349486E12)</f>
        <v>1677676349486</v>
      </c>
      <c r="H1428" s="26">
        <f t="shared" si="1"/>
        <v>151687</v>
      </c>
    </row>
    <row r="1429">
      <c r="F1429" s="26">
        <f>IFERROR(__xludf.DUMMYFUNCTION("""COMPUTED_VALUE"""),142.7)</f>
        <v>142.7</v>
      </c>
      <c r="G1429" s="26">
        <f>IFERROR(__xludf.DUMMYFUNCTION("""COMPUTED_VALUE"""),1.677676349492E12)</f>
        <v>1677676349492</v>
      </c>
      <c r="H1429" s="26">
        <f t="shared" si="1"/>
        <v>151693</v>
      </c>
    </row>
    <row r="1430">
      <c r="F1430" s="26">
        <f>IFERROR(__xludf.DUMMYFUNCTION("""COMPUTED_VALUE"""),142.8)</f>
        <v>142.8</v>
      </c>
      <c r="G1430" s="26">
        <f>IFERROR(__xludf.DUMMYFUNCTION("""COMPUTED_VALUE"""),1.6776763495E12)</f>
        <v>1677676349500</v>
      </c>
      <c r="H1430" s="26">
        <f t="shared" si="1"/>
        <v>151701</v>
      </c>
    </row>
    <row r="1431">
      <c r="F1431" s="26">
        <f>IFERROR(__xludf.DUMMYFUNCTION("""COMPUTED_VALUE"""),142.9)</f>
        <v>142.9</v>
      </c>
      <c r="G1431" s="26">
        <f>IFERROR(__xludf.DUMMYFUNCTION("""COMPUTED_VALUE"""),1.677676349505E12)</f>
        <v>1677676349505</v>
      </c>
      <c r="H1431" s="26">
        <f t="shared" si="1"/>
        <v>151706</v>
      </c>
    </row>
    <row r="1432">
      <c r="F1432" s="26">
        <f>IFERROR(__xludf.DUMMYFUNCTION("""COMPUTED_VALUE"""),143.0)</f>
        <v>143</v>
      </c>
      <c r="G1432" s="26">
        <f>IFERROR(__xludf.DUMMYFUNCTION("""COMPUTED_VALUE"""),1.677676349511E12)</f>
        <v>1677676349511</v>
      </c>
      <c r="H1432" s="26">
        <f t="shared" si="1"/>
        <v>151712</v>
      </c>
    </row>
    <row r="1433">
      <c r="F1433" s="26">
        <f>IFERROR(__xludf.DUMMYFUNCTION("""COMPUTED_VALUE"""),143.1)</f>
        <v>143.1</v>
      </c>
      <c r="G1433" s="26">
        <f>IFERROR(__xludf.DUMMYFUNCTION("""COMPUTED_VALUE"""),1.677676349516E12)</f>
        <v>1677676349516</v>
      </c>
      <c r="H1433" s="26">
        <f t="shared" si="1"/>
        <v>151717</v>
      </c>
    </row>
    <row r="1434">
      <c r="F1434" s="26">
        <f>IFERROR(__xludf.DUMMYFUNCTION("""COMPUTED_VALUE"""),143.2)</f>
        <v>143.2</v>
      </c>
      <c r="G1434" s="26">
        <f>IFERROR(__xludf.DUMMYFUNCTION("""COMPUTED_VALUE"""),1.677676349522E12)</f>
        <v>1677676349522</v>
      </c>
      <c r="H1434" s="26">
        <f t="shared" si="1"/>
        <v>151723</v>
      </c>
    </row>
    <row r="1435">
      <c r="F1435" s="26">
        <f>IFERROR(__xludf.DUMMYFUNCTION("""COMPUTED_VALUE"""),143.3)</f>
        <v>143.3</v>
      </c>
      <c r="G1435" s="26">
        <f>IFERROR(__xludf.DUMMYFUNCTION("""COMPUTED_VALUE"""),1.67767634953E12)</f>
        <v>1677676349530</v>
      </c>
      <c r="H1435" s="26">
        <f t="shared" si="1"/>
        <v>151731</v>
      </c>
    </row>
    <row r="1436">
      <c r="F1436" s="26">
        <f>IFERROR(__xludf.DUMMYFUNCTION("""COMPUTED_VALUE"""),143.4)</f>
        <v>143.4</v>
      </c>
      <c r="G1436" s="26">
        <f>IFERROR(__xludf.DUMMYFUNCTION("""COMPUTED_VALUE"""),1.677676349534E12)</f>
        <v>1677676349534</v>
      </c>
      <c r="H1436" s="26">
        <f t="shared" si="1"/>
        <v>151735</v>
      </c>
    </row>
    <row r="1437">
      <c r="F1437" s="26">
        <f>IFERROR(__xludf.DUMMYFUNCTION("""COMPUTED_VALUE"""),143.5)</f>
        <v>143.5</v>
      </c>
      <c r="G1437" s="26">
        <f>IFERROR(__xludf.DUMMYFUNCTION("""COMPUTED_VALUE"""),1.67767634954E12)</f>
        <v>1677676349540</v>
      </c>
      <c r="H1437" s="26">
        <f t="shared" si="1"/>
        <v>151741</v>
      </c>
    </row>
    <row r="1438">
      <c r="F1438" s="26">
        <f>IFERROR(__xludf.DUMMYFUNCTION("""COMPUTED_VALUE"""),143.6)</f>
        <v>143.6</v>
      </c>
      <c r="G1438" s="26">
        <f>IFERROR(__xludf.DUMMYFUNCTION("""COMPUTED_VALUE"""),1.677676349547E12)</f>
        <v>1677676349547</v>
      </c>
      <c r="H1438" s="26">
        <f t="shared" si="1"/>
        <v>151748</v>
      </c>
    </row>
    <row r="1439">
      <c r="F1439" s="26">
        <f>IFERROR(__xludf.DUMMYFUNCTION("""COMPUTED_VALUE"""),143.7)</f>
        <v>143.7</v>
      </c>
      <c r="G1439" s="26">
        <f>IFERROR(__xludf.DUMMYFUNCTION("""COMPUTED_VALUE"""),1.677676349554E12)</f>
        <v>1677676349554</v>
      </c>
      <c r="H1439" s="26">
        <f t="shared" si="1"/>
        <v>151755</v>
      </c>
    </row>
    <row r="1440">
      <c r="F1440" s="26">
        <f>IFERROR(__xludf.DUMMYFUNCTION("""COMPUTED_VALUE"""),143.8)</f>
        <v>143.8</v>
      </c>
      <c r="G1440" s="26">
        <f>IFERROR(__xludf.DUMMYFUNCTION("""COMPUTED_VALUE"""),1.677676349559E12)</f>
        <v>1677676349559</v>
      </c>
      <c r="H1440" s="26">
        <f t="shared" si="1"/>
        <v>151760</v>
      </c>
    </row>
    <row r="1441">
      <c r="F1441" s="26">
        <f>IFERROR(__xludf.DUMMYFUNCTION("""COMPUTED_VALUE"""),143.9)</f>
        <v>143.9</v>
      </c>
      <c r="G1441" s="26">
        <f>IFERROR(__xludf.DUMMYFUNCTION("""COMPUTED_VALUE"""),1.677676349566E12)</f>
        <v>1677676349566</v>
      </c>
      <c r="H1441" s="26">
        <f t="shared" si="1"/>
        <v>151767</v>
      </c>
    </row>
    <row r="1442">
      <c r="F1442" s="26">
        <f>IFERROR(__xludf.DUMMYFUNCTION("""COMPUTED_VALUE"""),144.0)</f>
        <v>144</v>
      </c>
      <c r="G1442" s="26">
        <f>IFERROR(__xludf.DUMMYFUNCTION("""COMPUTED_VALUE"""),1.677676349571E12)</f>
        <v>1677676349571</v>
      </c>
      <c r="H1442" s="26">
        <f t="shared" si="1"/>
        <v>151772</v>
      </c>
    </row>
    <row r="1443">
      <c r="F1443" s="26">
        <f>IFERROR(__xludf.DUMMYFUNCTION("""COMPUTED_VALUE"""),144.1)</f>
        <v>144.1</v>
      </c>
      <c r="G1443" s="26">
        <f>IFERROR(__xludf.DUMMYFUNCTION("""COMPUTED_VALUE"""),1.67767634958E12)</f>
        <v>1677676349580</v>
      </c>
      <c r="H1443" s="26">
        <f t="shared" si="1"/>
        <v>151781</v>
      </c>
    </row>
    <row r="1444">
      <c r="F1444" s="26">
        <f>IFERROR(__xludf.DUMMYFUNCTION("""COMPUTED_VALUE"""),144.2)</f>
        <v>144.2</v>
      </c>
      <c r="G1444" s="26">
        <f>IFERROR(__xludf.DUMMYFUNCTION("""COMPUTED_VALUE"""),1.677676349586E12)</f>
        <v>1677676349586</v>
      </c>
      <c r="H1444" s="26">
        <f t="shared" si="1"/>
        <v>151787</v>
      </c>
    </row>
    <row r="1445">
      <c r="F1445" s="26">
        <f>IFERROR(__xludf.DUMMYFUNCTION("""COMPUTED_VALUE"""),144.3)</f>
        <v>144.3</v>
      </c>
      <c r="G1445" s="26">
        <f>IFERROR(__xludf.DUMMYFUNCTION("""COMPUTED_VALUE"""),1.677676349591E12)</f>
        <v>1677676349591</v>
      </c>
      <c r="H1445" s="26">
        <f t="shared" si="1"/>
        <v>151792</v>
      </c>
    </row>
    <row r="1446">
      <c r="F1446" s="26">
        <f>IFERROR(__xludf.DUMMYFUNCTION("""COMPUTED_VALUE"""),144.4)</f>
        <v>144.4</v>
      </c>
      <c r="G1446" s="26">
        <f>IFERROR(__xludf.DUMMYFUNCTION("""COMPUTED_VALUE"""),1.677676349597E12)</f>
        <v>1677676349597</v>
      </c>
      <c r="H1446" s="26">
        <f t="shared" si="1"/>
        <v>151798</v>
      </c>
    </row>
    <row r="1447">
      <c r="F1447" s="26">
        <f>IFERROR(__xludf.DUMMYFUNCTION("""COMPUTED_VALUE"""),144.5)</f>
        <v>144.5</v>
      </c>
      <c r="G1447" s="26">
        <f>IFERROR(__xludf.DUMMYFUNCTION("""COMPUTED_VALUE"""),1.677676349603E12)</f>
        <v>1677676349603</v>
      </c>
      <c r="H1447" s="26">
        <f t="shared" si="1"/>
        <v>151804</v>
      </c>
    </row>
    <row r="1448">
      <c r="F1448" s="26">
        <f>IFERROR(__xludf.DUMMYFUNCTION("""COMPUTED_VALUE"""),144.6)</f>
        <v>144.6</v>
      </c>
      <c r="G1448" s="26">
        <f>IFERROR(__xludf.DUMMYFUNCTION("""COMPUTED_VALUE"""),1.677676349609E12)</f>
        <v>1677676349609</v>
      </c>
      <c r="H1448" s="26">
        <f t="shared" si="1"/>
        <v>151810</v>
      </c>
    </row>
    <row r="1449">
      <c r="F1449" s="26">
        <f>IFERROR(__xludf.DUMMYFUNCTION("""COMPUTED_VALUE"""),144.7)</f>
        <v>144.7</v>
      </c>
      <c r="G1449" s="26">
        <f>IFERROR(__xludf.DUMMYFUNCTION("""COMPUTED_VALUE"""),1.677676349615E12)</f>
        <v>1677676349615</v>
      </c>
      <c r="H1449" s="26">
        <f t="shared" si="1"/>
        <v>151816</v>
      </c>
    </row>
    <row r="1450">
      <c r="F1450" s="26">
        <f>IFERROR(__xludf.DUMMYFUNCTION("""COMPUTED_VALUE"""),144.8)</f>
        <v>144.8</v>
      </c>
      <c r="G1450" s="26">
        <f>IFERROR(__xludf.DUMMYFUNCTION("""COMPUTED_VALUE"""),1.67767634962E12)</f>
        <v>1677676349620</v>
      </c>
      <c r="H1450" s="26">
        <f t="shared" si="1"/>
        <v>151821</v>
      </c>
    </row>
    <row r="1451">
      <c r="F1451" s="26">
        <f>IFERROR(__xludf.DUMMYFUNCTION("""COMPUTED_VALUE"""),144.9)</f>
        <v>144.9</v>
      </c>
      <c r="G1451" s="26">
        <f>IFERROR(__xludf.DUMMYFUNCTION("""COMPUTED_VALUE"""),1.677676349626E12)</f>
        <v>1677676349626</v>
      </c>
      <c r="H1451" s="26">
        <f t="shared" si="1"/>
        <v>151827</v>
      </c>
    </row>
    <row r="1452">
      <c r="F1452" s="26">
        <f>IFERROR(__xludf.DUMMYFUNCTION("""COMPUTED_VALUE"""),145.0)</f>
        <v>145</v>
      </c>
      <c r="G1452" s="26">
        <f>IFERROR(__xludf.DUMMYFUNCTION("""COMPUTED_VALUE"""),1.677676349631E12)</f>
        <v>1677676349631</v>
      </c>
      <c r="H1452" s="26">
        <f t="shared" si="1"/>
        <v>151832</v>
      </c>
    </row>
    <row r="1453">
      <c r="F1453" s="26">
        <f>IFERROR(__xludf.DUMMYFUNCTION("""COMPUTED_VALUE"""),145.1)</f>
        <v>145.1</v>
      </c>
      <c r="G1453" s="26">
        <f>IFERROR(__xludf.DUMMYFUNCTION("""COMPUTED_VALUE"""),1.677676349638E12)</f>
        <v>1677676349638</v>
      </c>
      <c r="H1453" s="26">
        <f t="shared" si="1"/>
        <v>151839</v>
      </c>
    </row>
    <row r="1454">
      <c r="F1454" s="26">
        <f>IFERROR(__xludf.DUMMYFUNCTION("""COMPUTED_VALUE"""),145.2)</f>
        <v>145.2</v>
      </c>
      <c r="G1454" s="26">
        <f>IFERROR(__xludf.DUMMYFUNCTION("""COMPUTED_VALUE"""),1.677676349643E12)</f>
        <v>1677676349643</v>
      </c>
      <c r="H1454" s="26">
        <f t="shared" si="1"/>
        <v>151844</v>
      </c>
    </row>
    <row r="1455">
      <c r="F1455" s="26">
        <f>IFERROR(__xludf.DUMMYFUNCTION("""COMPUTED_VALUE"""),145.3)</f>
        <v>145.3</v>
      </c>
      <c r="G1455" s="26">
        <f>IFERROR(__xludf.DUMMYFUNCTION("""COMPUTED_VALUE"""),1.677676349651E12)</f>
        <v>1677676349651</v>
      </c>
      <c r="H1455" s="26">
        <f t="shared" si="1"/>
        <v>151852</v>
      </c>
    </row>
    <row r="1456">
      <c r="F1456" s="26">
        <f>IFERROR(__xludf.DUMMYFUNCTION("""COMPUTED_VALUE"""),145.4)</f>
        <v>145.4</v>
      </c>
      <c r="G1456" s="26">
        <f>IFERROR(__xludf.DUMMYFUNCTION("""COMPUTED_VALUE"""),1.677676349656E12)</f>
        <v>1677676349656</v>
      </c>
      <c r="H1456" s="26">
        <f t="shared" si="1"/>
        <v>151857</v>
      </c>
    </row>
    <row r="1457">
      <c r="F1457" s="26">
        <f>IFERROR(__xludf.DUMMYFUNCTION("""COMPUTED_VALUE"""),145.5)</f>
        <v>145.5</v>
      </c>
      <c r="G1457" s="26">
        <f>IFERROR(__xludf.DUMMYFUNCTION("""COMPUTED_VALUE"""),1.677676349661E12)</f>
        <v>1677676349661</v>
      </c>
      <c r="H1457" s="26">
        <f t="shared" si="1"/>
        <v>151862</v>
      </c>
    </row>
    <row r="1458">
      <c r="F1458" s="26">
        <f>IFERROR(__xludf.DUMMYFUNCTION("""COMPUTED_VALUE"""),145.6)</f>
        <v>145.6</v>
      </c>
      <c r="G1458" s="26">
        <f>IFERROR(__xludf.DUMMYFUNCTION("""COMPUTED_VALUE"""),1.67767634967E12)</f>
        <v>1677676349670</v>
      </c>
      <c r="H1458" s="26">
        <f t="shared" si="1"/>
        <v>151871</v>
      </c>
    </row>
    <row r="1459">
      <c r="F1459" s="26">
        <f>IFERROR(__xludf.DUMMYFUNCTION("""COMPUTED_VALUE"""),145.7)</f>
        <v>145.7</v>
      </c>
      <c r="G1459" s="26">
        <f>IFERROR(__xludf.DUMMYFUNCTION("""COMPUTED_VALUE"""),1.677676349676E12)</f>
        <v>1677676349676</v>
      </c>
      <c r="H1459" s="26">
        <f t="shared" si="1"/>
        <v>151877</v>
      </c>
    </row>
    <row r="1460">
      <c r="F1460" s="26">
        <f>IFERROR(__xludf.DUMMYFUNCTION("""COMPUTED_VALUE"""),145.8)</f>
        <v>145.8</v>
      </c>
      <c r="G1460" s="26">
        <f>IFERROR(__xludf.DUMMYFUNCTION("""COMPUTED_VALUE"""),1.677676349681E12)</f>
        <v>1677676349681</v>
      </c>
      <c r="H1460" s="26">
        <f t="shared" si="1"/>
        <v>151882</v>
      </c>
    </row>
    <row r="1461">
      <c r="F1461" s="26">
        <f>IFERROR(__xludf.DUMMYFUNCTION("""COMPUTED_VALUE"""),145.9)</f>
        <v>145.9</v>
      </c>
      <c r="G1461" s="26">
        <f>IFERROR(__xludf.DUMMYFUNCTION("""COMPUTED_VALUE"""),1.677676349696E12)</f>
        <v>1677676349696</v>
      </c>
      <c r="H1461" s="26">
        <f t="shared" si="1"/>
        <v>151897</v>
      </c>
    </row>
    <row r="1462">
      <c r="F1462" s="26">
        <f>IFERROR(__xludf.DUMMYFUNCTION("""COMPUTED_VALUE"""),146.0)</f>
        <v>146</v>
      </c>
      <c r="G1462" s="26">
        <f>IFERROR(__xludf.DUMMYFUNCTION("""COMPUTED_VALUE"""),1.677676349701E12)</f>
        <v>1677676349701</v>
      </c>
      <c r="H1462" s="26">
        <f t="shared" si="1"/>
        <v>151902</v>
      </c>
    </row>
    <row r="1463">
      <c r="F1463" s="26">
        <f>IFERROR(__xludf.DUMMYFUNCTION("""COMPUTED_VALUE"""),146.1)</f>
        <v>146.1</v>
      </c>
      <c r="G1463" s="26">
        <f>IFERROR(__xludf.DUMMYFUNCTION("""COMPUTED_VALUE"""),1.677676349708E12)</f>
        <v>1677676349708</v>
      </c>
      <c r="H1463" s="26">
        <f t="shared" si="1"/>
        <v>151909</v>
      </c>
    </row>
    <row r="1464">
      <c r="F1464" s="26">
        <f>IFERROR(__xludf.DUMMYFUNCTION("""COMPUTED_VALUE"""),146.2)</f>
        <v>146.2</v>
      </c>
      <c r="G1464" s="26">
        <f>IFERROR(__xludf.DUMMYFUNCTION("""COMPUTED_VALUE"""),1.677676349714E12)</f>
        <v>1677676349714</v>
      </c>
      <c r="H1464" s="26">
        <f t="shared" si="1"/>
        <v>151915</v>
      </c>
    </row>
    <row r="1465">
      <c r="F1465" s="26">
        <f>IFERROR(__xludf.DUMMYFUNCTION("""COMPUTED_VALUE"""),146.3)</f>
        <v>146.3</v>
      </c>
      <c r="G1465" s="26">
        <f>IFERROR(__xludf.DUMMYFUNCTION("""COMPUTED_VALUE"""),1.67767634972E12)</f>
        <v>1677676349720</v>
      </c>
      <c r="H1465" s="26">
        <f t="shared" si="1"/>
        <v>151921</v>
      </c>
    </row>
    <row r="1466">
      <c r="F1466" s="26">
        <f>IFERROR(__xludf.DUMMYFUNCTION("""COMPUTED_VALUE"""),146.4)</f>
        <v>146.4</v>
      </c>
      <c r="G1466" s="26">
        <f>IFERROR(__xludf.DUMMYFUNCTION("""COMPUTED_VALUE"""),1.677676349724E12)</f>
        <v>1677676349724</v>
      </c>
      <c r="H1466" s="26">
        <f t="shared" si="1"/>
        <v>151925</v>
      </c>
    </row>
    <row r="1467">
      <c r="F1467" s="26">
        <f>IFERROR(__xludf.DUMMYFUNCTION("""COMPUTED_VALUE"""),146.5)</f>
        <v>146.5</v>
      </c>
      <c r="G1467" s="26">
        <f>IFERROR(__xludf.DUMMYFUNCTION("""COMPUTED_VALUE"""),1.67767634973E12)</f>
        <v>1677676349730</v>
      </c>
      <c r="H1467" s="26">
        <f t="shared" si="1"/>
        <v>151931</v>
      </c>
    </row>
    <row r="1468">
      <c r="F1468" s="26">
        <f>IFERROR(__xludf.DUMMYFUNCTION("""COMPUTED_VALUE"""),146.6)</f>
        <v>146.6</v>
      </c>
      <c r="G1468" s="26">
        <f>IFERROR(__xludf.DUMMYFUNCTION("""COMPUTED_VALUE"""),1.677676349735E12)</f>
        <v>1677676349735</v>
      </c>
      <c r="H1468" s="26">
        <f t="shared" si="1"/>
        <v>151936</v>
      </c>
    </row>
    <row r="1469">
      <c r="F1469" s="26">
        <f>IFERROR(__xludf.DUMMYFUNCTION("""COMPUTED_VALUE"""),146.7)</f>
        <v>146.7</v>
      </c>
      <c r="G1469" s="26">
        <f>IFERROR(__xludf.DUMMYFUNCTION("""COMPUTED_VALUE"""),1.677676349742E12)</f>
        <v>1677676349742</v>
      </c>
      <c r="H1469" s="26">
        <f t="shared" si="1"/>
        <v>151943</v>
      </c>
    </row>
    <row r="1470">
      <c r="F1470" s="26">
        <f>IFERROR(__xludf.DUMMYFUNCTION("""COMPUTED_VALUE"""),146.8)</f>
        <v>146.8</v>
      </c>
      <c r="G1470" s="26">
        <f>IFERROR(__xludf.DUMMYFUNCTION("""COMPUTED_VALUE"""),1.677676349751E12)</f>
        <v>1677676349751</v>
      </c>
      <c r="H1470" s="26">
        <f t="shared" si="1"/>
        <v>151952</v>
      </c>
    </row>
    <row r="1471">
      <c r="F1471" s="26">
        <f>IFERROR(__xludf.DUMMYFUNCTION("""COMPUTED_VALUE"""),146.9)</f>
        <v>146.9</v>
      </c>
      <c r="G1471" s="26">
        <f>IFERROR(__xludf.DUMMYFUNCTION("""COMPUTED_VALUE"""),1.677676349759E12)</f>
        <v>1677676349759</v>
      </c>
      <c r="H1471" s="26">
        <f t="shared" si="1"/>
        <v>151960</v>
      </c>
    </row>
    <row r="1472">
      <c r="F1472" s="26">
        <f>IFERROR(__xludf.DUMMYFUNCTION("""COMPUTED_VALUE"""),147.0)</f>
        <v>147</v>
      </c>
      <c r="G1472" s="26">
        <f>IFERROR(__xludf.DUMMYFUNCTION("""COMPUTED_VALUE"""),1.677676349765E12)</f>
        <v>1677676349765</v>
      </c>
      <c r="H1472" s="26">
        <f t="shared" si="1"/>
        <v>151966</v>
      </c>
    </row>
    <row r="1473">
      <c r="F1473" s="26">
        <f>IFERROR(__xludf.DUMMYFUNCTION("""COMPUTED_VALUE"""),147.1)</f>
        <v>147.1</v>
      </c>
      <c r="G1473" s="26">
        <f>IFERROR(__xludf.DUMMYFUNCTION("""COMPUTED_VALUE"""),1.67767634977E12)</f>
        <v>1677676349770</v>
      </c>
      <c r="H1473" s="26">
        <f t="shared" si="1"/>
        <v>151971</v>
      </c>
    </row>
    <row r="1474">
      <c r="F1474" s="26">
        <f>IFERROR(__xludf.DUMMYFUNCTION("""COMPUTED_VALUE"""),147.2)</f>
        <v>147.2</v>
      </c>
      <c r="G1474" s="26">
        <f>IFERROR(__xludf.DUMMYFUNCTION("""COMPUTED_VALUE"""),1.677676349777E12)</f>
        <v>1677676349777</v>
      </c>
      <c r="H1474" s="26">
        <f t="shared" si="1"/>
        <v>151978</v>
      </c>
    </row>
    <row r="1475">
      <c r="F1475" s="26">
        <f>IFERROR(__xludf.DUMMYFUNCTION("""COMPUTED_VALUE"""),147.3)</f>
        <v>147.3</v>
      </c>
      <c r="G1475" s="26">
        <f>IFERROR(__xludf.DUMMYFUNCTION("""COMPUTED_VALUE"""),1.677676349783E12)</f>
        <v>1677676349783</v>
      </c>
      <c r="H1475" s="26">
        <f t="shared" si="1"/>
        <v>151984</v>
      </c>
    </row>
    <row r="1476">
      <c r="F1476" s="26">
        <f>IFERROR(__xludf.DUMMYFUNCTION("""COMPUTED_VALUE"""),147.4)</f>
        <v>147.4</v>
      </c>
      <c r="G1476" s="26">
        <f>IFERROR(__xludf.DUMMYFUNCTION("""COMPUTED_VALUE"""),1.677676349789E12)</f>
        <v>1677676349789</v>
      </c>
      <c r="H1476" s="26">
        <f t="shared" si="1"/>
        <v>151990</v>
      </c>
    </row>
    <row r="1477">
      <c r="F1477" s="26">
        <f>IFERROR(__xludf.DUMMYFUNCTION("""COMPUTED_VALUE"""),147.5)</f>
        <v>147.5</v>
      </c>
      <c r="G1477" s="26">
        <f>IFERROR(__xludf.DUMMYFUNCTION("""COMPUTED_VALUE"""),1.677676349795E12)</f>
        <v>1677676349795</v>
      </c>
      <c r="H1477" s="26">
        <f t="shared" si="1"/>
        <v>151996</v>
      </c>
    </row>
    <row r="1478">
      <c r="F1478" s="26">
        <f>IFERROR(__xludf.DUMMYFUNCTION("""COMPUTED_VALUE"""),147.6)</f>
        <v>147.6</v>
      </c>
      <c r="G1478" s="26">
        <f>IFERROR(__xludf.DUMMYFUNCTION("""COMPUTED_VALUE"""),1.677676349802E12)</f>
        <v>1677676349802</v>
      </c>
      <c r="H1478" s="26">
        <f t="shared" si="1"/>
        <v>152003</v>
      </c>
    </row>
    <row r="1479">
      <c r="F1479" s="26">
        <f>IFERROR(__xludf.DUMMYFUNCTION("""COMPUTED_VALUE"""),147.7)</f>
        <v>147.7</v>
      </c>
      <c r="G1479" s="26">
        <f>IFERROR(__xludf.DUMMYFUNCTION("""COMPUTED_VALUE"""),1.677676349808E12)</f>
        <v>1677676349808</v>
      </c>
      <c r="H1479" s="26">
        <f t="shared" si="1"/>
        <v>152009</v>
      </c>
    </row>
    <row r="1480">
      <c r="F1480" s="26">
        <f>IFERROR(__xludf.DUMMYFUNCTION("""COMPUTED_VALUE"""),147.8)</f>
        <v>147.8</v>
      </c>
      <c r="G1480" s="26">
        <f>IFERROR(__xludf.DUMMYFUNCTION("""COMPUTED_VALUE"""),1.677676349814E12)</f>
        <v>1677676349814</v>
      </c>
      <c r="H1480" s="26">
        <f t="shared" si="1"/>
        <v>152015</v>
      </c>
    </row>
    <row r="1481">
      <c r="F1481" s="26">
        <f>IFERROR(__xludf.DUMMYFUNCTION("""COMPUTED_VALUE"""),147.9)</f>
        <v>147.9</v>
      </c>
      <c r="G1481" s="26">
        <f>IFERROR(__xludf.DUMMYFUNCTION("""COMPUTED_VALUE"""),1.677676349821E12)</f>
        <v>1677676349821</v>
      </c>
      <c r="H1481" s="26">
        <f t="shared" si="1"/>
        <v>152022</v>
      </c>
    </row>
    <row r="1482">
      <c r="F1482" s="26">
        <f>IFERROR(__xludf.DUMMYFUNCTION("""COMPUTED_VALUE"""),148.0)</f>
        <v>148</v>
      </c>
      <c r="G1482" s="26">
        <f>IFERROR(__xludf.DUMMYFUNCTION("""COMPUTED_VALUE"""),1.677676349827E12)</f>
        <v>1677676349827</v>
      </c>
      <c r="H1482" s="26">
        <f t="shared" si="1"/>
        <v>152028</v>
      </c>
    </row>
    <row r="1483">
      <c r="F1483" s="26">
        <f>IFERROR(__xludf.DUMMYFUNCTION("""COMPUTED_VALUE"""),148.1)</f>
        <v>148.1</v>
      </c>
      <c r="G1483" s="26">
        <f>IFERROR(__xludf.DUMMYFUNCTION("""COMPUTED_VALUE"""),1.677676349833E12)</f>
        <v>1677676349833</v>
      </c>
      <c r="H1483" s="26">
        <f t="shared" si="1"/>
        <v>152034</v>
      </c>
    </row>
    <row r="1484">
      <c r="F1484" s="26">
        <f>IFERROR(__xludf.DUMMYFUNCTION("""COMPUTED_VALUE"""),148.2)</f>
        <v>148.2</v>
      </c>
      <c r="G1484" s="26">
        <f>IFERROR(__xludf.DUMMYFUNCTION("""COMPUTED_VALUE"""),1.677676349841E12)</f>
        <v>1677676349841</v>
      </c>
      <c r="H1484" s="26">
        <f t="shared" si="1"/>
        <v>152042</v>
      </c>
    </row>
    <row r="1485">
      <c r="F1485" s="26">
        <f>IFERROR(__xludf.DUMMYFUNCTION("""COMPUTED_VALUE"""),148.3)</f>
        <v>148.3</v>
      </c>
      <c r="G1485" s="26">
        <f>IFERROR(__xludf.DUMMYFUNCTION("""COMPUTED_VALUE"""),1.677676349844E12)</f>
        <v>1677676349844</v>
      </c>
      <c r="H1485" s="26">
        <f t="shared" si="1"/>
        <v>152045</v>
      </c>
    </row>
    <row r="1486">
      <c r="F1486" s="26">
        <f>IFERROR(__xludf.DUMMYFUNCTION("""COMPUTED_VALUE"""),148.4)</f>
        <v>148.4</v>
      </c>
      <c r="G1486" s="26">
        <f>IFERROR(__xludf.DUMMYFUNCTION("""COMPUTED_VALUE"""),1.677676349851E12)</f>
        <v>1677676349851</v>
      </c>
      <c r="H1486" s="26">
        <f t="shared" si="1"/>
        <v>152052</v>
      </c>
    </row>
    <row r="1487">
      <c r="F1487" s="26">
        <f>IFERROR(__xludf.DUMMYFUNCTION("""COMPUTED_VALUE"""),148.5)</f>
        <v>148.5</v>
      </c>
      <c r="G1487" s="26">
        <f>IFERROR(__xludf.DUMMYFUNCTION("""COMPUTED_VALUE"""),1.677676349859E12)</f>
        <v>1677676349859</v>
      </c>
      <c r="H1487" s="26">
        <f t="shared" si="1"/>
        <v>152060</v>
      </c>
    </row>
    <row r="1488">
      <c r="F1488" s="26">
        <f>IFERROR(__xludf.DUMMYFUNCTION("""COMPUTED_VALUE"""),148.6)</f>
        <v>148.6</v>
      </c>
      <c r="G1488" s="26">
        <f>IFERROR(__xludf.DUMMYFUNCTION("""COMPUTED_VALUE"""),1.677676349863E12)</f>
        <v>1677676349863</v>
      </c>
      <c r="H1488" s="26">
        <f t="shared" si="1"/>
        <v>152064</v>
      </c>
    </row>
    <row r="1489">
      <c r="F1489" s="26">
        <f>IFERROR(__xludf.DUMMYFUNCTION("""COMPUTED_VALUE"""),148.7)</f>
        <v>148.7</v>
      </c>
      <c r="G1489" s="26">
        <f>IFERROR(__xludf.DUMMYFUNCTION("""COMPUTED_VALUE"""),1.677676349869E12)</f>
        <v>1677676349869</v>
      </c>
      <c r="H1489" s="26">
        <f t="shared" si="1"/>
        <v>152070</v>
      </c>
    </row>
    <row r="1490">
      <c r="F1490" s="26">
        <f>IFERROR(__xludf.DUMMYFUNCTION("""COMPUTED_VALUE"""),148.8)</f>
        <v>148.8</v>
      </c>
      <c r="G1490" s="26">
        <f>IFERROR(__xludf.DUMMYFUNCTION("""COMPUTED_VALUE"""),1.677676349874E12)</f>
        <v>1677676349874</v>
      </c>
      <c r="H1490" s="26">
        <f t="shared" si="1"/>
        <v>152075</v>
      </c>
    </row>
    <row r="1491">
      <c r="F1491" s="26">
        <f>IFERROR(__xludf.DUMMYFUNCTION("""COMPUTED_VALUE"""),148.9)</f>
        <v>148.9</v>
      </c>
      <c r="G1491" s="26">
        <f>IFERROR(__xludf.DUMMYFUNCTION("""COMPUTED_VALUE"""),1.67767634988E12)</f>
        <v>1677676349880</v>
      </c>
      <c r="H1491" s="26">
        <f t="shared" si="1"/>
        <v>152081</v>
      </c>
    </row>
    <row r="1492">
      <c r="F1492" s="26">
        <f>IFERROR(__xludf.DUMMYFUNCTION("""COMPUTED_VALUE"""),149.0)</f>
        <v>149</v>
      </c>
      <c r="G1492" s="26">
        <f>IFERROR(__xludf.DUMMYFUNCTION("""COMPUTED_VALUE"""),1.677676349889E12)</f>
        <v>1677676349889</v>
      </c>
      <c r="H1492" s="26">
        <f t="shared" si="1"/>
        <v>152090</v>
      </c>
    </row>
    <row r="1493">
      <c r="F1493" s="26">
        <f>IFERROR(__xludf.DUMMYFUNCTION("""COMPUTED_VALUE"""),149.1)</f>
        <v>149.1</v>
      </c>
      <c r="G1493" s="26">
        <f>IFERROR(__xludf.DUMMYFUNCTION("""COMPUTED_VALUE"""),1.677676349895E12)</f>
        <v>1677676349895</v>
      </c>
      <c r="H1493" s="26">
        <f t="shared" si="1"/>
        <v>152096</v>
      </c>
    </row>
    <row r="1494">
      <c r="F1494" s="26">
        <f>IFERROR(__xludf.DUMMYFUNCTION("""COMPUTED_VALUE"""),149.2)</f>
        <v>149.2</v>
      </c>
      <c r="G1494" s="26">
        <f>IFERROR(__xludf.DUMMYFUNCTION("""COMPUTED_VALUE"""),1.677676349904E12)</f>
        <v>1677676349904</v>
      </c>
      <c r="H1494" s="26">
        <f t="shared" si="1"/>
        <v>152105</v>
      </c>
    </row>
    <row r="1495">
      <c r="F1495" s="26">
        <f>IFERROR(__xludf.DUMMYFUNCTION("""COMPUTED_VALUE"""),149.3)</f>
        <v>149.3</v>
      </c>
      <c r="G1495" s="26">
        <f>IFERROR(__xludf.DUMMYFUNCTION("""COMPUTED_VALUE"""),1.677676349915E12)</f>
        <v>1677676349915</v>
      </c>
      <c r="H1495" s="26">
        <f t="shared" si="1"/>
        <v>152116</v>
      </c>
    </row>
    <row r="1496">
      <c r="F1496" s="26">
        <f>IFERROR(__xludf.DUMMYFUNCTION("""COMPUTED_VALUE"""),149.4)</f>
        <v>149.4</v>
      </c>
      <c r="G1496" s="26">
        <f>IFERROR(__xludf.DUMMYFUNCTION("""COMPUTED_VALUE"""),1.67767634992E12)</f>
        <v>1677676349920</v>
      </c>
      <c r="H1496" s="26">
        <f t="shared" si="1"/>
        <v>152121</v>
      </c>
    </row>
    <row r="1497">
      <c r="F1497" s="26">
        <f>IFERROR(__xludf.DUMMYFUNCTION("""COMPUTED_VALUE"""),149.5)</f>
        <v>149.5</v>
      </c>
      <c r="G1497" s="26">
        <f>IFERROR(__xludf.DUMMYFUNCTION("""COMPUTED_VALUE"""),1.677676349926E12)</f>
        <v>1677676349926</v>
      </c>
      <c r="H1497" s="26">
        <f t="shared" si="1"/>
        <v>152127</v>
      </c>
    </row>
    <row r="1498">
      <c r="F1498" s="26">
        <f>IFERROR(__xludf.DUMMYFUNCTION("""COMPUTED_VALUE"""),149.6)</f>
        <v>149.6</v>
      </c>
      <c r="G1498" s="26">
        <f>IFERROR(__xludf.DUMMYFUNCTION("""COMPUTED_VALUE"""),1.677676349932E12)</f>
        <v>1677676349932</v>
      </c>
      <c r="H1498" s="26">
        <f t="shared" si="1"/>
        <v>152133</v>
      </c>
    </row>
    <row r="1499">
      <c r="F1499" s="26">
        <f>IFERROR(__xludf.DUMMYFUNCTION("""COMPUTED_VALUE"""),149.7)</f>
        <v>149.7</v>
      </c>
      <c r="G1499" s="26">
        <f>IFERROR(__xludf.DUMMYFUNCTION("""COMPUTED_VALUE"""),1.677676349939E12)</f>
        <v>1677676349939</v>
      </c>
      <c r="H1499" s="26">
        <f t="shared" si="1"/>
        <v>152140</v>
      </c>
    </row>
    <row r="1500">
      <c r="F1500" s="26">
        <f>IFERROR(__xludf.DUMMYFUNCTION("""COMPUTED_VALUE"""),149.8)</f>
        <v>149.8</v>
      </c>
      <c r="G1500" s="26">
        <f>IFERROR(__xludf.DUMMYFUNCTION("""COMPUTED_VALUE"""),1.677676349945E12)</f>
        <v>1677676349945</v>
      </c>
      <c r="H1500" s="26">
        <f t="shared" si="1"/>
        <v>152146</v>
      </c>
    </row>
    <row r="1501">
      <c r="F1501" s="26">
        <f>IFERROR(__xludf.DUMMYFUNCTION("""COMPUTED_VALUE"""),149.9)</f>
        <v>149.9</v>
      </c>
      <c r="G1501" s="26">
        <f>IFERROR(__xludf.DUMMYFUNCTION("""COMPUTED_VALUE"""),1.677676349951E12)</f>
        <v>1677676349951</v>
      </c>
      <c r="H1501" s="26">
        <f t="shared" si="1"/>
        <v>152152</v>
      </c>
    </row>
    <row r="1502">
      <c r="F1502" s="26">
        <f>IFERROR(__xludf.DUMMYFUNCTION("""COMPUTED_VALUE"""),150.0)</f>
        <v>150</v>
      </c>
      <c r="G1502" s="26">
        <f>IFERROR(__xludf.DUMMYFUNCTION("""COMPUTED_VALUE"""),1.677676349961E12)</f>
        <v>1677676349961</v>
      </c>
      <c r="H1502" s="26">
        <f t="shared" si="1"/>
        <v>152162</v>
      </c>
    </row>
    <row r="1503">
      <c r="F1503" s="26">
        <f>IFERROR(__xludf.DUMMYFUNCTION("""COMPUTED_VALUE"""),150.1)</f>
        <v>150.1</v>
      </c>
      <c r="G1503" s="26">
        <f>IFERROR(__xludf.DUMMYFUNCTION("""COMPUTED_VALUE"""),1.677676349965E12)</f>
        <v>1677676349965</v>
      </c>
      <c r="H1503" s="26">
        <f t="shared" si="1"/>
        <v>152166</v>
      </c>
    </row>
    <row r="1504">
      <c r="F1504" s="26">
        <f>IFERROR(__xludf.DUMMYFUNCTION("""COMPUTED_VALUE"""),150.2)</f>
        <v>150.2</v>
      </c>
      <c r="G1504" s="26">
        <f>IFERROR(__xludf.DUMMYFUNCTION("""COMPUTED_VALUE"""),1.677676349971E12)</f>
        <v>1677676349971</v>
      </c>
      <c r="H1504" s="26">
        <f t="shared" si="1"/>
        <v>152172</v>
      </c>
    </row>
    <row r="1505">
      <c r="F1505" s="26">
        <f>IFERROR(__xludf.DUMMYFUNCTION("""COMPUTED_VALUE"""),150.3)</f>
        <v>150.3</v>
      </c>
      <c r="G1505" s="26">
        <f>IFERROR(__xludf.DUMMYFUNCTION("""COMPUTED_VALUE"""),1.677676349979E12)</f>
        <v>1677676349979</v>
      </c>
      <c r="H1505" s="26">
        <f t="shared" si="1"/>
        <v>152180</v>
      </c>
    </row>
    <row r="1506">
      <c r="F1506" s="26">
        <f>IFERROR(__xludf.DUMMYFUNCTION("""COMPUTED_VALUE"""),150.4)</f>
        <v>150.4</v>
      </c>
      <c r="G1506" s="26">
        <f>IFERROR(__xludf.DUMMYFUNCTION("""COMPUTED_VALUE"""),1.677676349983E12)</f>
        <v>1677676349983</v>
      </c>
      <c r="H1506" s="26">
        <f t="shared" si="1"/>
        <v>152184</v>
      </c>
    </row>
    <row r="1507">
      <c r="F1507" s="26">
        <f>IFERROR(__xludf.DUMMYFUNCTION("""COMPUTED_VALUE"""),150.5)</f>
        <v>150.5</v>
      </c>
      <c r="G1507" s="26">
        <f>IFERROR(__xludf.DUMMYFUNCTION("""COMPUTED_VALUE"""),1.67767634999E12)</f>
        <v>1677676349990</v>
      </c>
      <c r="H1507" s="26">
        <f t="shared" si="1"/>
        <v>152191</v>
      </c>
    </row>
    <row r="1508">
      <c r="F1508" s="26">
        <f>IFERROR(__xludf.DUMMYFUNCTION("""COMPUTED_VALUE"""),150.6)</f>
        <v>150.6</v>
      </c>
      <c r="G1508" s="26">
        <f>IFERROR(__xludf.DUMMYFUNCTION("""COMPUTED_VALUE"""),1.677676349996E12)</f>
        <v>1677676349996</v>
      </c>
      <c r="H1508" s="26">
        <f t="shared" si="1"/>
        <v>152197</v>
      </c>
    </row>
    <row r="1509">
      <c r="F1509" s="26">
        <f>IFERROR(__xludf.DUMMYFUNCTION("""COMPUTED_VALUE"""),150.7)</f>
        <v>150.7</v>
      </c>
      <c r="G1509" s="26">
        <f>IFERROR(__xludf.DUMMYFUNCTION("""COMPUTED_VALUE"""),1.677676350001E12)</f>
        <v>1677676350001</v>
      </c>
      <c r="H1509" s="26">
        <f t="shared" si="1"/>
        <v>152202</v>
      </c>
    </row>
    <row r="1510">
      <c r="F1510" s="26">
        <f>IFERROR(__xludf.DUMMYFUNCTION("""COMPUTED_VALUE"""),150.8)</f>
        <v>150.8</v>
      </c>
      <c r="G1510" s="26">
        <f>IFERROR(__xludf.DUMMYFUNCTION("""COMPUTED_VALUE"""),1.677676350006E12)</f>
        <v>1677676350006</v>
      </c>
      <c r="H1510" s="26">
        <f t="shared" si="1"/>
        <v>152207</v>
      </c>
    </row>
    <row r="1511">
      <c r="F1511" s="26">
        <f>IFERROR(__xludf.DUMMYFUNCTION("""COMPUTED_VALUE"""),150.9)</f>
        <v>150.9</v>
      </c>
      <c r="G1511" s="26">
        <f>IFERROR(__xludf.DUMMYFUNCTION("""COMPUTED_VALUE"""),1.677676350012E12)</f>
        <v>1677676350012</v>
      </c>
      <c r="H1511" s="26">
        <f t="shared" si="1"/>
        <v>152213</v>
      </c>
    </row>
    <row r="1512">
      <c r="F1512" s="26">
        <f>IFERROR(__xludf.DUMMYFUNCTION("""COMPUTED_VALUE"""),151.0)</f>
        <v>151</v>
      </c>
      <c r="G1512" s="26">
        <f>IFERROR(__xludf.DUMMYFUNCTION("""COMPUTED_VALUE"""),1.67767635002E12)</f>
        <v>1677676350020</v>
      </c>
      <c r="H1512" s="26">
        <f t="shared" si="1"/>
        <v>152221</v>
      </c>
    </row>
    <row r="1513">
      <c r="F1513" s="26">
        <f>IFERROR(__xludf.DUMMYFUNCTION("""COMPUTED_VALUE"""),151.1)</f>
        <v>151.1</v>
      </c>
      <c r="G1513" s="26">
        <f>IFERROR(__xludf.DUMMYFUNCTION("""COMPUTED_VALUE"""),1.677676350025E12)</f>
        <v>1677676350025</v>
      </c>
      <c r="H1513" s="26">
        <f t="shared" si="1"/>
        <v>152226</v>
      </c>
    </row>
    <row r="1514">
      <c r="F1514" s="26">
        <f>IFERROR(__xludf.DUMMYFUNCTION("""COMPUTED_VALUE"""),151.2)</f>
        <v>151.2</v>
      </c>
      <c r="G1514" s="26">
        <f>IFERROR(__xludf.DUMMYFUNCTION("""COMPUTED_VALUE"""),1.677676350032E12)</f>
        <v>1677676350032</v>
      </c>
      <c r="H1514" s="26">
        <f t="shared" si="1"/>
        <v>152233</v>
      </c>
    </row>
    <row r="1515">
      <c r="F1515" s="26">
        <f>IFERROR(__xludf.DUMMYFUNCTION("""COMPUTED_VALUE"""),151.3)</f>
        <v>151.3</v>
      </c>
      <c r="G1515" s="26">
        <f>IFERROR(__xludf.DUMMYFUNCTION("""COMPUTED_VALUE"""),1.677676350039E12)</f>
        <v>1677676350039</v>
      </c>
      <c r="H1515" s="26">
        <f t="shared" si="1"/>
        <v>152240</v>
      </c>
    </row>
    <row r="1516">
      <c r="F1516" s="26">
        <f>IFERROR(__xludf.DUMMYFUNCTION("""COMPUTED_VALUE"""),151.4)</f>
        <v>151.4</v>
      </c>
      <c r="G1516" s="26">
        <f>IFERROR(__xludf.DUMMYFUNCTION("""COMPUTED_VALUE"""),1.677676350045E12)</f>
        <v>1677676350045</v>
      </c>
      <c r="H1516" s="26">
        <f t="shared" si="1"/>
        <v>152246</v>
      </c>
    </row>
    <row r="1517">
      <c r="F1517" s="26">
        <f>IFERROR(__xludf.DUMMYFUNCTION("""COMPUTED_VALUE"""),151.5)</f>
        <v>151.5</v>
      </c>
      <c r="G1517" s="26">
        <f>IFERROR(__xludf.DUMMYFUNCTION("""COMPUTED_VALUE"""),1.677676350051E12)</f>
        <v>1677676350051</v>
      </c>
      <c r="H1517" s="26">
        <f t="shared" si="1"/>
        <v>152252</v>
      </c>
    </row>
    <row r="1518">
      <c r="F1518" s="26">
        <f>IFERROR(__xludf.DUMMYFUNCTION("""COMPUTED_VALUE"""),151.6)</f>
        <v>151.6</v>
      </c>
      <c r="G1518" s="26">
        <f>IFERROR(__xludf.DUMMYFUNCTION("""COMPUTED_VALUE"""),1.677676350058E12)</f>
        <v>1677676350058</v>
      </c>
      <c r="H1518" s="26">
        <f t="shared" si="1"/>
        <v>152259</v>
      </c>
    </row>
    <row r="1519">
      <c r="F1519" s="26">
        <f>IFERROR(__xludf.DUMMYFUNCTION("""COMPUTED_VALUE"""),151.7)</f>
        <v>151.7</v>
      </c>
      <c r="G1519" s="26">
        <f>IFERROR(__xludf.DUMMYFUNCTION("""COMPUTED_VALUE"""),1.677676350064E12)</f>
        <v>1677676350064</v>
      </c>
      <c r="H1519" s="26">
        <f t="shared" si="1"/>
        <v>152265</v>
      </c>
    </row>
    <row r="1520">
      <c r="F1520" s="26">
        <f>IFERROR(__xludf.DUMMYFUNCTION("""COMPUTED_VALUE"""),151.8)</f>
        <v>151.8</v>
      </c>
      <c r="G1520" s="26">
        <f>IFERROR(__xludf.DUMMYFUNCTION("""COMPUTED_VALUE"""),1.67767635007E12)</f>
        <v>1677676350070</v>
      </c>
      <c r="H1520" s="26">
        <f t="shared" si="1"/>
        <v>152271</v>
      </c>
    </row>
    <row r="1521">
      <c r="F1521" s="26">
        <f>IFERROR(__xludf.DUMMYFUNCTION("""COMPUTED_VALUE"""),151.9)</f>
        <v>151.9</v>
      </c>
      <c r="G1521" s="26">
        <f>IFERROR(__xludf.DUMMYFUNCTION("""COMPUTED_VALUE"""),1.677676350076E12)</f>
        <v>1677676350076</v>
      </c>
      <c r="H1521" s="26">
        <f t="shared" si="1"/>
        <v>152277</v>
      </c>
    </row>
    <row r="1522">
      <c r="F1522" s="26">
        <f>IFERROR(__xludf.DUMMYFUNCTION("""COMPUTED_VALUE"""),152.0)</f>
        <v>152</v>
      </c>
      <c r="G1522" s="26">
        <f>IFERROR(__xludf.DUMMYFUNCTION("""COMPUTED_VALUE"""),1.677676350082E12)</f>
        <v>1677676350082</v>
      </c>
      <c r="H1522" s="26">
        <f t="shared" si="1"/>
        <v>152283</v>
      </c>
    </row>
    <row r="1523">
      <c r="F1523" s="26">
        <f>IFERROR(__xludf.DUMMYFUNCTION("""COMPUTED_VALUE"""),152.1)</f>
        <v>152.1</v>
      </c>
      <c r="G1523" s="26">
        <f>IFERROR(__xludf.DUMMYFUNCTION("""COMPUTED_VALUE"""),1.677676350088E12)</f>
        <v>1677676350088</v>
      </c>
      <c r="H1523" s="26">
        <f t="shared" si="1"/>
        <v>152289</v>
      </c>
    </row>
    <row r="1524">
      <c r="F1524" s="26">
        <f>IFERROR(__xludf.DUMMYFUNCTION("""COMPUTED_VALUE"""),152.2)</f>
        <v>152.2</v>
      </c>
      <c r="G1524" s="26">
        <f>IFERROR(__xludf.DUMMYFUNCTION("""COMPUTED_VALUE"""),1.677676350094E12)</f>
        <v>1677676350094</v>
      </c>
      <c r="H1524" s="26">
        <f t="shared" si="1"/>
        <v>152295</v>
      </c>
    </row>
    <row r="1525">
      <c r="F1525" s="26">
        <f>IFERROR(__xludf.DUMMYFUNCTION("""COMPUTED_VALUE"""),152.3)</f>
        <v>152.3</v>
      </c>
      <c r="G1525" s="26">
        <f>IFERROR(__xludf.DUMMYFUNCTION("""COMPUTED_VALUE"""),1.677676350101E12)</f>
        <v>1677676350101</v>
      </c>
      <c r="H1525" s="26">
        <f t="shared" si="1"/>
        <v>152302</v>
      </c>
    </row>
    <row r="1526">
      <c r="F1526" s="26">
        <f>IFERROR(__xludf.DUMMYFUNCTION("""COMPUTED_VALUE"""),152.4)</f>
        <v>152.4</v>
      </c>
      <c r="G1526" s="26">
        <f>IFERROR(__xludf.DUMMYFUNCTION("""COMPUTED_VALUE"""),1.677676350107E12)</f>
        <v>1677676350107</v>
      </c>
      <c r="H1526" s="26">
        <f t="shared" si="1"/>
        <v>152308</v>
      </c>
    </row>
    <row r="1527">
      <c r="F1527" s="26">
        <f>IFERROR(__xludf.DUMMYFUNCTION("""COMPUTED_VALUE"""),152.5)</f>
        <v>152.5</v>
      </c>
      <c r="G1527" s="26">
        <f>IFERROR(__xludf.DUMMYFUNCTION("""COMPUTED_VALUE"""),1.677676350197E12)</f>
        <v>1677676350197</v>
      </c>
      <c r="H1527" s="26">
        <f t="shared" si="1"/>
        <v>152398</v>
      </c>
    </row>
    <row r="1528">
      <c r="F1528" s="26">
        <f>IFERROR(__xludf.DUMMYFUNCTION("""COMPUTED_VALUE"""),152.6)</f>
        <v>152.6</v>
      </c>
      <c r="G1528" s="26">
        <f>IFERROR(__xludf.DUMMYFUNCTION("""COMPUTED_VALUE"""),1.677676350297E12)</f>
        <v>1677676350297</v>
      </c>
      <c r="H1528" s="26">
        <f t="shared" si="1"/>
        <v>152498</v>
      </c>
    </row>
    <row r="1529">
      <c r="F1529" s="26">
        <f>IFERROR(__xludf.DUMMYFUNCTION("""COMPUTED_VALUE"""),152.7)</f>
        <v>152.7</v>
      </c>
      <c r="G1529" s="26">
        <f>IFERROR(__xludf.DUMMYFUNCTION("""COMPUTED_VALUE"""),1.677676350398E12)</f>
        <v>1677676350398</v>
      </c>
      <c r="H1529" s="26">
        <f t="shared" si="1"/>
        <v>152599</v>
      </c>
    </row>
    <row r="1530">
      <c r="F1530" s="26">
        <f>IFERROR(__xludf.DUMMYFUNCTION("""COMPUTED_VALUE"""),152.8)</f>
        <v>152.8</v>
      </c>
      <c r="G1530" s="26">
        <f>IFERROR(__xludf.DUMMYFUNCTION("""COMPUTED_VALUE"""),1.677676350496E12)</f>
        <v>1677676350496</v>
      </c>
      <c r="H1530" s="26">
        <f t="shared" si="1"/>
        <v>152697</v>
      </c>
    </row>
    <row r="1531">
      <c r="F1531" s="26">
        <f>IFERROR(__xludf.DUMMYFUNCTION("""COMPUTED_VALUE"""),152.9)</f>
        <v>152.9</v>
      </c>
      <c r="G1531" s="26">
        <f>IFERROR(__xludf.DUMMYFUNCTION("""COMPUTED_VALUE"""),1.677676350598E12)</f>
        <v>1677676350598</v>
      </c>
      <c r="H1531" s="26">
        <f t="shared" si="1"/>
        <v>152799</v>
      </c>
    </row>
    <row r="1532">
      <c r="F1532" s="26">
        <f>IFERROR(__xludf.DUMMYFUNCTION("""COMPUTED_VALUE"""),153.0)</f>
        <v>153</v>
      </c>
      <c r="G1532" s="26">
        <f>IFERROR(__xludf.DUMMYFUNCTION("""COMPUTED_VALUE"""),1.677676350696E12)</f>
        <v>1677676350696</v>
      </c>
      <c r="H1532" s="26">
        <f t="shared" si="1"/>
        <v>152897</v>
      </c>
    </row>
    <row r="1533">
      <c r="F1533" s="26">
        <f>IFERROR(__xludf.DUMMYFUNCTION("""COMPUTED_VALUE"""),153.1)</f>
        <v>153.1</v>
      </c>
      <c r="G1533" s="26">
        <f>IFERROR(__xludf.DUMMYFUNCTION("""COMPUTED_VALUE"""),1.677676350798E12)</f>
        <v>1677676350798</v>
      </c>
      <c r="H1533" s="26">
        <f t="shared" si="1"/>
        <v>152999</v>
      </c>
    </row>
    <row r="1534">
      <c r="F1534" s="26">
        <f>IFERROR(__xludf.DUMMYFUNCTION("""COMPUTED_VALUE"""),153.2)</f>
        <v>153.2</v>
      </c>
      <c r="G1534" s="26">
        <f>IFERROR(__xludf.DUMMYFUNCTION("""COMPUTED_VALUE"""),1.677676350898E12)</f>
        <v>1677676350898</v>
      </c>
      <c r="H1534" s="26">
        <f t="shared" si="1"/>
        <v>153099</v>
      </c>
    </row>
    <row r="1535">
      <c r="F1535" s="26">
        <f>IFERROR(__xludf.DUMMYFUNCTION("""COMPUTED_VALUE"""),153.3)</f>
        <v>153.3</v>
      </c>
      <c r="G1535" s="26">
        <f>IFERROR(__xludf.DUMMYFUNCTION("""COMPUTED_VALUE"""),1.677676350997E12)</f>
        <v>1677676350997</v>
      </c>
      <c r="H1535" s="26">
        <f t="shared" si="1"/>
        <v>153198</v>
      </c>
    </row>
    <row r="1536">
      <c r="F1536" s="26">
        <f>IFERROR(__xludf.DUMMYFUNCTION("""COMPUTED_VALUE"""),153.4)</f>
        <v>153.4</v>
      </c>
      <c r="G1536" s="26">
        <f>IFERROR(__xludf.DUMMYFUNCTION("""COMPUTED_VALUE"""),1.677676351097E12)</f>
        <v>1677676351097</v>
      </c>
      <c r="H1536" s="26">
        <f t="shared" si="1"/>
        <v>153298</v>
      </c>
    </row>
    <row r="1537">
      <c r="F1537" s="26">
        <f>IFERROR(__xludf.DUMMYFUNCTION("""COMPUTED_VALUE"""),153.5)</f>
        <v>153.5</v>
      </c>
      <c r="G1537" s="26">
        <f>IFERROR(__xludf.DUMMYFUNCTION("""COMPUTED_VALUE"""),1.677676351198E12)</f>
        <v>1677676351198</v>
      </c>
      <c r="H1537" s="26">
        <f t="shared" si="1"/>
        <v>153399</v>
      </c>
    </row>
    <row r="1538">
      <c r="F1538" s="26">
        <f>IFERROR(__xludf.DUMMYFUNCTION("""COMPUTED_VALUE"""),153.6)</f>
        <v>153.6</v>
      </c>
      <c r="G1538" s="26">
        <f>IFERROR(__xludf.DUMMYFUNCTION("""COMPUTED_VALUE"""),1.677676351298E12)</f>
        <v>1677676351298</v>
      </c>
      <c r="H1538" s="26">
        <f t="shared" si="1"/>
        <v>153499</v>
      </c>
    </row>
    <row r="1539">
      <c r="F1539" s="26">
        <f>IFERROR(__xludf.DUMMYFUNCTION("""COMPUTED_VALUE"""),153.7)</f>
        <v>153.7</v>
      </c>
      <c r="G1539" s="26">
        <f>IFERROR(__xludf.DUMMYFUNCTION("""COMPUTED_VALUE"""),1.677676351396E12)</f>
        <v>1677676351396</v>
      </c>
      <c r="H1539" s="26">
        <f t="shared" si="1"/>
        <v>153597</v>
      </c>
    </row>
    <row r="1540">
      <c r="F1540" s="26">
        <f>IFERROR(__xludf.DUMMYFUNCTION("""COMPUTED_VALUE"""),153.8)</f>
        <v>153.8</v>
      </c>
      <c r="G1540" s="26">
        <f>IFERROR(__xludf.DUMMYFUNCTION("""COMPUTED_VALUE"""),1.677676351496E12)</f>
        <v>1677676351496</v>
      </c>
      <c r="H1540" s="26">
        <f t="shared" si="1"/>
        <v>153697</v>
      </c>
    </row>
    <row r="1541">
      <c r="F1541" s="26">
        <f>IFERROR(__xludf.DUMMYFUNCTION("""COMPUTED_VALUE"""),153.9)</f>
        <v>153.9</v>
      </c>
      <c r="G1541" s="26">
        <f>IFERROR(__xludf.DUMMYFUNCTION("""COMPUTED_VALUE"""),1.677676351597E12)</f>
        <v>1677676351597</v>
      </c>
      <c r="H1541" s="26">
        <f t="shared" si="1"/>
        <v>153798</v>
      </c>
    </row>
    <row r="1542">
      <c r="F1542" s="26">
        <f>IFERROR(__xludf.DUMMYFUNCTION("""COMPUTED_VALUE"""),154.0)</f>
        <v>154</v>
      </c>
      <c r="G1542" s="26">
        <f>IFERROR(__xludf.DUMMYFUNCTION("""COMPUTED_VALUE"""),1.677676351697E12)</f>
        <v>1677676351697</v>
      </c>
      <c r="H1542" s="26">
        <f t="shared" si="1"/>
        <v>153898</v>
      </c>
    </row>
    <row r="1543">
      <c r="F1543" s="26">
        <f>IFERROR(__xludf.DUMMYFUNCTION("""COMPUTED_VALUE"""),154.1)</f>
        <v>154.1</v>
      </c>
      <c r="G1543" s="26">
        <f>IFERROR(__xludf.DUMMYFUNCTION("""COMPUTED_VALUE"""),1.677676351798E12)</f>
        <v>1677676351798</v>
      </c>
      <c r="H1543" s="26">
        <f t="shared" si="1"/>
        <v>153999</v>
      </c>
    </row>
    <row r="1544">
      <c r="F1544" s="26">
        <f>IFERROR(__xludf.DUMMYFUNCTION("""COMPUTED_VALUE"""),154.2)</f>
        <v>154.2</v>
      </c>
      <c r="G1544" s="26">
        <f>IFERROR(__xludf.DUMMYFUNCTION("""COMPUTED_VALUE"""),1.677676351897E12)</f>
        <v>1677676351897</v>
      </c>
      <c r="H1544" s="26">
        <f t="shared" si="1"/>
        <v>154098</v>
      </c>
    </row>
    <row r="1545">
      <c r="F1545" s="26">
        <f>IFERROR(__xludf.DUMMYFUNCTION("""COMPUTED_VALUE"""),154.3)</f>
        <v>154.3</v>
      </c>
      <c r="G1545" s="26">
        <f>IFERROR(__xludf.DUMMYFUNCTION("""COMPUTED_VALUE"""),1.677676351996E12)</f>
        <v>1677676351996</v>
      </c>
      <c r="H1545" s="26">
        <f t="shared" si="1"/>
        <v>154197</v>
      </c>
    </row>
    <row r="1546">
      <c r="F1546" s="26">
        <f>IFERROR(__xludf.DUMMYFUNCTION("""COMPUTED_VALUE"""),154.4)</f>
        <v>154.4</v>
      </c>
      <c r="G1546" s="26">
        <f>IFERROR(__xludf.DUMMYFUNCTION("""COMPUTED_VALUE"""),1.677676352096E12)</f>
        <v>1677676352096</v>
      </c>
      <c r="H1546" s="26">
        <f t="shared" si="1"/>
        <v>154297</v>
      </c>
    </row>
    <row r="1547">
      <c r="F1547" s="26">
        <f>IFERROR(__xludf.DUMMYFUNCTION("""COMPUTED_VALUE"""),154.5)</f>
        <v>154.5</v>
      </c>
      <c r="G1547" s="26">
        <f>IFERROR(__xludf.DUMMYFUNCTION("""COMPUTED_VALUE"""),1.677676352199E12)</f>
        <v>1677676352199</v>
      </c>
      <c r="H1547" s="26">
        <f t="shared" si="1"/>
        <v>154400</v>
      </c>
    </row>
    <row r="1548">
      <c r="F1548" s="26">
        <f>IFERROR(__xludf.DUMMYFUNCTION("""COMPUTED_VALUE"""),154.6)</f>
        <v>154.6</v>
      </c>
      <c r="G1548" s="26">
        <f>IFERROR(__xludf.DUMMYFUNCTION("""COMPUTED_VALUE"""),1.677676352297E12)</f>
        <v>1677676352297</v>
      </c>
      <c r="H1548" s="26">
        <f t="shared" si="1"/>
        <v>154498</v>
      </c>
    </row>
    <row r="1549">
      <c r="F1549" s="26">
        <f>IFERROR(__xludf.DUMMYFUNCTION("""COMPUTED_VALUE"""),154.7)</f>
        <v>154.7</v>
      </c>
      <c r="G1549" s="26">
        <f>IFERROR(__xludf.DUMMYFUNCTION("""COMPUTED_VALUE"""),1.677676352398E12)</f>
        <v>1677676352398</v>
      </c>
      <c r="H1549" s="26">
        <f t="shared" si="1"/>
        <v>154599</v>
      </c>
    </row>
    <row r="1550">
      <c r="F1550" s="26">
        <f>IFERROR(__xludf.DUMMYFUNCTION("""COMPUTED_VALUE"""),154.8)</f>
        <v>154.8</v>
      </c>
      <c r="G1550" s="26">
        <f>IFERROR(__xludf.DUMMYFUNCTION("""COMPUTED_VALUE"""),1.677676352497E12)</f>
        <v>1677676352497</v>
      </c>
      <c r="H1550" s="26">
        <f t="shared" si="1"/>
        <v>154698</v>
      </c>
    </row>
    <row r="1551">
      <c r="F1551" s="26">
        <f>IFERROR(__xludf.DUMMYFUNCTION("""COMPUTED_VALUE"""),154.9)</f>
        <v>154.9</v>
      </c>
      <c r="G1551" s="26">
        <f>IFERROR(__xludf.DUMMYFUNCTION("""COMPUTED_VALUE"""),1.677676352596E12)</f>
        <v>1677676352596</v>
      </c>
      <c r="H1551" s="26">
        <f t="shared" si="1"/>
        <v>154797</v>
      </c>
    </row>
    <row r="1552">
      <c r="F1552" s="26">
        <f>IFERROR(__xludf.DUMMYFUNCTION("""COMPUTED_VALUE"""),155.0)</f>
        <v>155</v>
      </c>
      <c r="G1552" s="26">
        <f>IFERROR(__xludf.DUMMYFUNCTION("""COMPUTED_VALUE"""),1.677676352697E12)</f>
        <v>1677676352697</v>
      </c>
      <c r="H1552" s="26">
        <f t="shared" si="1"/>
        <v>154898</v>
      </c>
    </row>
    <row r="1553">
      <c r="F1553" s="26">
        <f>IFERROR(__xludf.DUMMYFUNCTION("""COMPUTED_VALUE"""),155.1)</f>
        <v>155.1</v>
      </c>
      <c r="G1553" s="26">
        <f>IFERROR(__xludf.DUMMYFUNCTION("""COMPUTED_VALUE"""),1.677676352797E12)</f>
        <v>1677676352797</v>
      </c>
      <c r="H1553" s="26">
        <f t="shared" si="1"/>
        <v>154998</v>
      </c>
    </row>
    <row r="1554">
      <c r="F1554" s="26">
        <f>IFERROR(__xludf.DUMMYFUNCTION("""COMPUTED_VALUE"""),155.2)</f>
        <v>155.2</v>
      </c>
      <c r="G1554" s="26">
        <f>IFERROR(__xludf.DUMMYFUNCTION("""COMPUTED_VALUE"""),1.677676352897E12)</f>
        <v>1677676352897</v>
      </c>
      <c r="H1554" s="26">
        <f t="shared" si="1"/>
        <v>155098</v>
      </c>
    </row>
    <row r="1555">
      <c r="F1555" s="26">
        <f>IFERROR(__xludf.DUMMYFUNCTION("""COMPUTED_VALUE"""),155.3)</f>
        <v>155.3</v>
      </c>
      <c r="G1555" s="26">
        <f>IFERROR(__xludf.DUMMYFUNCTION("""COMPUTED_VALUE"""),1.677676353003E12)</f>
        <v>1677676353003</v>
      </c>
      <c r="H1555" s="26">
        <f t="shared" si="1"/>
        <v>155204</v>
      </c>
    </row>
    <row r="1556">
      <c r="F1556" s="26">
        <f>IFERROR(__xludf.DUMMYFUNCTION("""COMPUTED_VALUE"""),155.4)</f>
        <v>155.4</v>
      </c>
      <c r="G1556" s="26">
        <f>IFERROR(__xludf.DUMMYFUNCTION("""COMPUTED_VALUE"""),1.677676353097E12)</f>
        <v>1677676353097</v>
      </c>
      <c r="H1556" s="26">
        <f t="shared" si="1"/>
        <v>155298</v>
      </c>
    </row>
    <row r="1557">
      <c r="F1557" s="26">
        <f>IFERROR(__xludf.DUMMYFUNCTION("""COMPUTED_VALUE"""),155.5)</f>
        <v>155.5</v>
      </c>
      <c r="G1557" s="26">
        <f>IFERROR(__xludf.DUMMYFUNCTION("""COMPUTED_VALUE"""),1.677676353197E12)</f>
        <v>1677676353197</v>
      </c>
      <c r="H1557" s="26">
        <f t="shared" si="1"/>
        <v>155398</v>
      </c>
    </row>
    <row r="1558">
      <c r="F1558" s="26">
        <f>IFERROR(__xludf.DUMMYFUNCTION("""COMPUTED_VALUE"""),155.6)</f>
        <v>155.6</v>
      </c>
      <c r="G1558" s="26">
        <f>IFERROR(__xludf.DUMMYFUNCTION("""COMPUTED_VALUE"""),1.677676353297E12)</f>
        <v>1677676353297</v>
      </c>
      <c r="H1558" s="26">
        <f t="shared" si="1"/>
        <v>155498</v>
      </c>
    </row>
    <row r="1559">
      <c r="F1559" s="26">
        <f>IFERROR(__xludf.DUMMYFUNCTION("""COMPUTED_VALUE"""),155.7)</f>
        <v>155.7</v>
      </c>
      <c r="G1559" s="26">
        <f>IFERROR(__xludf.DUMMYFUNCTION("""COMPUTED_VALUE"""),1.677676353398E12)</f>
        <v>1677676353398</v>
      </c>
      <c r="H1559" s="26">
        <f t="shared" si="1"/>
        <v>155599</v>
      </c>
    </row>
    <row r="1560">
      <c r="F1560" s="26">
        <f>IFERROR(__xludf.DUMMYFUNCTION("""COMPUTED_VALUE"""),155.8)</f>
        <v>155.8</v>
      </c>
      <c r="G1560" s="26">
        <f>IFERROR(__xludf.DUMMYFUNCTION("""COMPUTED_VALUE"""),1.677676353497E12)</f>
        <v>1677676353497</v>
      </c>
      <c r="H1560" s="26">
        <f t="shared" si="1"/>
        <v>155698</v>
      </c>
    </row>
    <row r="1561">
      <c r="F1561" s="26">
        <f>IFERROR(__xludf.DUMMYFUNCTION("""COMPUTED_VALUE"""),155.9)</f>
        <v>155.9</v>
      </c>
      <c r="G1561" s="26">
        <f>IFERROR(__xludf.DUMMYFUNCTION("""COMPUTED_VALUE"""),1.677676353597E12)</f>
        <v>1677676353597</v>
      </c>
      <c r="H1561" s="26">
        <f t="shared" si="1"/>
        <v>155798</v>
      </c>
    </row>
    <row r="1562">
      <c r="F1562" s="26">
        <f>IFERROR(__xludf.DUMMYFUNCTION("""COMPUTED_VALUE"""),156.0)</f>
        <v>156</v>
      </c>
      <c r="G1562" s="26">
        <f>IFERROR(__xludf.DUMMYFUNCTION("""COMPUTED_VALUE"""),1.677676353698E12)</f>
        <v>1677676353698</v>
      </c>
      <c r="H1562" s="26">
        <f t="shared" si="1"/>
        <v>155899</v>
      </c>
    </row>
    <row r="1563">
      <c r="F1563" s="26">
        <f>IFERROR(__xludf.DUMMYFUNCTION("""COMPUTED_VALUE"""),156.1)</f>
        <v>156.1</v>
      </c>
      <c r="G1563" s="26">
        <f>IFERROR(__xludf.DUMMYFUNCTION("""COMPUTED_VALUE"""),1.677676353796E12)</f>
        <v>1677676353796</v>
      </c>
      <c r="H1563" s="26">
        <f t="shared" si="1"/>
        <v>155997</v>
      </c>
    </row>
    <row r="1564">
      <c r="F1564" s="26">
        <f>IFERROR(__xludf.DUMMYFUNCTION("""COMPUTED_VALUE"""),156.2)</f>
        <v>156.2</v>
      </c>
      <c r="G1564" s="26">
        <f>IFERROR(__xludf.DUMMYFUNCTION("""COMPUTED_VALUE"""),1.677676353897E12)</f>
        <v>1677676353897</v>
      </c>
      <c r="H1564" s="26">
        <f t="shared" si="1"/>
        <v>156098</v>
      </c>
    </row>
    <row r="1565">
      <c r="F1565" s="26">
        <f>IFERROR(__xludf.DUMMYFUNCTION("""COMPUTED_VALUE"""),156.3)</f>
        <v>156.3</v>
      </c>
      <c r="G1565" s="26">
        <f>IFERROR(__xludf.DUMMYFUNCTION("""COMPUTED_VALUE"""),1.677676353997E12)</f>
        <v>1677676353997</v>
      </c>
      <c r="H1565" s="26">
        <f t="shared" si="1"/>
        <v>156198</v>
      </c>
    </row>
    <row r="1566">
      <c r="F1566" s="26">
        <f>IFERROR(__xludf.DUMMYFUNCTION("""COMPUTED_VALUE"""),156.4)</f>
        <v>156.4</v>
      </c>
      <c r="G1566" s="26">
        <f>IFERROR(__xludf.DUMMYFUNCTION("""COMPUTED_VALUE"""),1.677676354096E12)</f>
        <v>1677676354096</v>
      </c>
      <c r="H1566" s="26">
        <f t="shared" si="1"/>
        <v>156297</v>
      </c>
    </row>
    <row r="1567">
      <c r="F1567" s="26">
        <f>IFERROR(__xludf.DUMMYFUNCTION("""COMPUTED_VALUE"""),156.5)</f>
        <v>156.5</v>
      </c>
      <c r="G1567" s="26">
        <f>IFERROR(__xludf.DUMMYFUNCTION("""COMPUTED_VALUE"""),1.677676354195E12)</f>
        <v>1677676354195</v>
      </c>
      <c r="H1567" s="26">
        <f t="shared" si="1"/>
        <v>156396</v>
      </c>
    </row>
    <row r="1568">
      <c r="F1568" s="26">
        <f>IFERROR(__xludf.DUMMYFUNCTION("""COMPUTED_VALUE"""),156.6)</f>
        <v>156.6</v>
      </c>
      <c r="G1568" s="26">
        <f>IFERROR(__xludf.DUMMYFUNCTION("""COMPUTED_VALUE"""),1.677676354297E12)</f>
        <v>1677676354297</v>
      </c>
      <c r="H1568" s="26">
        <f t="shared" si="1"/>
        <v>156498</v>
      </c>
    </row>
    <row r="1569">
      <c r="F1569" s="26">
        <f>IFERROR(__xludf.DUMMYFUNCTION("""COMPUTED_VALUE"""),156.7)</f>
        <v>156.7</v>
      </c>
      <c r="G1569" s="26">
        <f>IFERROR(__xludf.DUMMYFUNCTION("""COMPUTED_VALUE"""),1.677676354396E12)</f>
        <v>1677676354396</v>
      </c>
      <c r="H1569" s="26">
        <f t="shared" si="1"/>
        <v>156597</v>
      </c>
    </row>
    <row r="1570">
      <c r="F1570" s="26">
        <f>IFERROR(__xludf.DUMMYFUNCTION("""COMPUTED_VALUE"""),156.8)</f>
        <v>156.8</v>
      </c>
      <c r="G1570" s="26">
        <f>IFERROR(__xludf.DUMMYFUNCTION("""COMPUTED_VALUE"""),1.677676354497E12)</f>
        <v>1677676354497</v>
      </c>
      <c r="H1570" s="26">
        <f t="shared" si="1"/>
        <v>156698</v>
      </c>
    </row>
    <row r="1571">
      <c r="F1571" s="26">
        <f>IFERROR(__xludf.DUMMYFUNCTION("""COMPUTED_VALUE"""),156.9)</f>
        <v>156.9</v>
      </c>
      <c r="G1571" s="26">
        <f>IFERROR(__xludf.DUMMYFUNCTION("""COMPUTED_VALUE"""),1.677676354598E12)</f>
        <v>1677676354598</v>
      </c>
      <c r="H1571" s="26">
        <f t="shared" si="1"/>
        <v>156799</v>
      </c>
    </row>
    <row r="1572">
      <c r="F1572" s="26">
        <f>IFERROR(__xludf.DUMMYFUNCTION("""COMPUTED_VALUE"""),157.0)</f>
        <v>157</v>
      </c>
      <c r="G1572" s="26">
        <f>IFERROR(__xludf.DUMMYFUNCTION("""COMPUTED_VALUE"""),1.677676354696E12)</f>
        <v>1677676354696</v>
      </c>
      <c r="H1572" s="26">
        <f t="shared" si="1"/>
        <v>156897</v>
      </c>
    </row>
    <row r="1573">
      <c r="F1573" s="26">
        <f>IFERROR(__xludf.DUMMYFUNCTION("""COMPUTED_VALUE"""),157.1)</f>
        <v>157.1</v>
      </c>
      <c r="G1573" s="26">
        <f>IFERROR(__xludf.DUMMYFUNCTION("""COMPUTED_VALUE"""),1.677676354798E12)</f>
        <v>1677676354798</v>
      </c>
      <c r="H1573" s="26">
        <f t="shared" si="1"/>
        <v>156999</v>
      </c>
    </row>
    <row r="1574">
      <c r="F1574" s="26">
        <f>IFERROR(__xludf.DUMMYFUNCTION("""COMPUTED_VALUE"""),157.2)</f>
        <v>157.2</v>
      </c>
      <c r="G1574" s="26">
        <f>IFERROR(__xludf.DUMMYFUNCTION("""COMPUTED_VALUE"""),1.677676354897E12)</f>
        <v>1677676354897</v>
      </c>
      <c r="H1574" s="26">
        <f t="shared" si="1"/>
        <v>157098</v>
      </c>
    </row>
    <row r="1575">
      <c r="F1575" s="26">
        <f>IFERROR(__xludf.DUMMYFUNCTION("""COMPUTED_VALUE"""),157.3)</f>
        <v>157.3</v>
      </c>
      <c r="G1575" s="26">
        <f>IFERROR(__xludf.DUMMYFUNCTION("""COMPUTED_VALUE"""),1.677676354997E12)</f>
        <v>1677676354997</v>
      </c>
      <c r="H1575" s="26">
        <f t="shared" si="1"/>
        <v>157198</v>
      </c>
    </row>
    <row r="1576">
      <c r="F1576" s="26">
        <f>IFERROR(__xludf.DUMMYFUNCTION("""COMPUTED_VALUE"""),157.4)</f>
        <v>157.4</v>
      </c>
      <c r="G1576" s="26">
        <f>IFERROR(__xludf.DUMMYFUNCTION("""COMPUTED_VALUE"""),1.677676355097E12)</f>
        <v>1677676355097</v>
      </c>
      <c r="H1576" s="26">
        <f t="shared" si="1"/>
        <v>157298</v>
      </c>
    </row>
    <row r="1577">
      <c r="F1577" s="26">
        <f>IFERROR(__xludf.DUMMYFUNCTION("""COMPUTED_VALUE"""),157.5)</f>
        <v>157.5</v>
      </c>
      <c r="G1577" s="26">
        <f>IFERROR(__xludf.DUMMYFUNCTION("""COMPUTED_VALUE"""),1.677676355196E12)</f>
        <v>1677676355196</v>
      </c>
      <c r="H1577" s="26">
        <f t="shared" si="1"/>
        <v>157397</v>
      </c>
    </row>
    <row r="1578">
      <c r="F1578" s="26">
        <f>IFERROR(__xludf.DUMMYFUNCTION("""COMPUTED_VALUE"""),157.6)</f>
        <v>157.6</v>
      </c>
      <c r="G1578" s="26">
        <f>IFERROR(__xludf.DUMMYFUNCTION("""COMPUTED_VALUE"""),1.677676355297E12)</f>
        <v>1677676355297</v>
      </c>
      <c r="H1578" s="26">
        <f t="shared" si="1"/>
        <v>157498</v>
      </c>
    </row>
    <row r="1579">
      <c r="F1579" s="26">
        <f>IFERROR(__xludf.DUMMYFUNCTION("""COMPUTED_VALUE"""),157.7)</f>
        <v>157.7</v>
      </c>
      <c r="G1579" s="26">
        <f>IFERROR(__xludf.DUMMYFUNCTION("""COMPUTED_VALUE"""),1.677676355399E12)</f>
        <v>1677676355399</v>
      </c>
      <c r="H1579" s="26">
        <f t="shared" si="1"/>
        <v>157600</v>
      </c>
    </row>
    <row r="1580">
      <c r="F1580" s="26">
        <f>IFERROR(__xludf.DUMMYFUNCTION("""COMPUTED_VALUE"""),157.8)</f>
        <v>157.8</v>
      </c>
      <c r="G1580" s="26">
        <f>IFERROR(__xludf.DUMMYFUNCTION("""COMPUTED_VALUE"""),1.677676355497E12)</f>
        <v>1677676355497</v>
      </c>
      <c r="H1580" s="26">
        <f t="shared" si="1"/>
        <v>157698</v>
      </c>
    </row>
    <row r="1581">
      <c r="F1581" s="26">
        <f>IFERROR(__xludf.DUMMYFUNCTION("""COMPUTED_VALUE"""),157.9)</f>
        <v>157.9</v>
      </c>
      <c r="G1581" s="26">
        <f>IFERROR(__xludf.DUMMYFUNCTION("""COMPUTED_VALUE"""),1.677676355596E12)</f>
        <v>1677676355596</v>
      </c>
      <c r="H1581" s="26">
        <f t="shared" si="1"/>
        <v>157797</v>
      </c>
    </row>
    <row r="1582">
      <c r="F1582" s="26">
        <f>IFERROR(__xludf.DUMMYFUNCTION("""COMPUTED_VALUE"""),158.0)</f>
        <v>158</v>
      </c>
      <c r="G1582" s="26">
        <f>IFERROR(__xludf.DUMMYFUNCTION("""COMPUTED_VALUE"""),1.677676355699E12)</f>
        <v>1677676355699</v>
      </c>
      <c r="H1582" s="26">
        <f t="shared" si="1"/>
        <v>157900</v>
      </c>
    </row>
    <row r="1583">
      <c r="F1583" s="26">
        <f>IFERROR(__xludf.DUMMYFUNCTION("""COMPUTED_VALUE"""),158.1)</f>
        <v>158.1</v>
      </c>
      <c r="G1583" s="26">
        <f>IFERROR(__xludf.DUMMYFUNCTION("""COMPUTED_VALUE"""),1.677676355797E12)</f>
        <v>1677676355797</v>
      </c>
      <c r="H1583" s="26">
        <f t="shared" si="1"/>
        <v>157998</v>
      </c>
    </row>
    <row r="1584">
      <c r="F1584" s="26">
        <f>IFERROR(__xludf.DUMMYFUNCTION("""COMPUTED_VALUE"""),158.2)</f>
        <v>158.2</v>
      </c>
      <c r="G1584" s="26">
        <f>IFERROR(__xludf.DUMMYFUNCTION("""COMPUTED_VALUE"""),1.677676355896E12)</f>
        <v>1677676355896</v>
      </c>
      <c r="H1584" s="26">
        <f t="shared" si="1"/>
        <v>158097</v>
      </c>
    </row>
    <row r="1585">
      <c r="F1585" s="26">
        <f>IFERROR(__xludf.DUMMYFUNCTION("""COMPUTED_VALUE"""),158.3)</f>
        <v>158.3</v>
      </c>
      <c r="G1585" s="26">
        <f>IFERROR(__xludf.DUMMYFUNCTION("""COMPUTED_VALUE"""),1.677676355998E12)</f>
        <v>1677676355998</v>
      </c>
      <c r="H1585" s="26">
        <f t="shared" si="1"/>
        <v>158199</v>
      </c>
    </row>
    <row r="1586">
      <c r="F1586" s="26">
        <f>IFERROR(__xludf.DUMMYFUNCTION("""COMPUTED_VALUE"""),158.4)</f>
        <v>158.4</v>
      </c>
      <c r="G1586" s="26">
        <f>IFERROR(__xludf.DUMMYFUNCTION("""COMPUTED_VALUE"""),1.677676356096E12)</f>
        <v>1677676356096</v>
      </c>
      <c r="H1586" s="26">
        <f t="shared" si="1"/>
        <v>158297</v>
      </c>
    </row>
    <row r="1587">
      <c r="F1587" s="26">
        <f>IFERROR(__xludf.DUMMYFUNCTION("""COMPUTED_VALUE"""),158.5)</f>
        <v>158.5</v>
      </c>
      <c r="G1587" s="26">
        <f>IFERROR(__xludf.DUMMYFUNCTION("""COMPUTED_VALUE"""),1.677676356197E12)</f>
        <v>1677676356197</v>
      </c>
      <c r="H1587" s="26">
        <f t="shared" si="1"/>
        <v>158398</v>
      </c>
    </row>
    <row r="1588">
      <c r="F1588" s="26">
        <f>IFERROR(__xludf.DUMMYFUNCTION("""COMPUTED_VALUE"""),158.6)</f>
        <v>158.6</v>
      </c>
      <c r="G1588" s="26">
        <f>IFERROR(__xludf.DUMMYFUNCTION("""COMPUTED_VALUE"""),1.677676356297E12)</f>
        <v>1677676356297</v>
      </c>
      <c r="H1588" s="26">
        <f t="shared" si="1"/>
        <v>158498</v>
      </c>
    </row>
    <row r="1589">
      <c r="F1589" s="26">
        <f>IFERROR(__xludf.DUMMYFUNCTION("""COMPUTED_VALUE"""),158.7)</f>
        <v>158.7</v>
      </c>
      <c r="G1589" s="26">
        <f>IFERROR(__xludf.DUMMYFUNCTION("""COMPUTED_VALUE"""),1.677676356398E12)</f>
        <v>1677676356398</v>
      </c>
      <c r="H1589" s="26">
        <f t="shared" si="1"/>
        <v>158599</v>
      </c>
    </row>
    <row r="1590">
      <c r="F1590" s="26">
        <f>IFERROR(__xludf.DUMMYFUNCTION("""COMPUTED_VALUE"""),158.8)</f>
        <v>158.8</v>
      </c>
      <c r="G1590" s="26">
        <f>IFERROR(__xludf.DUMMYFUNCTION("""COMPUTED_VALUE"""),1.677676356497E12)</f>
        <v>1677676356497</v>
      </c>
      <c r="H1590" s="26">
        <f t="shared" si="1"/>
        <v>158698</v>
      </c>
    </row>
    <row r="1591">
      <c r="F1591" s="26">
        <f>IFERROR(__xludf.DUMMYFUNCTION("""COMPUTED_VALUE"""),158.9)</f>
        <v>158.9</v>
      </c>
      <c r="G1591" s="26">
        <f>IFERROR(__xludf.DUMMYFUNCTION("""COMPUTED_VALUE"""),1.677676356597E12)</f>
        <v>1677676356597</v>
      </c>
      <c r="H1591" s="26">
        <f t="shared" si="1"/>
        <v>158798</v>
      </c>
    </row>
    <row r="1592">
      <c r="F1592" s="26">
        <f>IFERROR(__xludf.DUMMYFUNCTION("""COMPUTED_VALUE"""),159.0)</f>
        <v>159</v>
      </c>
      <c r="G1592" s="26">
        <f>IFERROR(__xludf.DUMMYFUNCTION("""COMPUTED_VALUE"""),1.677676356699E12)</f>
        <v>1677676356699</v>
      </c>
      <c r="H1592" s="26">
        <f t="shared" si="1"/>
        <v>158900</v>
      </c>
    </row>
    <row r="1593">
      <c r="F1593" s="26">
        <f>IFERROR(__xludf.DUMMYFUNCTION("""COMPUTED_VALUE"""),159.1)</f>
        <v>159.1</v>
      </c>
      <c r="G1593" s="26">
        <f>IFERROR(__xludf.DUMMYFUNCTION("""COMPUTED_VALUE"""),1.677676356796E12)</f>
        <v>1677676356796</v>
      </c>
      <c r="H1593" s="26">
        <f t="shared" si="1"/>
        <v>158997</v>
      </c>
    </row>
    <row r="1594">
      <c r="F1594" s="26">
        <f>IFERROR(__xludf.DUMMYFUNCTION("""COMPUTED_VALUE"""),159.2)</f>
        <v>159.2</v>
      </c>
      <c r="G1594" s="26">
        <f>IFERROR(__xludf.DUMMYFUNCTION("""COMPUTED_VALUE"""),1.677676356896E12)</f>
        <v>1677676356896</v>
      </c>
      <c r="H1594" s="26">
        <f t="shared" si="1"/>
        <v>159097</v>
      </c>
    </row>
    <row r="1595">
      <c r="F1595" s="26">
        <f>IFERROR(__xludf.DUMMYFUNCTION("""COMPUTED_VALUE"""),159.3)</f>
        <v>159.3</v>
      </c>
      <c r="G1595" s="26">
        <f>IFERROR(__xludf.DUMMYFUNCTION("""COMPUTED_VALUE"""),1.677676356997E12)</f>
        <v>1677676356997</v>
      </c>
      <c r="H1595" s="26">
        <f t="shared" si="1"/>
        <v>159198</v>
      </c>
    </row>
    <row r="1596">
      <c r="F1596" s="26">
        <f>IFERROR(__xludf.DUMMYFUNCTION("""COMPUTED_VALUE"""),159.4)</f>
        <v>159.4</v>
      </c>
      <c r="G1596" s="26">
        <f>IFERROR(__xludf.DUMMYFUNCTION("""COMPUTED_VALUE"""),1.677676357097E12)</f>
        <v>1677676357097</v>
      </c>
      <c r="H1596" s="26">
        <f t="shared" si="1"/>
        <v>159298</v>
      </c>
    </row>
    <row r="1597">
      <c r="F1597" s="26">
        <f>IFERROR(__xludf.DUMMYFUNCTION("""COMPUTED_VALUE"""),159.5)</f>
        <v>159.5</v>
      </c>
      <c r="G1597" s="26">
        <f>IFERROR(__xludf.DUMMYFUNCTION("""COMPUTED_VALUE"""),1.677676357197E12)</f>
        <v>1677676357197</v>
      </c>
      <c r="H1597" s="26">
        <f t="shared" si="1"/>
        <v>159398</v>
      </c>
    </row>
    <row r="1598">
      <c r="F1598" s="26">
        <f>IFERROR(__xludf.DUMMYFUNCTION("""COMPUTED_VALUE"""),159.6)</f>
        <v>159.6</v>
      </c>
      <c r="G1598" s="26">
        <f>IFERROR(__xludf.DUMMYFUNCTION("""COMPUTED_VALUE"""),1.677676357299E12)</f>
        <v>1677676357299</v>
      </c>
      <c r="H1598" s="26">
        <f t="shared" si="1"/>
        <v>159500</v>
      </c>
    </row>
    <row r="1599">
      <c r="F1599" s="26">
        <f>IFERROR(__xludf.DUMMYFUNCTION("""COMPUTED_VALUE"""),159.7)</f>
        <v>159.7</v>
      </c>
      <c r="G1599" s="26">
        <f>IFERROR(__xludf.DUMMYFUNCTION("""COMPUTED_VALUE"""),1.677676357395E12)</f>
        <v>1677676357395</v>
      </c>
      <c r="H1599" s="26">
        <f t="shared" si="1"/>
        <v>159596</v>
      </c>
    </row>
    <row r="1600">
      <c r="F1600" s="26">
        <f>IFERROR(__xludf.DUMMYFUNCTION("""COMPUTED_VALUE"""),159.8)</f>
        <v>159.8</v>
      </c>
      <c r="G1600" s="26">
        <f>IFERROR(__xludf.DUMMYFUNCTION("""COMPUTED_VALUE"""),1.677676357495E12)</f>
        <v>1677676357495</v>
      </c>
      <c r="H1600" s="26">
        <f t="shared" si="1"/>
        <v>159696</v>
      </c>
    </row>
    <row r="1601">
      <c r="F1601" s="26">
        <f>IFERROR(__xludf.DUMMYFUNCTION("""COMPUTED_VALUE"""),159.9)</f>
        <v>159.9</v>
      </c>
      <c r="G1601" s="26">
        <f>IFERROR(__xludf.DUMMYFUNCTION("""COMPUTED_VALUE"""),1.677676357597E12)</f>
        <v>1677676357597</v>
      </c>
      <c r="H1601" s="26">
        <f t="shared" si="1"/>
        <v>159798</v>
      </c>
    </row>
    <row r="1602">
      <c r="F1602" s="26">
        <f>IFERROR(__xludf.DUMMYFUNCTION("""COMPUTED_VALUE"""),160.0)</f>
        <v>160</v>
      </c>
      <c r="G1602" s="26">
        <f>IFERROR(__xludf.DUMMYFUNCTION("""COMPUTED_VALUE"""),1.677676357695E12)</f>
        <v>1677676357695</v>
      </c>
      <c r="H1602" s="26">
        <f t="shared" si="1"/>
        <v>159896</v>
      </c>
    </row>
    <row r="1603">
      <c r="F1603" s="26">
        <f>IFERROR(__xludf.DUMMYFUNCTION("""COMPUTED_VALUE"""),160.1)</f>
        <v>160.1</v>
      </c>
      <c r="G1603" s="26">
        <f>IFERROR(__xludf.DUMMYFUNCTION("""COMPUTED_VALUE"""),1.677676357796E12)</f>
        <v>1677676357796</v>
      </c>
      <c r="H1603" s="26">
        <f t="shared" si="1"/>
        <v>159997</v>
      </c>
    </row>
    <row r="1604">
      <c r="F1604" s="26">
        <f>IFERROR(__xludf.DUMMYFUNCTION("""COMPUTED_VALUE"""),160.2)</f>
        <v>160.2</v>
      </c>
      <c r="G1604" s="26">
        <f>IFERROR(__xludf.DUMMYFUNCTION("""COMPUTED_VALUE"""),1.677676357898E12)</f>
        <v>1677676357898</v>
      </c>
      <c r="H1604" s="26">
        <f t="shared" si="1"/>
        <v>160099</v>
      </c>
    </row>
    <row r="1605">
      <c r="F1605" s="26">
        <f>IFERROR(__xludf.DUMMYFUNCTION("""COMPUTED_VALUE"""),160.3)</f>
        <v>160.3</v>
      </c>
      <c r="G1605" s="26">
        <f>IFERROR(__xludf.DUMMYFUNCTION("""COMPUTED_VALUE"""),1.677676357997E12)</f>
        <v>1677676357997</v>
      </c>
      <c r="H1605" s="26">
        <f t="shared" si="1"/>
        <v>160198</v>
      </c>
    </row>
    <row r="1606">
      <c r="F1606" s="26">
        <f>IFERROR(__xludf.DUMMYFUNCTION("""COMPUTED_VALUE"""),160.4)</f>
        <v>160.4</v>
      </c>
      <c r="G1606" s="26">
        <f>IFERROR(__xludf.DUMMYFUNCTION("""COMPUTED_VALUE"""),1.677676358096E12)</f>
        <v>1677676358096</v>
      </c>
      <c r="H1606" s="26">
        <f t="shared" si="1"/>
        <v>160297</v>
      </c>
    </row>
    <row r="1607">
      <c r="F1607" s="26">
        <f>IFERROR(__xludf.DUMMYFUNCTION("""COMPUTED_VALUE"""),160.5)</f>
        <v>160.5</v>
      </c>
      <c r="G1607" s="26">
        <f>IFERROR(__xludf.DUMMYFUNCTION("""COMPUTED_VALUE"""),1.677676358197E12)</f>
        <v>1677676358197</v>
      </c>
      <c r="H1607" s="26">
        <f t="shared" si="1"/>
        <v>160398</v>
      </c>
    </row>
    <row r="1608">
      <c r="F1608" s="26">
        <f>IFERROR(__xludf.DUMMYFUNCTION("""COMPUTED_VALUE"""),160.6)</f>
        <v>160.6</v>
      </c>
      <c r="G1608" s="26">
        <f>IFERROR(__xludf.DUMMYFUNCTION("""COMPUTED_VALUE"""),1.677676358297E12)</f>
        <v>1677676358297</v>
      </c>
      <c r="H1608" s="26">
        <f t="shared" si="1"/>
        <v>160498</v>
      </c>
    </row>
    <row r="1609">
      <c r="F1609" s="26">
        <f>IFERROR(__xludf.DUMMYFUNCTION("""COMPUTED_VALUE"""),160.7)</f>
        <v>160.7</v>
      </c>
      <c r="G1609" s="26">
        <f>IFERROR(__xludf.DUMMYFUNCTION("""COMPUTED_VALUE"""),1.677676358396E12)</f>
        <v>1677676358396</v>
      </c>
      <c r="H1609" s="26">
        <f t="shared" si="1"/>
        <v>160597</v>
      </c>
    </row>
    <row r="1610">
      <c r="F1610" s="26">
        <f>IFERROR(__xludf.DUMMYFUNCTION("""COMPUTED_VALUE"""),160.8)</f>
        <v>160.8</v>
      </c>
      <c r="G1610" s="26">
        <f>IFERROR(__xludf.DUMMYFUNCTION("""COMPUTED_VALUE"""),1.677676358497E12)</f>
        <v>1677676358497</v>
      </c>
      <c r="H1610" s="26">
        <f t="shared" si="1"/>
        <v>160698</v>
      </c>
    </row>
    <row r="1611">
      <c r="F1611" s="26">
        <f>IFERROR(__xludf.DUMMYFUNCTION("""COMPUTED_VALUE"""),160.9)</f>
        <v>160.9</v>
      </c>
      <c r="G1611" s="26">
        <f>IFERROR(__xludf.DUMMYFUNCTION("""COMPUTED_VALUE"""),1.677676358597E12)</f>
        <v>1677676358597</v>
      </c>
      <c r="H1611" s="26">
        <f t="shared" si="1"/>
        <v>160798</v>
      </c>
    </row>
    <row r="1612">
      <c r="F1612" s="26">
        <f>IFERROR(__xludf.DUMMYFUNCTION("""COMPUTED_VALUE"""),161.0)</f>
        <v>161</v>
      </c>
      <c r="G1612" s="26">
        <f>IFERROR(__xludf.DUMMYFUNCTION("""COMPUTED_VALUE"""),1.677676358695E12)</f>
        <v>1677676358695</v>
      </c>
      <c r="H1612" s="26">
        <f t="shared" si="1"/>
        <v>160896</v>
      </c>
    </row>
    <row r="1613">
      <c r="F1613" s="26">
        <f>IFERROR(__xludf.DUMMYFUNCTION("""COMPUTED_VALUE"""),161.1)</f>
        <v>161.1</v>
      </c>
      <c r="G1613" s="26">
        <f>IFERROR(__xludf.DUMMYFUNCTION("""COMPUTED_VALUE"""),1.677676358798E12)</f>
        <v>1677676358798</v>
      </c>
      <c r="H1613" s="26">
        <f t="shared" si="1"/>
        <v>160999</v>
      </c>
    </row>
    <row r="1614">
      <c r="F1614" s="26">
        <f>IFERROR(__xludf.DUMMYFUNCTION("""COMPUTED_VALUE"""),161.2)</f>
        <v>161.2</v>
      </c>
      <c r="G1614" s="26">
        <f>IFERROR(__xludf.DUMMYFUNCTION("""COMPUTED_VALUE"""),1.677676358897E12)</f>
        <v>1677676358897</v>
      </c>
      <c r="H1614" s="26">
        <f t="shared" si="1"/>
        <v>161098</v>
      </c>
    </row>
    <row r="1615">
      <c r="F1615" s="26">
        <f>IFERROR(__xludf.DUMMYFUNCTION("""COMPUTED_VALUE"""),161.3)</f>
        <v>161.3</v>
      </c>
      <c r="G1615" s="26">
        <f>IFERROR(__xludf.DUMMYFUNCTION("""COMPUTED_VALUE"""),1.677676358996E12)</f>
        <v>1677676358996</v>
      </c>
      <c r="H1615" s="26">
        <f t="shared" si="1"/>
        <v>161197</v>
      </c>
    </row>
  </sheetData>
  <drawing r:id="rId1"/>
</worksheet>
</file>